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2. 31 พ.ค. 67\"/>
    </mc:Choice>
  </mc:AlternateContent>
  <xr:revisionPtr revIDLastSave="0" documentId="13_ncr:1_{76388E54-34BC-443A-B357-C6F01C956BB8}" xr6:coauthVersionLast="47" xr6:coauthVersionMax="47" xr10:uidLastSave="{00000000-0000-0000-0000-000000000000}"/>
  <bookViews>
    <workbookView xWindow="-120" yWindow="-120" windowWidth="24240" windowHeight="13020" firstSheet="5" activeTab="14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  <definedName name="ๆ203">สงขลา!$A$1:$H$1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15" l="1"/>
  <c r="M22" i="15"/>
  <c r="M19" i="15" s="1"/>
  <c r="N22" i="15"/>
  <c r="Q22" i="15"/>
  <c r="R22" i="15"/>
  <c r="S22" i="15"/>
  <c r="L25" i="15"/>
  <c r="M25" i="15"/>
  <c r="N25" i="15"/>
  <c r="Q25" i="15"/>
  <c r="R25" i="15"/>
  <c r="S25" i="15"/>
  <c r="T25" i="15"/>
  <c r="L45" i="15"/>
  <c r="M45" i="15"/>
  <c r="N45" i="15"/>
  <c r="O45" i="15"/>
  <c r="Q45" i="15"/>
  <c r="R45" i="15"/>
  <c r="U45" i="15" s="1"/>
  <c r="S45" i="15"/>
  <c r="T45" i="15"/>
  <c r="Q46" i="15"/>
  <c r="T46" i="15" s="1"/>
  <c r="R46" i="15"/>
  <c r="S46" i="15"/>
  <c r="U46" i="15"/>
  <c r="Q47" i="15"/>
  <c r="T47" i="15" s="1"/>
  <c r="R47" i="15"/>
  <c r="U47" i="15" s="1"/>
  <c r="S47" i="15"/>
  <c r="O48" i="15"/>
  <c r="P48" i="15"/>
  <c r="T48" i="15"/>
  <c r="U48" i="15"/>
  <c r="L49" i="15"/>
  <c r="L47" i="15" s="1"/>
  <c r="M49" i="15"/>
  <c r="N49" i="15"/>
  <c r="N47" i="15" s="1"/>
  <c r="T49" i="15"/>
  <c r="U49" i="15"/>
  <c r="Q50" i="15"/>
  <c r="R50" i="15"/>
  <c r="S50" i="15"/>
  <c r="T50" i="15"/>
  <c r="U50" i="15"/>
  <c r="O51" i="15"/>
  <c r="P51" i="15"/>
  <c r="T51" i="15"/>
  <c r="U51" i="15"/>
  <c r="L52" i="15"/>
  <c r="M52" i="15"/>
  <c r="N52" i="15"/>
  <c r="N50" i="15" s="1"/>
  <c r="T52" i="15"/>
  <c r="U52" i="15"/>
  <c r="R59" i="15"/>
  <c r="U59" i="15" s="1"/>
  <c r="L60" i="15"/>
  <c r="O60" i="15" s="1"/>
  <c r="M60" i="15"/>
  <c r="N60" i="15"/>
  <c r="Q60" i="15"/>
  <c r="Q59" i="15" s="1"/>
  <c r="T59" i="15" s="1"/>
  <c r="R60" i="15"/>
  <c r="U60" i="15" s="1"/>
  <c r="S60" i="15"/>
  <c r="T60" i="15"/>
  <c r="Q61" i="15"/>
  <c r="T61" i="15" s="1"/>
  <c r="R61" i="15"/>
  <c r="U61" i="15" s="1"/>
  <c r="S61" i="15"/>
  <c r="Q62" i="15"/>
  <c r="T62" i="15" s="1"/>
  <c r="R62" i="15"/>
  <c r="U62" i="15" s="1"/>
  <c r="S62" i="15"/>
  <c r="O63" i="15"/>
  <c r="P63" i="15"/>
  <c r="T63" i="15"/>
  <c r="U63" i="15"/>
  <c r="L64" i="15"/>
  <c r="L62" i="15" s="1"/>
  <c r="M64" i="15"/>
  <c r="N64" i="15"/>
  <c r="N62" i="15" s="1"/>
  <c r="T64" i="15"/>
  <c r="U64" i="15"/>
  <c r="Q65" i="15"/>
  <c r="T65" i="15" s="1"/>
  <c r="R65" i="15"/>
  <c r="U65" i="15" s="1"/>
  <c r="S65" i="15"/>
  <c r="O66" i="15"/>
  <c r="P66" i="15"/>
  <c r="T66" i="15"/>
  <c r="U66" i="15"/>
  <c r="L67" i="15"/>
  <c r="M67" i="15"/>
  <c r="N67" i="15"/>
  <c r="N65" i="15" s="1"/>
  <c r="T67" i="15"/>
  <c r="U67" i="15"/>
  <c r="L73" i="15"/>
  <c r="M73" i="15"/>
  <c r="N73" i="15"/>
  <c r="O73" i="15"/>
  <c r="Q73" i="15"/>
  <c r="T73" i="15" s="1"/>
  <c r="R73" i="15"/>
  <c r="U73" i="15" s="1"/>
  <c r="S73" i="15"/>
  <c r="O76" i="15"/>
  <c r="P76" i="15"/>
  <c r="T76" i="15"/>
  <c r="U76" i="15"/>
  <c r="L77" i="15"/>
  <c r="L75" i="15" s="1"/>
  <c r="M77" i="15"/>
  <c r="M75" i="15" s="1"/>
  <c r="N77" i="15"/>
  <c r="N75" i="15" s="1"/>
  <c r="Q77" i="15"/>
  <c r="R77" i="15"/>
  <c r="S77" i="15"/>
  <c r="O79" i="15"/>
  <c r="P79" i="15"/>
  <c r="T79" i="15"/>
  <c r="U79" i="15"/>
  <c r="L80" i="15"/>
  <c r="L78" i="15" s="1"/>
  <c r="O78" i="15" s="1"/>
  <c r="M80" i="15"/>
  <c r="M78" i="15" s="1"/>
  <c r="P78" i="15" s="1"/>
  <c r="N80" i="15"/>
  <c r="N78" i="15" s="1"/>
  <c r="Q80" i="15"/>
  <c r="Q78" i="15" s="1"/>
  <c r="T78" i="15" s="1"/>
  <c r="R80" i="15"/>
  <c r="R78" i="15" s="1"/>
  <c r="U78" i="15" s="1"/>
  <c r="S80" i="15"/>
  <c r="S78" i="15" s="1"/>
  <c r="U80" i="15"/>
  <c r="J82" i="15"/>
  <c r="J70" i="15" s="1"/>
  <c r="J83" i="15"/>
  <c r="J71" i="15" s="1"/>
  <c r="I84" i="15"/>
  <c r="K84" i="15" s="1"/>
  <c r="I85" i="15"/>
  <c r="I86" i="15"/>
  <c r="K86" i="15" s="1"/>
  <c r="I87" i="15"/>
  <c r="K87" i="15" s="1"/>
  <c r="I88" i="15"/>
  <c r="K88" i="15" s="1"/>
  <c r="I89" i="15"/>
  <c r="K89" i="15" s="1"/>
  <c r="I90" i="15"/>
  <c r="K90" i="15" s="1"/>
  <c r="J92" i="15"/>
  <c r="J93" i="15"/>
  <c r="L95" i="15"/>
  <c r="M95" i="15"/>
  <c r="N95" i="15"/>
  <c r="Q95" i="15"/>
  <c r="R95" i="15"/>
  <c r="S95" i="15"/>
  <c r="O98" i="15"/>
  <c r="P98" i="15"/>
  <c r="T98" i="15"/>
  <c r="U98" i="15"/>
  <c r="L99" i="15"/>
  <c r="L97" i="15" s="1"/>
  <c r="O97" i="15" s="1"/>
  <c r="M99" i="15"/>
  <c r="N99" i="15"/>
  <c r="N97" i="15" s="1"/>
  <c r="Q99" i="15"/>
  <c r="Q96" i="15" s="1"/>
  <c r="R99" i="15"/>
  <c r="R97" i="15" s="1"/>
  <c r="S99" i="15"/>
  <c r="Q100" i="15"/>
  <c r="T100" i="15" s="1"/>
  <c r="R100" i="15"/>
  <c r="S100" i="15"/>
  <c r="U100" i="15"/>
  <c r="O101" i="15"/>
  <c r="P101" i="15"/>
  <c r="T101" i="15"/>
  <c r="U101" i="15"/>
  <c r="L102" i="15"/>
  <c r="M102" i="15"/>
  <c r="N102" i="15"/>
  <c r="N100" i="15" s="1"/>
  <c r="T102" i="15"/>
  <c r="U102" i="15"/>
  <c r="I108" i="15"/>
  <c r="I92" i="15" s="1"/>
  <c r="K92" i="15" s="1"/>
  <c r="I109" i="15"/>
  <c r="K109" i="15" s="1"/>
  <c r="I113" i="15"/>
  <c r="K113" i="15" s="1"/>
  <c r="I114" i="15"/>
  <c r="K114" i="15" s="1"/>
  <c r="J116" i="15"/>
  <c r="L118" i="15"/>
  <c r="M118" i="15"/>
  <c r="P118" i="15" s="1"/>
  <c r="N118" i="15"/>
  <c r="O118" i="15"/>
  <c r="Q118" i="15"/>
  <c r="R118" i="15"/>
  <c r="U118" i="15" s="1"/>
  <c r="S118" i="15"/>
  <c r="O121" i="15"/>
  <c r="P121" i="15"/>
  <c r="T121" i="15"/>
  <c r="U121" i="15"/>
  <c r="L122" i="15"/>
  <c r="M122" i="15"/>
  <c r="M120" i="15" s="1"/>
  <c r="P120" i="15" s="1"/>
  <c r="N122" i="15"/>
  <c r="N120" i="15" s="1"/>
  <c r="Q122" i="15"/>
  <c r="R122" i="15"/>
  <c r="S122" i="15"/>
  <c r="O124" i="15"/>
  <c r="P124" i="15"/>
  <c r="T124" i="15"/>
  <c r="U124" i="15"/>
  <c r="L125" i="15"/>
  <c r="M125" i="15"/>
  <c r="P125" i="15" s="1"/>
  <c r="N125" i="15"/>
  <c r="N123" i="15" s="1"/>
  <c r="Q125" i="15"/>
  <c r="R125" i="15"/>
  <c r="S125" i="15"/>
  <c r="S123" i="15" s="1"/>
  <c r="I127" i="15"/>
  <c r="I116" i="15" s="1"/>
  <c r="K116" i="15" s="1"/>
  <c r="I128" i="15"/>
  <c r="K128" i="15" s="1"/>
  <c r="I129" i="15"/>
  <c r="K129" i="15" s="1"/>
  <c r="I130" i="15"/>
  <c r="K130" i="15" s="1"/>
  <c r="J136" i="15"/>
  <c r="J137" i="15"/>
  <c r="J138" i="15"/>
  <c r="L140" i="15"/>
  <c r="M140" i="15"/>
  <c r="N140" i="15"/>
  <c r="P140" i="15"/>
  <c r="Q140" i="15"/>
  <c r="R140" i="15"/>
  <c r="S140" i="15"/>
  <c r="O143" i="15"/>
  <c r="P143" i="15"/>
  <c r="T143" i="15"/>
  <c r="U143" i="15"/>
  <c r="L144" i="15"/>
  <c r="M144" i="15"/>
  <c r="N144" i="15"/>
  <c r="N142" i="15" s="1"/>
  <c r="Q144" i="15"/>
  <c r="Q142" i="15" s="1"/>
  <c r="R144" i="15"/>
  <c r="S144" i="15"/>
  <c r="O146" i="15"/>
  <c r="P146" i="15"/>
  <c r="T146" i="15"/>
  <c r="U146" i="15"/>
  <c r="L147" i="15"/>
  <c r="M147" i="15"/>
  <c r="N147" i="15"/>
  <c r="N145" i="15" s="1"/>
  <c r="Q147" i="15"/>
  <c r="R147" i="15"/>
  <c r="S147" i="15"/>
  <c r="S145" i="15" s="1"/>
  <c r="I150" i="15"/>
  <c r="K150" i="15" s="1"/>
  <c r="I151" i="15"/>
  <c r="K151" i="15" s="1"/>
  <c r="I152" i="15"/>
  <c r="K152" i="15" s="1"/>
  <c r="I153" i="15"/>
  <c r="I138" i="15" s="1"/>
  <c r="K138" i="15" s="1"/>
  <c r="I154" i="15"/>
  <c r="I136" i="15" s="1"/>
  <c r="K136" i="15" s="1"/>
  <c r="J156" i="15"/>
  <c r="L158" i="15"/>
  <c r="O158" i="15" s="1"/>
  <c r="M158" i="15"/>
  <c r="N158" i="15"/>
  <c r="P158" i="15"/>
  <c r="Q158" i="15"/>
  <c r="R158" i="15"/>
  <c r="U158" i="15" s="1"/>
  <c r="S158" i="15"/>
  <c r="O161" i="15"/>
  <c r="P161" i="15"/>
  <c r="T161" i="15"/>
  <c r="U161" i="15"/>
  <c r="L162" i="15"/>
  <c r="M162" i="15"/>
  <c r="M160" i="15" s="1"/>
  <c r="N162" i="15"/>
  <c r="Q162" i="15"/>
  <c r="Q159" i="15" s="1"/>
  <c r="T159" i="15" s="1"/>
  <c r="R162" i="15"/>
  <c r="S162" i="15"/>
  <c r="S159" i="15" s="1"/>
  <c r="S157" i="15" s="1"/>
  <c r="Q163" i="15"/>
  <c r="T163" i="15" s="1"/>
  <c r="R163" i="15"/>
  <c r="U163" i="15" s="1"/>
  <c r="S163" i="15"/>
  <c r="O164" i="15"/>
  <c r="P164" i="15"/>
  <c r="T164" i="15"/>
  <c r="U164" i="15"/>
  <c r="L165" i="15"/>
  <c r="M165" i="15"/>
  <c r="P165" i="15" s="1"/>
  <c r="N165" i="15"/>
  <c r="N163" i="15" s="1"/>
  <c r="T165" i="15"/>
  <c r="U165" i="15"/>
  <c r="I167" i="15"/>
  <c r="I169" i="15" s="1"/>
  <c r="K169" i="15" s="1"/>
  <c r="J172" i="15"/>
  <c r="L174" i="15"/>
  <c r="M174" i="15"/>
  <c r="N174" i="15"/>
  <c r="O174" i="15"/>
  <c r="P174" i="15"/>
  <c r="Q174" i="15"/>
  <c r="R174" i="15"/>
  <c r="U174" i="15" s="1"/>
  <c r="S174" i="15"/>
  <c r="O177" i="15"/>
  <c r="P177" i="15"/>
  <c r="T177" i="15"/>
  <c r="U177" i="15"/>
  <c r="L178" i="15"/>
  <c r="L176" i="15" s="1"/>
  <c r="M178" i="15"/>
  <c r="N178" i="15"/>
  <c r="Q178" i="15"/>
  <c r="Q175" i="15" s="1"/>
  <c r="T175" i="15" s="1"/>
  <c r="R178" i="15"/>
  <c r="R175" i="15" s="1"/>
  <c r="U175" i="15" s="1"/>
  <c r="S178" i="15"/>
  <c r="Q179" i="15"/>
  <c r="T179" i="15" s="1"/>
  <c r="R179" i="15"/>
  <c r="S179" i="15"/>
  <c r="U179" i="15"/>
  <c r="O180" i="15"/>
  <c r="P180" i="15"/>
  <c r="T180" i="15"/>
  <c r="U180" i="15"/>
  <c r="L181" i="15"/>
  <c r="L179" i="15" s="1"/>
  <c r="O179" i="15" s="1"/>
  <c r="M181" i="15"/>
  <c r="N181" i="15"/>
  <c r="N179" i="15" s="1"/>
  <c r="T181" i="15"/>
  <c r="U181" i="15"/>
  <c r="I183" i="15"/>
  <c r="I172" i="15" s="1"/>
  <c r="K184" i="15"/>
  <c r="L187" i="15"/>
  <c r="O187" i="15" s="1"/>
  <c r="M187" i="15"/>
  <c r="N187" i="15"/>
  <c r="P187" i="15"/>
  <c r="Q187" i="15"/>
  <c r="T187" i="15" s="1"/>
  <c r="R187" i="15"/>
  <c r="U187" i="15" s="1"/>
  <c r="S187" i="15"/>
  <c r="O190" i="15"/>
  <c r="P190" i="15"/>
  <c r="T190" i="15"/>
  <c r="U190" i="15"/>
  <c r="L191" i="15"/>
  <c r="M191" i="15"/>
  <c r="N191" i="15"/>
  <c r="Q191" i="15"/>
  <c r="R191" i="15"/>
  <c r="S191" i="15"/>
  <c r="S189" i="15" s="1"/>
  <c r="O193" i="15"/>
  <c r="P193" i="15"/>
  <c r="T193" i="15"/>
  <c r="U193" i="15"/>
  <c r="L194" i="15"/>
  <c r="L192" i="15" s="1"/>
  <c r="O192" i="15" s="1"/>
  <c r="M194" i="15"/>
  <c r="P194" i="15" s="1"/>
  <c r="N194" i="15"/>
  <c r="N192" i="15" s="1"/>
  <c r="Q194" i="15"/>
  <c r="R194" i="15"/>
  <c r="R192" i="15" s="1"/>
  <c r="U192" i="15" s="1"/>
  <c r="S194" i="15"/>
  <c r="S192" i="15" s="1"/>
  <c r="U194" i="15"/>
  <c r="J195" i="15"/>
  <c r="L196" i="15"/>
  <c r="O196" i="15" s="1"/>
  <c r="P196" i="15"/>
  <c r="I198" i="15"/>
  <c r="J199" i="15"/>
  <c r="J202" i="15"/>
  <c r="N203" i="15"/>
  <c r="P203" i="15"/>
  <c r="S203" i="15"/>
  <c r="U203" i="15"/>
  <c r="L204" i="15"/>
  <c r="L205" i="15"/>
  <c r="L206" i="15"/>
  <c r="Q206" i="15"/>
  <c r="Q203" i="15" s="1"/>
  <c r="L207" i="15"/>
  <c r="I209" i="15"/>
  <c r="I211" i="15"/>
  <c r="K211" i="15" s="1"/>
  <c r="I212" i="15"/>
  <c r="K212" i="15" s="1"/>
  <c r="J213" i="15"/>
  <c r="N214" i="15"/>
  <c r="P214" i="15"/>
  <c r="S214" i="15"/>
  <c r="U214" i="15"/>
  <c r="L215" i="15"/>
  <c r="L216" i="15"/>
  <c r="L217" i="15"/>
  <c r="Q217" i="15"/>
  <c r="Q214" i="15" s="1"/>
  <c r="T214" i="15" s="1"/>
  <c r="I219" i="15"/>
  <c r="K219" i="15" s="1"/>
  <c r="I220" i="15"/>
  <c r="J221" i="15"/>
  <c r="N222" i="15"/>
  <c r="P222" i="15"/>
  <c r="L223" i="15"/>
  <c r="L224" i="15"/>
  <c r="L225" i="15"/>
  <c r="I228" i="15"/>
  <c r="K228" i="15" s="1"/>
  <c r="I229" i="15"/>
  <c r="K229" i="15" s="1"/>
  <c r="I230" i="15"/>
  <c r="K230" i="15" s="1"/>
  <c r="N233" i="15"/>
  <c r="N234" i="15"/>
  <c r="N235" i="15"/>
  <c r="N236" i="15"/>
  <c r="J238" i="15"/>
  <c r="I240" i="15"/>
  <c r="K240" i="15" s="1"/>
  <c r="J240" i="15"/>
  <c r="I241" i="15"/>
  <c r="K241" i="15" s="1"/>
  <c r="J241" i="15"/>
  <c r="J242" i="15"/>
  <c r="N243" i="15"/>
  <c r="P243" i="15"/>
  <c r="L244" i="15"/>
  <c r="L245" i="15"/>
  <c r="L246" i="15"/>
  <c r="L247" i="15"/>
  <c r="I249" i="15"/>
  <c r="K251" i="15"/>
  <c r="K252" i="15"/>
  <c r="J253" i="15"/>
  <c r="N254" i="15"/>
  <c r="N232" i="15" s="1"/>
  <c r="P254" i="15"/>
  <c r="L255" i="15"/>
  <c r="L256" i="15"/>
  <c r="L257" i="15"/>
  <c r="L258" i="15"/>
  <c r="I260" i="15"/>
  <c r="K260" i="15" s="1"/>
  <c r="K262" i="15"/>
  <c r="K263" i="15"/>
  <c r="J265" i="15"/>
  <c r="L267" i="15"/>
  <c r="O267" i="15" s="1"/>
  <c r="M267" i="15"/>
  <c r="P267" i="15" s="1"/>
  <c r="N267" i="15"/>
  <c r="Q267" i="15"/>
  <c r="T267" i="15" s="1"/>
  <c r="R267" i="15"/>
  <c r="U267" i="15" s="1"/>
  <c r="S267" i="15"/>
  <c r="O270" i="15"/>
  <c r="P270" i="15"/>
  <c r="T270" i="15"/>
  <c r="U270" i="15"/>
  <c r="L271" i="15"/>
  <c r="M271" i="15"/>
  <c r="M269" i="15" s="1"/>
  <c r="N271" i="15"/>
  <c r="N269" i="15" s="1"/>
  <c r="Q271" i="15"/>
  <c r="R271" i="15"/>
  <c r="R268" i="15" s="1"/>
  <c r="S271" i="15"/>
  <c r="Q272" i="15"/>
  <c r="T272" i="15" s="1"/>
  <c r="R272" i="15"/>
  <c r="S272" i="15"/>
  <c r="U272" i="15"/>
  <c r="O273" i="15"/>
  <c r="P273" i="15"/>
  <c r="T273" i="15"/>
  <c r="U273" i="15"/>
  <c r="L274" i="15"/>
  <c r="M274" i="15"/>
  <c r="P274" i="15" s="1"/>
  <c r="N274" i="15"/>
  <c r="N272" i="15" s="1"/>
  <c r="T274" i="15"/>
  <c r="U274" i="15"/>
  <c r="I276" i="15"/>
  <c r="I265" i="15" s="1"/>
  <c r="K265" i="15" s="1"/>
  <c r="J281" i="15"/>
  <c r="L283" i="15"/>
  <c r="O283" i="15" s="1"/>
  <c r="M283" i="15"/>
  <c r="P283" i="15" s="1"/>
  <c r="N283" i="15"/>
  <c r="Q283" i="15"/>
  <c r="T283" i="15" s="1"/>
  <c r="R283" i="15"/>
  <c r="U283" i="15" s="1"/>
  <c r="S283" i="15"/>
  <c r="Q284" i="15"/>
  <c r="R284" i="15"/>
  <c r="U284" i="15" s="1"/>
  <c r="S284" i="15"/>
  <c r="T284" i="15"/>
  <c r="Q285" i="15"/>
  <c r="T285" i="15" s="1"/>
  <c r="R285" i="15"/>
  <c r="U285" i="15" s="1"/>
  <c r="S285" i="15"/>
  <c r="O286" i="15"/>
  <c r="P286" i="15"/>
  <c r="T286" i="15"/>
  <c r="U286" i="15"/>
  <c r="L287" i="15"/>
  <c r="M287" i="15"/>
  <c r="N287" i="15"/>
  <c r="N285" i="15" s="1"/>
  <c r="T287" i="15"/>
  <c r="U287" i="15"/>
  <c r="Q288" i="15"/>
  <c r="R288" i="15"/>
  <c r="S288" i="15"/>
  <c r="T288" i="15"/>
  <c r="U288" i="15"/>
  <c r="O289" i="15"/>
  <c r="P289" i="15"/>
  <c r="T289" i="15"/>
  <c r="U289" i="15"/>
  <c r="L290" i="15"/>
  <c r="M290" i="15"/>
  <c r="N290" i="15"/>
  <c r="N288" i="15" s="1"/>
  <c r="T290" i="15"/>
  <c r="U290" i="15"/>
  <c r="I292" i="15"/>
  <c r="I293" i="15"/>
  <c r="I280" i="15" s="1"/>
  <c r="J293" i="15"/>
  <c r="J280" i="15" s="1"/>
  <c r="I295" i="15"/>
  <c r="K295" i="15" s="1"/>
  <c r="I296" i="15"/>
  <c r="K296" i="15" s="1"/>
  <c r="J302" i="15"/>
  <c r="L304" i="15"/>
  <c r="O304" i="15" s="1"/>
  <c r="M304" i="15"/>
  <c r="P304" i="15" s="1"/>
  <c r="N304" i="15"/>
  <c r="Q304" i="15"/>
  <c r="R304" i="15"/>
  <c r="U304" i="15" s="1"/>
  <c r="S304" i="15"/>
  <c r="T304" i="15"/>
  <c r="O307" i="15"/>
  <c r="P307" i="15"/>
  <c r="T307" i="15"/>
  <c r="U307" i="15"/>
  <c r="L308" i="15"/>
  <c r="M308" i="15"/>
  <c r="N308" i="15"/>
  <c r="N306" i="15" s="1"/>
  <c r="Q308" i="15"/>
  <c r="R308" i="15"/>
  <c r="R305" i="15" s="1"/>
  <c r="S308" i="15"/>
  <c r="S305" i="15" s="1"/>
  <c r="Q309" i="15"/>
  <c r="R309" i="15"/>
  <c r="U309" i="15" s="1"/>
  <c r="S309" i="15"/>
  <c r="T309" i="15"/>
  <c r="O310" i="15"/>
  <c r="P310" i="15"/>
  <c r="T310" i="15"/>
  <c r="U310" i="15"/>
  <c r="L311" i="15"/>
  <c r="M311" i="15"/>
  <c r="M309" i="15" s="1"/>
  <c r="P309" i="15" s="1"/>
  <c r="N311" i="15"/>
  <c r="T311" i="15"/>
  <c r="U311" i="15"/>
  <c r="I314" i="15"/>
  <c r="J319" i="15"/>
  <c r="L321" i="15"/>
  <c r="M321" i="15"/>
  <c r="P321" i="15" s="1"/>
  <c r="N321" i="15"/>
  <c r="Q321" i="15"/>
  <c r="Q320" i="15" s="1"/>
  <c r="T320" i="15" s="1"/>
  <c r="R321" i="15"/>
  <c r="S321" i="15"/>
  <c r="S320" i="15" s="1"/>
  <c r="Q322" i="15"/>
  <c r="R322" i="15"/>
  <c r="S322" i="15"/>
  <c r="T322" i="15"/>
  <c r="U322" i="15"/>
  <c r="Q323" i="15"/>
  <c r="R323" i="15"/>
  <c r="U323" i="15" s="1"/>
  <c r="S323" i="15"/>
  <c r="T323" i="15"/>
  <c r="O324" i="15"/>
  <c r="P324" i="15"/>
  <c r="T324" i="15"/>
  <c r="U324" i="15"/>
  <c r="L325" i="15"/>
  <c r="M325" i="15"/>
  <c r="M323" i="15" s="1"/>
  <c r="N325" i="15"/>
  <c r="T325" i="15"/>
  <c r="U325" i="15"/>
  <c r="Q326" i="15"/>
  <c r="T326" i="15" s="1"/>
  <c r="R326" i="15"/>
  <c r="U326" i="15" s="1"/>
  <c r="S326" i="15"/>
  <c r="O327" i="15"/>
  <c r="P327" i="15"/>
  <c r="T327" i="15"/>
  <c r="U327" i="15"/>
  <c r="L328" i="15"/>
  <c r="L326" i="15" s="1"/>
  <c r="O326" i="15" s="1"/>
  <c r="M328" i="15"/>
  <c r="N328" i="15"/>
  <c r="N326" i="15" s="1"/>
  <c r="T328" i="15"/>
  <c r="U328" i="15"/>
  <c r="I330" i="15"/>
  <c r="L334" i="15"/>
  <c r="O334" i="15" s="1"/>
  <c r="M334" i="15"/>
  <c r="P334" i="15" s="1"/>
  <c r="N334" i="15"/>
  <c r="Q334" i="15"/>
  <c r="T334" i="15" s="1"/>
  <c r="R334" i="15"/>
  <c r="S334" i="15"/>
  <c r="U334" i="15"/>
  <c r="Q335" i="15"/>
  <c r="T335" i="15" s="1"/>
  <c r="R335" i="15"/>
  <c r="U335" i="15" s="1"/>
  <c r="S335" i="15"/>
  <c r="Q336" i="15"/>
  <c r="R336" i="15"/>
  <c r="U336" i="15" s="1"/>
  <c r="S336" i="15"/>
  <c r="T336" i="15"/>
  <c r="O337" i="15"/>
  <c r="P337" i="15"/>
  <c r="T337" i="15"/>
  <c r="U337" i="15"/>
  <c r="L338" i="15"/>
  <c r="M338" i="15"/>
  <c r="M336" i="15" s="1"/>
  <c r="N338" i="15"/>
  <c r="T338" i="15"/>
  <c r="U338" i="15"/>
  <c r="Q339" i="15"/>
  <c r="T339" i="15" s="1"/>
  <c r="R339" i="15"/>
  <c r="S339" i="15"/>
  <c r="U339" i="15"/>
  <c r="O340" i="15"/>
  <c r="P340" i="15"/>
  <c r="T340" i="15"/>
  <c r="U340" i="15"/>
  <c r="L341" i="15"/>
  <c r="L339" i="15" s="1"/>
  <c r="O339" i="15" s="1"/>
  <c r="M341" i="15"/>
  <c r="M339" i="15" s="1"/>
  <c r="P339" i="15" s="1"/>
  <c r="N341" i="15"/>
  <c r="N339" i="15" s="1"/>
  <c r="T341" i="15"/>
  <c r="U341" i="15"/>
  <c r="I344" i="15"/>
  <c r="I332" i="15" s="1"/>
  <c r="J344" i="15"/>
  <c r="I346" i="15"/>
  <c r="J346" i="15"/>
  <c r="J347" i="15"/>
  <c r="J348" i="15"/>
  <c r="J349" i="15"/>
  <c r="D350" i="15"/>
  <c r="J352" i="15"/>
  <c r="J353" i="15"/>
  <c r="D354" i="15"/>
  <c r="R356" i="15"/>
  <c r="U356" i="15" s="1"/>
  <c r="L357" i="15"/>
  <c r="O357" i="15" s="1"/>
  <c r="M357" i="15"/>
  <c r="P357" i="15" s="1"/>
  <c r="N357" i="15"/>
  <c r="Q357" i="15"/>
  <c r="T357" i="15" s="1"/>
  <c r="R357" i="15"/>
  <c r="S357" i="15"/>
  <c r="U357" i="15"/>
  <c r="Q358" i="15"/>
  <c r="T358" i="15" s="1"/>
  <c r="R358" i="15"/>
  <c r="U358" i="15" s="1"/>
  <c r="S358" i="15"/>
  <c r="Q359" i="15"/>
  <c r="T359" i="15" s="1"/>
  <c r="R359" i="15"/>
  <c r="U359" i="15" s="1"/>
  <c r="S359" i="15"/>
  <c r="O360" i="15"/>
  <c r="P360" i="15"/>
  <c r="T360" i="15"/>
  <c r="U360" i="15"/>
  <c r="L361" i="15"/>
  <c r="M361" i="15"/>
  <c r="N361" i="15"/>
  <c r="N359" i="15" s="1"/>
  <c r="T361" i="15"/>
  <c r="U361" i="15"/>
  <c r="Q362" i="15"/>
  <c r="R362" i="15"/>
  <c r="U362" i="15" s="1"/>
  <c r="S362" i="15"/>
  <c r="T362" i="15"/>
  <c r="O363" i="15"/>
  <c r="P363" i="15"/>
  <c r="T363" i="15"/>
  <c r="U363" i="15"/>
  <c r="L364" i="15"/>
  <c r="M364" i="15"/>
  <c r="N364" i="15"/>
  <c r="N362" i="15" s="1"/>
  <c r="T364" i="15"/>
  <c r="U364" i="15"/>
  <c r="J367" i="15"/>
  <c r="K367" i="15"/>
  <c r="I368" i="15"/>
  <c r="J368" i="15"/>
  <c r="I369" i="15"/>
  <c r="J369" i="15"/>
  <c r="J370" i="15"/>
  <c r="K370" i="15"/>
  <c r="I371" i="15"/>
  <c r="I365" i="15" s="1"/>
  <c r="J371" i="15"/>
  <c r="J372" i="15"/>
  <c r="K372" i="15"/>
  <c r="D373" i="15"/>
  <c r="L376" i="15"/>
  <c r="M376" i="15"/>
  <c r="N376" i="15"/>
  <c r="O376" i="15"/>
  <c r="P376" i="15"/>
  <c r="Q376" i="15"/>
  <c r="T376" i="15" s="1"/>
  <c r="R376" i="15"/>
  <c r="S376" i="15"/>
  <c r="U376" i="15"/>
  <c r="O379" i="15"/>
  <c r="P379" i="15"/>
  <c r="T379" i="15"/>
  <c r="U379" i="15"/>
  <c r="L380" i="15"/>
  <c r="L378" i="15" s="1"/>
  <c r="O378" i="15" s="1"/>
  <c r="M380" i="15"/>
  <c r="N380" i="15"/>
  <c r="Q380" i="15"/>
  <c r="Q378" i="15" s="1"/>
  <c r="R380" i="15"/>
  <c r="R378" i="15" s="1"/>
  <c r="S380" i="15"/>
  <c r="S377" i="15" s="1"/>
  <c r="Q381" i="15"/>
  <c r="T381" i="15" s="1"/>
  <c r="R381" i="15"/>
  <c r="U381" i="15" s="1"/>
  <c r="S381" i="15"/>
  <c r="O382" i="15"/>
  <c r="P382" i="15"/>
  <c r="T382" i="15"/>
  <c r="U382" i="15"/>
  <c r="L383" i="15"/>
  <c r="L381" i="15" s="1"/>
  <c r="O381" i="15" s="1"/>
  <c r="M383" i="15"/>
  <c r="P383" i="15" s="1"/>
  <c r="N383" i="15"/>
  <c r="N381" i="15" s="1"/>
  <c r="T383" i="15"/>
  <c r="U383" i="15"/>
  <c r="J385" i="15"/>
  <c r="K385" i="15"/>
  <c r="I386" i="15"/>
  <c r="J386" i="15"/>
  <c r="J387" i="15"/>
  <c r="K387" i="15"/>
  <c r="I388" i="15"/>
  <c r="K388" i="15" s="1"/>
  <c r="J388" i="15"/>
  <c r="I391" i="15"/>
  <c r="J391" i="15"/>
  <c r="K391" i="15"/>
  <c r="L393" i="15"/>
  <c r="M393" i="15"/>
  <c r="N393" i="15"/>
  <c r="Q393" i="15"/>
  <c r="R393" i="15"/>
  <c r="S393" i="15"/>
  <c r="L394" i="15"/>
  <c r="O394" i="15" s="1"/>
  <c r="M394" i="15"/>
  <c r="P394" i="15" s="1"/>
  <c r="N394" i="15"/>
  <c r="N392" i="15" s="1"/>
  <c r="L395" i="15"/>
  <c r="M395" i="15"/>
  <c r="P395" i="15" s="1"/>
  <c r="N395" i="15"/>
  <c r="O395" i="15"/>
  <c r="O396" i="15"/>
  <c r="P396" i="15"/>
  <c r="T396" i="15"/>
  <c r="U396" i="15"/>
  <c r="O397" i="15"/>
  <c r="P397" i="15"/>
  <c r="Q397" i="15"/>
  <c r="Q395" i="15" s="1"/>
  <c r="T395" i="15" s="1"/>
  <c r="R397" i="15"/>
  <c r="S397" i="15"/>
  <c r="S395" i="15" s="1"/>
  <c r="L398" i="15"/>
  <c r="O398" i="15" s="1"/>
  <c r="M398" i="15"/>
  <c r="P398" i="15" s="1"/>
  <c r="N398" i="15"/>
  <c r="Q398" i="15"/>
  <c r="T398" i="15" s="1"/>
  <c r="R398" i="15"/>
  <c r="U398" i="15" s="1"/>
  <c r="S398" i="15"/>
  <c r="O399" i="15"/>
  <c r="P399" i="15"/>
  <c r="T399" i="15"/>
  <c r="U399" i="15"/>
  <c r="O400" i="15"/>
  <c r="P400" i="15"/>
  <c r="T400" i="15"/>
  <c r="U400" i="15"/>
  <c r="L414" i="15"/>
  <c r="O414" i="15" s="1"/>
  <c r="M414" i="15"/>
  <c r="N414" i="15"/>
  <c r="Q414" i="15"/>
  <c r="T414" i="15" s="1"/>
  <c r="R414" i="15"/>
  <c r="S414" i="15"/>
  <c r="O417" i="15"/>
  <c r="P417" i="15"/>
  <c r="T417" i="15"/>
  <c r="U417" i="15"/>
  <c r="L418" i="15"/>
  <c r="L416" i="15" s="1"/>
  <c r="M418" i="15"/>
  <c r="N418" i="15"/>
  <c r="Q418" i="15"/>
  <c r="R418" i="15"/>
  <c r="R416" i="15" s="1"/>
  <c r="S418" i="15"/>
  <c r="S416" i="15" s="1"/>
  <c r="Q419" i="15"/>
  <c r="T419" i="15" s="1"/>
  <c r="R419" i="15"/>
  <c r="U419" i="15" s="1"/>
  <c r="S419" i="15"/>
  <c r="O420" i="15"/>
  <c r="P420" i="15"/>
  <c r="T420" i="15"/>
  <c r="U420" i="15"/>
  <c r="L421" i="15"/>
  <c r="L419" i="15" s="1"/>
  <c r="O419" i="15" s="1"/>
  <c r="M421" i="15"/>
  <c r="P421" i="15" s="1"/>
  <c r="N421" i="15"/>
  <c r="N419" i="15" s="1"/>
  <c r="T421" i="15"/>
  <c r="U421" i="15"/>
  <c r="I424" i="15"/>
  <c r="J424" i="15"/>
  <c r="I425" i="15"/>
  <c r="J425" i="15"/>
  <c r="I432" i="15"/>
  <c r="J432" i="15"/>
  <c r="I433" i="15"/>
  <c r="J433" i="15"/>
  <c r="I440" i="15"/>
  <c r="I423" i="15" s="1"/>
  <c r="J440" i="15"/>
  <c r="I441" i="15"/>
  <c r="K441" i="15" s="1"/>
  <c r="J446" i="15"/>
  <c r="J447" i="15"/>
  <c r="J441" i="15" s="1"/>
  <c r="I457" i="15"/>
  <c r="I456" i="15" s="1"/>
  <c r="I458" i="15"/>
  <c r="K458" i="15" s="1"/>
  <c r="J459" i="15"/>
  <c r="J460" i="15"/>
  <c r="J467" i="15"/>
  <c r="J468" i="15"/>
  <c r="J458" i="15" s="1"/>
  <c r="J475" i="15"/>
  <c r="K475" i="15"/>
  <c r="J476" i="15"/>
  <c r="K476" i="15"/>
  <c r="J477" i="15"/>
  <c r="K477" i="15"/>
  <c r="J482" i="15"/>
  <c r="J483" i="15"/>
  <c r="I484" i="15"/>
  <c r="K484" i="15" s="1"/>
  <c r="J484" i="15"/>
  <c r="I485" i="15"/>
  <c r="K485" i="15" s="1"/>
  <c r="J485" i="15"/>
  <c r="L494" i="15"/>
  <c r="M494" i="15"/>
  <c r="N494" i="15"/>
  <c r="O494" i="15"/>
  <c r="Q494" i="15"/>
  <c r="T494" i="15" s="1"/>
  <c r="R494" i="15"/>
  <c r="S494" i="15"/>
  <c r="O497" i="15"/>
  <c r="P497" i="15"/>
  <c r="T497" i="15"/>
  <c r="U497" i="15"/>
  <c r="L498" i="15"/>
  <c r="L496" i="15" s="1"/>
  <c r="M498" i="15"/>
  <c r="M496" i="15" s="1"/>
  <c r="N498" i="15"/>
  <c r="Q498" i="15"/>
  <c r="R498" i="15"/>
  <c r="R495" i="15" s="1"/>
  <c r="S498" i="15"/>
  <c r="S495" i="15" s="1"/>
  <c r="S493" i="15" s="1"/>
  <c r="Q499" i="15"/>
  <c r="T499" i="15" s="1"/>
  <c r="R499" i="15"/>
  <c r="U499" i="15" s="1"/>
  <c r="S499" i="15"/>
  <c r="O500" i="15"/>
  <c r="P500" i="15"/>
  <c r="T500" i="15"/>
  <c r="U500" i="15"/>
  <c r="L501" i="15"/>
  <c r="M501" i="15"/>
  <c r="M499" i="15" s="1"/>
  <c r="P499" i="15" s="1"/>
  <c r="N501" i="15"/>
  <c r="N499" i="15" s="1"/>
  <c r="T501" i="15"/>
  <c r="U501" i="15"/>
  <c r="I503" i="15"/>
  <c r="I504" i="15"/>
  <c r="K504" i="15" s="1"/>
  <c r="I505" i="15"/>
  <c r="K505" i="15" s="1"/>
  <c r="I506" i="15"/>
  <c r="K506" i="15" s="1"/>
  <c r="I507" i="15"/>
  <c r="K507" i="15" s="1"/>
  <c r="K508" i="15"/>
  <c r="I509" i="15"/>
  <c r="K509" i="15" s="1"/>
  <c r="I512" i="15"/>
  <c r="J512" i="15"/>
  <c r="K512" i="15"/>
  <c r="L514" i="15"/>
  <c r="M514" i="15"/>
  <c r="P514" i="15" s="1"/>
  <c r="N514" i="15"/>
  <c r="Q514" i="15"/>
  <c r="T514" i="15" s="1"/>
  <c r="R514" i="15"/>
  <c r="R513" i="15" s="1"/>
  <c r="U513" i="15" s="1"/>
  <c r="S514" i="15"/>
  <c r="Q515" i="15"/>
  <c r="Q513" i="15" s="1"/>
  <c r="T513" i="15" s="1"/>
  <c r="R515" i="15"/>
  <c r="U515" i="15" s="1"/>
  <c r="S515" i="15"/>
  <c r="Q516" i="15"/>
  <c r="R516" i="15"/>
  <c r="U516" i="15" s="1"/>
  <c r="S516" i="15"/>
  <c r="T516" i="15"/>
  <c r="O517" i="15"/>
  <c r="P517" i="15"/>
  <c r="T517" i="15"/>
  <c r="U517" i="15"/>
  <c r="L518" i="15"/>
  <c r="L516" i="15" s="1"/>
  <c r="O516" i="15" s="1"/>
  <c r="M518" i="15"/>
  <c r="P518" i="15" s="1"/>
  <c r="N518" i="15"/>
  <c r="T518" i="15"/>
  <c r="U518" i="15"/>
  <c r="Q519" i="15"/>
  <c r="R519" i="15"/>
  <c r="U519" i="15" s="1"/>
  <c r="S519" i="15"/>
  <c r="T519" i="15"/>
  <c r="O520" i="15"/>
  <c r="P520" i="15"/>
  <c r="T520" i="15"/>
  <c r="U520" i="15"/>
  <c r="L521" i="15"/>
  <c r="M521" i="15"/>
  <c r="M519" i="15" s="1"/>
  <c r="P519" i="15" s="1"/>
  <c r="N521" i="15"/>
  <c r="N519" i="15" s="1"/>
  <c r="T521" i="15"/>
  <c r="U521" i="15"/>
  <c r="K523" i="15"/>
  <c r="K524" i="15"/>
  <c r="I533" i="15"/>
  <c r="K533" i="15" s="1"/>
  <c r="J533" i="15"/>
  <c r="L535" i="15"/>
  <c r="O535" i="15" s="1"/>
  <c r="M535" i="15"/>
  <c r="N535" i="15"/>
  <c r="Q535" i="15"/>
  <c r="Q534" i="15" s="1"/>
  <c r="T534" i="15" s="1"/>
  <c r="R535" i="15"/>
  <c r="U535" i="15" s="1"/>
  <c r="S535" i="15"/>
  <c r="S534" i="15" s="1"/>
  <c r="T535" i="15"/>
  <c r="Q536" i="15"/>
  <c r="R536" i="15"/>
  <c r="S536" i="15"/>
  <c r="T536" i="15"/>
  <c r="Q537" i="15"/>
  <c r="T537" i="15" s="1"/>
  <c r="R537" i="15"/>
  <c r="U537" i="15" s="1"/>
  <c r="S537" i="15"/>
  <c r="O538" i="15"/>
  <c r="P538" i="15"/>
  <c r="T538" i="15"/>
  <c r="U538" i="15"/>
  <c r="L539" i="15"/>
  <c r="L537" i="15" s="1"/>
  <c r="O537" i="15" s="1"/>
  <c r="M539" i="15"/>
  <c r="M537" i="15" s="1"/>
  <c r="P537" i="15" s="1"/>
  <c r="N539" i="15"/>
  <c r="T539" i="15"/>
  <c r="U539" i="15"/>
  <c r="Q540" i="15"/>
  <c r="R540" i="15"/>
  <c r="S540" i="15"/>
  <c r="T540" i="15"/>
  <c r="U540" i="15"/>
  <c r="O541" i="15"/>
  <c r="P541" i="15"/>
  <c r="T541" i="15"/>
  <c r="U541" i="15"/>
  <c r="L542" i="15"/>
  <c r="M542" i="15"/>
  <c r="M540" i="15" s="1"/>
  <c r="P540" i="15" s="1"/>
  <c r="N542" i="15"/>
  <c r="N540" i="15" s="1"/>
  <c r="T542" i="15"/>
  <c r="U542" i="15"/>
  <c r="I554" i="15"/>
  <c r="K554" i="15" s="1"/>
  <c r="J554" i="15"/>
  <c r="Q555" i="15"/>
  <c r="T555" i="15" s="1"/>
  <c r="L556" i="15"/>
  <c r="O556" i="15" s="1"/>
  <c r="M556" i="15"/>
  <c r="N556" i="15"/>
  <c r="Q556" i="15"/>
  <c r="R556" i="15"/>
  <c r="U556" i="15" s="1"/>
  <c r="S556" i="15"/>
  <c r="T556" i="15"/>
  <c r="Q557" i="15"/>
  <c r="T557" i="15" s="1"/>
  <c r="R557" i="15"/>
  <c r="S557" i="15"/>
  <c r="Q558" i="15"/>
  <c r="T558" i="15" s="1"/>
  <c r="R558" i="15"/>
  <c r="U558" i="15" s="1"/>
  <c r="S558" i="15"/>
  <c r="O559" i="15"/>
  <c r="P559" i="15"/>
  <c r="T559" i="15"/>
  <c r="U559" i="15"/>
  <c r="L560" i="15"/>
  <c r="O560" i="15" s="1"/>
  <c r="M560" i="15"/>
  <c r="M558" i="15" s="1"/>
  <c r="P558" i="15" s="1"/>
  <c r="N560" i="15"/>
  <c r="T560" i="15"/>
  <c r="U560" i="15"/>
  <c r="Q561" i="15"/>
  <c r="T561" i="15" s="1"/>
  <c r="R561" i="15"/>
  <c r="U561" i="15" s="1"/>
  <c r="S561" i="15"/>
  <c r="O562" i="15"/>
  <c r="P562" i="15"/>
  <c r="T562" i="15"/>
  <c r="U562" i="15"/>
  <c r="L563" i="15"/>
  <c r="L561" i="15" s="1"/>
  <c r="O561" i="15" s="1"/>
  <c r="M563" i="15"/>
  <c r="M561" i="15" s="1"/>
  <c r="P561" i="15" s="1"/>
  <c r="N563" i="15"/>
  <c r="N561" i="15" s="1"/>
  <c r="T563" i="15"/>
  <c r="U563" i="15"/>
  <c r="I575" i="15"/>
  <c r="J575" i="15"/>
  <c r="K575" i="15"/>
  <c r="L577" i="15"/>
  <c r="O577" i="15" s="1"/>
  <c r="M577" i="15"/>
  <c r="P577" i="15" s="1"/>
  <c r="N577" i="15"/>
  <c r="Q577" i="15"/>
  <c r="T577" i="15" s="1"/>
  <c r="R577" i="15"/>
  <c r="U577" i="15" s="1"/>
  <c r="S577" i="15"/>
  <c r="Q578" i="15"/>
  <c r="R578" i="15"/>
  <c r="S578" i="15"/>
  <c r="T578" i="15"/>
  <c r="U578" i="15"/>
  <c r="Q579" i="15"/>
  <c r="T579" i="15" s="1"/>
  <c r="R579" i="15"/>
  <c r="U579" i="15" s="1"/>
  <c r="S579" i="15"/>
  <c r="O580" i="15"/>
  <c r="P580" i="15"/>
  <c r="T580" i="15"/>
  <c r="U580" i="15"/>
  <c r="L581" i="15"/>
  <c r="L579" i="15" s="1"/>
  <c r="M581" i="15"/>
  <c r="M579" i="15" s="1"/>
  <c r="N581" i="15"/>
  <c r="N579" i="15" s="1"/>
  <c r="T581" i="15"/>
  <c r="U581" i="15"/>
  <c r="Q582" i="15"/>
  <c r="T582" i="15" s="1"/>
  <c r="R582" i="15"/>
  <c r="U582" i="15" s="1"/>
  <c r="S582" i="15"/>
  <c r="O583" i="15"/>
  <c r="P583" i="15"/>
  <c r="T583" i="15"/>
  <c r="U583" i="15"/>
  <c r="L584" i="15"/>
  <c r="M584" i="15"/>
  <c r="M582" i="15" s="1"/>
  <c r="P582" i="15" s="1"/>
  <c r="N584" i="15"/>
  <c r="N582" i="15" s="1"/>
  <c r="T584" i="15"/>
  <c r="U584" i="15"/>
  <c r="K586" i="15"/>
  <c r="K587" i="15"/>
  <c r="L600" i="15"/>
  <c r="M600" i="15"/>
  <c r="P600" i="15" s="1"/>
  <c r="N600" i="15"/>
  <c r="O600" i="15"/>
  <c r="Q600" i="15"/>
  <c r="R600" i="15"/>
  <c r="S600" i="15"/>
  <c r="T600" i="15"/>
  <c r="U600" i="15"/>
  <c r="O603" i="15"/>
  <c r="P603" i="15"/>
  <c r="T603" i="15"/>
  <c r="U603" i="15"/>
  <c r="L604" i="15"/>
  <c r="M604" i="15"/>
  <c r="P604" i="15" s="1"/>
  <c r="N604" i="15"/>
  <c r="Q604" i="15"/>
  <c r="T604" i="15" s="1"/>
  <c r="R604" i="15"/>
  <c r="R602" i="15" s="1"/>
  <c r="U602" i="15" s="1"/>
  <c r="S604" i="15"/>
  <c r="O606" i="15"/>
  <c r="P606" i="15"/>
  <c r="T606" i="15"/>
  <c r="U606" i="15"/>
  <c r="L607" i="15"/>
  <c r="O607" i="15" s="1"/>
  <c r="M607" i="15"/>
  <c r="P607" i="15" s="1"/>
  <c r="N607" i="15"/>
  <c r="N605" i="15" s="1"/>
  <c r="Q607" i="15"/>
  <c r="T607" i="15" s="1"/>
  <c r="R607" i="15"/>
  <c r="S607" i="15"/>
  <c r="S605" i="15" s="1"/>
  <c r="L617" i="15"/>
  <c r="M617" i="15"/>
  <c r="N617" i="15"/>
  <c r="Q617" i="15"/>
  <c r="R617" i="15"/>
  <c r="S617" i="15"/>
  <c r="L618" i="15"/>
  <c r="M618" i="15"/>
  <c r="P618" i="15" s="1"/>
  <c r="N618" i="15"/>
  <c r="N616" i="15" s="1"/>
  <c r="O618" i="15"/>
  <c r="L619" i="15"/>
  <c r="M619" i="15"/>
  <c r="N619" i="15"/>
  <c r="O619" i="15"/>
  <c r="P619" i="15"/>
  <c r="O620" i="15"/>
  <c r="P620" i="15"/>
  <c r="T620" i="15"/>
  <c r="U620" i="15"/>
  <c r="O621" i="15"/>
  <c r="P621" i="15"/>
  <c r="Q621" i="15"/>
  <c r="Q619" i="15" s="1"/>
  <c r="R621" i="15"/>
  <c r="R619" i="15" s="1"/>
  <c r="S621" i="15"/>
  <c r="S618" i="15" s="1"/>
  <c r="L622" i="15"/>
  <c r="O622" i="15" s="1"/>
  <c r="M622" i="15"/>
  <c r="P622" i="15" s="1"/>
  <c r="N622" i="15"/>
  <c r="Q622" i="15"/>
  <c r="T622" i="15" s="1"/>
  <c r="R622" i="15"/>
  <c r="U622" i="15" s="1"/>
  <c r="S622" i="15"/>
  <c r="O623" i="15"/>
  <c r="P623" i="15"/>
  <c r="T623" i="15"/>
  <c r="U623" i="15"/>
  <c r="O624" i="15"/>
  <c r="P624" i="15"/>
  <c r="T624" i="15"/>
  <c r="U624" i="15"/>
  <c r="I626" i="15"/>
  <c r="K626" i="15" s="1"/>
  <c r="I627" i="15"/>
  <c r="K627" i="15" s="1"/>
  <c r="I628" i="15"/>
  <c r="K628" i="15" s="1"/>
  <c r="J632" i="15"/>
  <c r="J626" i="15" s="1"/>
  <c r="J615" i="15" s="1"/>
  <c r="I635" i="15"/>
  <c r="K635" i="15" s="1"/>
  <c r="J636" i="15"/>
  <c r="J635" i="15" s="1"/>
  <c r="N642" i="15"/>
  <c r="L643" i="15"/>
  <c r="M643" i="15"/>
  <c r="P643" i="15" s="1"/>
  <c r="N643" i="15"/>
  <c r="Q643" i="15"/>
  <c r="R643" i="15"/>
  <c r="S643" i="15"/>
  <c r="L644" i="15"/>
  <c r="O644" i="15" s="1"/>
  <c r="M644" i="15"/>
  <c r="P644" i="15" s="1"/>
  <c r="N644" i="15"/>
  <c r="L645" i="15"/>
  <c r="M645" i="15"/>
  <c r="P645" i="15" s="1"/>
  <c r="N645" i="15"/>
  <c r="O645" i="15"/>
  <c r="O646" i="15"/>
  <c r="P646" i="15"/>
  <c r="T646" i="15"/>
  <c r="U646" i="15"/>
  <c r="O647" i="15"/>
  <c r="P647" i="15"/>
  <c r="Q647" i="15"/>
  <c r="Q645" i="15" s="1"/>
  <c r="T645" i="15" s="1"/>
  <c r="R647" i="15"/>
  <c r="U647" i="15" s="1"/>
  <c r="S647" i="15"/>
  <c r="S645" i="15" s="1"/>
  <c r="L648" i="15"/>
  <c r="O648" i="15" s="1"/>
  <c r="M648" i="15"/>
  <c r="P648" i="15" s="1"/>
  <c r="N648" i="15"/>
  <c r="Q648" i="15"/>
  <c r="T648" i="15" s="1"/>
  <c r="R648" i="15"/>
  <c r="U648" i="15" s="1"/>
  <c r="S648" i="15"/>
  <c r="O649" i="15"/>
  <c r="P649" i="15"/>
  <c r="T649" i="15"/>
  <c r="U649" i="15"/>
  <c r="O650" i="15"/>
  <c r="P650" i="15"/>
  <c r="T650" i="15"/>
  <c r="U650" i="15"/>
  <c r="I652" i="15"/>
  <c r="K652" i="15" s="1"/>
  <c r="J652" i="15"/>
  <c r="I653" i="15"/>
  <c r="K653" i="15" s="1"/>
  <c r="J653" i="15"/>
  <c r="I654" i="15"/>
  <c r="K654" i="15" s="1"/>
  <c r="J654" i="15"/>
  <c r="I657" i="15"/>
  <c r="I660" i="15"/>
  <c r="I661" i="15"/>
  <c r="K661" i="15" s="1"/>
  <c r="J661" i="15"/>
  <c r="J671" i="15"/>
  <c r="J672" i="15"/>
  <c r="I673" i="15"/>
  <c r="K673" i="15" s="1"/>
  <c r="J673" i="15"/>
  <c r="I674" i="15"/>
  <c r="K674" i="15" s="1"/>
  <c r="I675" i="15"/>
  <c r="K675" i="15" s="1"/>
  <c r="I676" i="15"/>
  <c r="K676" i="15" s="1"/>
  <c r="J676" i="15"/>
  <c r="J677" i="15"/>
  <c r="I678" i="15"/>
  <c r="K678" i="15" s="1"/>
  <c r="J678" i="15"/>
  <c r="I679" i="15"/>
  <c r="K679" i="15" s="1"/>
  <c r="J679" i="15"/>
  <c r="J680" i="15"/>
  <c r="I681" i="15"/>
  <c r="K681" i="15" s="1"/>
  <c r="J681" i="15"/>
  <c r="I682" i="15"/>
  <c r="K682" i="15" s="1"/>
  <c r="J682" i="15"/>
  <c r="L691" i="15"/>
  <c r="M691" i="15"/>
  <c r="P691" i="15" s="1"/>
  <c r="N691" i="15"/>
  <c r="N690" i="15" s="1"/>
  <c r="Q691" i="15"/>
  <c r="R691" i="15"/>
  <c r="S691" i="15"/>
  <c r="L692" i="15"/>
  <c r="O692" i="15" s="1"/>
  <c r="M692" i="15"/>
  <c r="P692" i="15" s="1"/>
  <c r="N692" i="15"/>
  <c r="L693" i="15"/>
  <c r="M693" i="15"/>
  <c r="N693" i="15"/>
  <c r="O693" i="15"/>
  <c r="P693" i="15"/>
  <c r="O694" i="15"/>
  <c r="P694" i="15"/>
  <c r="T694" i="15"/>
  <c r="U694" i="15"/>
  <c r="O695" i="15"/>
  <c r="P695" i="15"/>
  <c r="Q695" i="15"/>
  <c r="Q693" i="15" s="1"/>
  <c r="R695" i="15"/>
  <c r="R692" i="15" s="1"/>
  <c r="S695" i="15"/>
  <c r="S693" i="15" s="1"/>
  <c r="L696" i="15"/>
  <c r="O696" i="15" s="1"/>
  <c r="M696" i="15"/>
  <c r="P696" i="15" s="1"/>
  <c r="N696" i="15"/>
  <c r="Q696" i="15"/>
  <c r="T696" i="15" s="1"/>
  <c r="R696" i="15"/>
  <c r="U696" i="15" s="1"/>
  <c r="S696" i="15"/>
  <c r="O697" i="15"/>
  <c r="P697" i="15"/>
  <c r="T697" i="15"/>
  <c r="U697" i="15"/>
  <c r="O698" i="15"/>
  <c r="P698" i="15"/>
  <c r="T698" i="15"/>
  <c r="U698" i="15"/>
  <c r="I700" i="15"/>
  <c r="K700" i="15" s="1"/>
  <c r="K702" i="15"/>
  <c r="I703" i="15"/>
  <c r="J703" i="15"/>
  <c r="J704" i="15"/>
  <c r="K704" i="15"/>
  <c r="I705" i="15"/>
  <c r="J705" i="15"/>
  <c r="J706" i="15"/>
  <c r="K706" i="15"/>
  <c r="I707" i="15"/>
  <c r="K707" i="15" s="1"/>
  <c r="J707" i="15"/>
  <c r="J689" i="15" s="1"/>
  <c r="J708" i="15"/>
  <c r="K708" i="15"/>
  <c r="I709" i="15"/>
  <c r="J709" i="15"/>
  <c r="J710" i="15"/>
  <c r="K710" i="15"/>
  <c r="J712" i="15"/>
  <c r="K712" i="15"/>
  <c r="L714" i="15"/>
  <c r="O714" i="15" s="1"/>
  <c r="S714" i="15"/>
  <c r="L715" i="15"/>
  <c r="M715" i="15"/>
  <c r="P715" i="15" s="1"/>
  <c r="N715" i="15"/>
  <c r="O715" i="15"/>
  <c r="Q715" i="15"/>
  <c r="T715" i="15" s="1"/>
  <c r="R715" i="15"/>
  <c r="R714" i="15" s="1"/>
  <c r="U714" i="15" s="1"/>
  <c r="S715" i="15"/>
  <c r="L716" i="15"/>
  <c r="O716" i="15" s="1"/>
  <c r="M716" i="15"/>
  <c r="P716" i="15" s="1"/>
  <c r="N716" i="15"/>
  <c r="Q716" i="15"/>
  <c r="T716" i="15" s="1"/>
  <c r="R716" i="15"/>
  <c r="U716" i="15" s="1"/>
  <c r="S716" i="15"/>
  <c r="L717" i="15"/>
  <c r="O717" i="15" s="1"/>
  <c r="M717" i="15"/>
  <c r="P717" i="15" s="1"/>
  <c r="N717" i="15"/>
  <c r="Q717" i="15"/>
  <c r="R717" i="15"/>
  <c r="U717" i="15" s="1"/>
  <c r="S717" i="15"/>
  <c r="T717" i="15"/>
  <c r="O718" i="15"/>
  <c r="P718" i="15"/>
  <c r="T718" i="15"/>
  <c r="U718" i="15"/>
  <c r="O719" i="15"/>
  <c r="P719" i="15"/>
  <c r="T719" i="15"/>
  <c r="U719" i="15"/>
  <c r="L720" i="15"/>
  <c r="O720" i="15" s="1"/>
  <c r="M720" i="15"/>
  <c r="P720" i="15" s="1"/>
  <c r="N720" i="15"/>
  <c r="Q720" i="15"/>
  <c r="T720" i="15" s="1"/>
  <c r="R720" i="15"/>
  <c r="U720" i="15" s="1"/>
  <c r="S720" i="15"/>
  <c r="O721" i="15"/>
  <c r="P721" i="15"/>
  <c r="T721" i="15"/>
  <c r="U721" i="15"/>
  <c r="O722" i="15"/>
  <c r="P722" i="15"/>
  <c r="T722" i="15"/>
  <c r="U722" i="15"/>
  <c r="I726" i="15"/>
  <c r="J726" i="15"/>
  <c r="I727" i="15"/>
  <c r="J727" i="15"/>
  <c r="L729" i="15"/>
  <c r="O729" i="15" s="1"/>
  <c r="M729" i="15"/>
  <c r="M728" i="15" s="1"/>
  <c r="P728" i="15" s="1"/>
  <c r="N729" i="15"/>
  <c r="P729" i="15"/>
  <c r="Q729" i="15"/>
  <c r="R729" i="15"/>
  <c r="U729" i="15" s="1"/>
  <c r="S729" i="15"/>
  <c r="T729" i="15"/>
  <c r="L730" i="15"/>
  <c r="O730" i="15" s="1"/>
  <c r="M730" i="15"/>
  <c r="P730" i="15" s="1"/>
  <c r="N730" i="15"/>
  <c r="L731" i="15"/>
  <c r="O731" i="15" s="1"/>
  <c r="M731" i="15"/>
  <c r="P731" i="15" s="1"/>
  <c r="N731" i="15"/>
  <c r="O732" i="15"/>
  <c r="P732" i="15"/>
  <c r="T732" i="15"/>
  <c r="U732" i="15"/>
  <c r="O733" i="15"/>
  <c r="P733" i="15"/>
  <c r="Q733" i="15"/>
  <c r="Q731" i="15" s="1"/>
  <c r="R733" i="15"/>
  <c r="R731" i="15" s="1"/>
  <c r="S733" i="15"/>
  <c r="S731" i="15" s="1"/>
  <c r="L734" i="15"/>
  <c r="M734" i="15"/>
  <c r="P734" i="15" s="1"/>
  <c r="N734" i="15"/>
  <c r="O734" i="15"/>
  <c r="Q734" i="15"/>
  <c r="T734" i="15" s="1"/>
  <c r="R734" i="15"/>
  <c r="S734" i="15"/>
  <c r="U734" i="15"/>
  <c r="O735" i="15"/>
  <c r="P735" i="15"/>
  <c r="T735" i="15"/>
  <c r="U735" i="15"/>
  <c r="O736" i="15"/>
  <c r="P736" i="15"/>
  <c r="T736" i="15"/>
  <c r="U736" i="15"/>
  <c r="I740" i="15"/>
  <c r="K740" i="15" s="1"/>
  <c r="I742" i="15"/>
  <c r="K742" i="15" s="1"/>
  <c r="I744" i="15"/>
  <c r="K744" i="15" s="1"/>
  <c r="I746" i="15"/>
  <c r="K746" i="15" s="1"/>
  <c r="I749" i="15"/>
  <c r="K749" i="15" s="1"/>
  <c r="I752" i="15"/>
  <c r="K752" i="15" s="1"/>
  <c r="I755" i="15"/>
  <c r="K755" i="15" s="1"/>
  <c r="J758" i="15"/>
  <c r="J759" i="15"/>
  <c r="N760" i="15"/>
  <c r="L761" i="15"/>
  <c r="O761" i="15" s="1"/>
  <c r="M761" i="15"/>
  <c r="M760" i="15" s="1"/>
  <c r="P760" i="15" s="1"/>
  <c r="N761" i="15"/>
  <c r="Q761" i="15"/>
  <c r="R761" i="15"/>
  <c r="U761" i="15" s="1"/>
  <c r="S761" i="15"/>
  <c r="L762" i="15"/>
  <c r="O762" i="15" s="1"/>
  <c r="M762" i="15"/>
  <c r="P762" i="15" s="1"/>
  <c r="N762" i="15"/>
  <c r="L763" i="15"/>
  <c r="O763" i="15" s="1"/>
  <c r="M763" i="15"/>
  <c r="P763" i="15" s="1"/>
  <c r="N763" i="15"/>
  <c r="O764" i="15"/>
  <c r="P764" i="15"/>
  <c r="T764" i="15"/>
  <c r="U764" i="15"/>
  <c r="O765" i="15"/>
  <c r="P765" i="15"/>
  <c r="Q765" i="15"/>
  <c r="R765" i="15"/>
  <c r="R763" i="15" s="1"/>
  <c r="S765" i="15"/>
  <c r="S762" i="15" s="1"/>
  <c r="L766" i="15"/>
  <c r="O766" i="15" s="1"/>
  <c r="M766" i="15"/>
  <c r="P766" i="15" s="1"/>
  <c r="N766" i="15"/>
  <c r="Q766" i="15"/>
  <c r="T766" i="15" s="1"/>
  <c r="R766" i="15"/>
  <c r="U766" i="15" s="1"/>
  <c r="S766" i="15"/>
  <c r="O767" i="15"/>
  <c r="P767" i="15"/>
  <c r="T767" i="15"/>
  <c r="U767" i="15"/>
  <c r="O768" i="15"/>
  <c r="P768" i="15"/>
  <c r="T768" i="15"/>
  <c r="U768" i="15"/>
  <c r="I770" i="15"/>
  <c r="K770" i="15" s="1"/>
  <c r="I772" i="15"/>
  <c r="I758" i="15" s="1"/>
  <c r="K758" i="15" s="1"/>
  <c r="I774" i="15"/>
  <c r="I759" i="15" s="1"/>
  <c r="K759" i="15" s="1"/>
  <c r="I775" i="15"/>
  <c r="I776" i="15"/>
  <c r="H777" i="15"/>
  <c r="I778" i="15"/>
  <c r="J778" i="15"/>
  <c r="I779" i="15"/>
  <c r="J779" i="15"/>
  <c r="I780" i="15"/>
  <c r="J780" i="15"/>
  <c r="I781" i="15"/>
  <c r="J781" i="15"/>
  <c r="I782" i="15"/>
  <c r="J782" i="15"/>
  <c r="I783" i="15"/>
  <c r="J783" i="15"/>
  <c r="I784" i="15"/>
  <c r="J784" i="15"/>
  <c r="I785" i="15"/>
  <c r="J785" i="15"/>
  <c r="A788" i="15"/>
  <c r="A789" i="15"/>
  <c r="L22" i="14"/>
  <c r="M22" i="14"/>
  <c r="M19" i="14" s="1"/>
  <c r="N22" i="14"/>
  <c r="Q22" i="14"/>
  <c r="T22" i="14" s="1"/>
  <c r="R22" i="14"/>
  <c r="S22" i="14"/>
  <c r="L25" i="14"/>
  <c r="M25" i="14"/>
  <c r="N25" i="14"/>
  <c r="Q25" i="14"/>
  <c r="T25" i="14" s="1"/>
  <c r="R25" i="14"/>
  <c r="S25" i="14"/>
  <c r="L45" i="14"/>
  <c r="O45" i="14" s="1"/>
  <c r="M45" i="14"/>
  <c r="N45" i="14"/>
  <c r="Q45" i="14"/>
  <c r="R45" i="14"/>
  <c r="U45" i="14" s="1"/>
  <c r="S45" i="14"/>
  <c r="T45" i="14"/>
  <c r="Q46" i="14"/>
  <c r="R46" i="14"/>
  <c r="U46" i="14" s="1"/>
  <c r="S46" i="14"/>
  <c r="Q47" i="14"/>
  <c r="T47" i="14" s="1"/>
  <c r="R47" i="14"/>
  <c r="U47" i="14" s="1"/>
  <c r="S47" i="14"/>
  <c r="O48" i="14"/>
  <c r="P48" i="14"/>
  <c r="T48" i="14"/>
  <c r="U48" i="14"/>
  <c r="L49" i="14"/>
  <c r="M49" i="14"/>
  <c r="M47" i="14" s="1"/>
  <c r="N49" i="14"/>
  <c r="N47" i="14" s="1"/>
  <c r="T49" i="14"/>
  <c r="U49" i="14"/>
  <c r="Q50" i="14"/>
  <c r="R50" i="14"/>
  <c r="S50" i="14"/>
  <c r="T50" i="14"/>
  <c r="U50" i="14"/>
  <c r="O51" i="14"/>
  <c r="P51" i="14"/>
  <c r="T51" i="14"/>
  <c r="U51" i="14"/>
  <c r="L52" i="14"/>
  <c r="M52" i="14"/>
  <c r="N52" i="14"/>
  <c r="N50" i="14" s="1"/>
  <c r="T52" i="14"/>
  <c r="U52" i="14"/>
  <c r="R59" i="14"/>
  <c r="U59" i="14" s="1"/>
  <c r="L60" i="14"/>
  <c r="O60" i="14" s="1"/>
  <c r="M60" i="14"/>
  <c r="N60" i="14"/>
  <c r="Q60" i="14"/>
  <c r="Q59" i="14" s="1"/>
  <c r="T59" i="14" s="1"/>
  <c r="R60" i="14"/>
  <c r="U60" i="14" s="1"/>
  <c r="S60" i="14"/>
  <c r="S59" i="14" s="1"/>
  <c r="T60" i="14"/>
  <c r="Q61" i="14"/>
  <c r="T61" i="14" s="1"/>
  <c r="R61" i="14"/>
  <c r="S61" i="14"/>
  <c r="U61" i="14"/>
  <c r="Q62" i="14"/>
  <c r="T62" i="14" s="1"/>
  <c r="R62" i="14"/>
  <c r="U62" i="14" s="1"/>
  <c r="S62" i="14"/>
  <c r="O63" i="14"/>
  <c r="P63" i="14"/>
  <c r="T63" i="14"/>
  <c r="U63" i="14"/>
  <c r="L64" i="14"/>
  <c r="M64" i="14"/>
  <c r="M62" i="14" s="1"/>
  <c r="N64" i="14"/>
  <c r="N62" i="14" s="1"/>
  <c r="T64" i="14"/>
  <c r="U64" i="14"/>
  <c r="Q65" i="14"/>
  <c r="R65" i="14"/>
  <c r="U65" i="14" s="1"/>
  <c r="S65" i="14"/>
  <c r="T65" i="14"/>
  <c r="O66" i="14"/>
  <c r="P66" i="14"/>
  <c r="T66" i="14"/>
  <c r="U66" i="14"/>
  <c r="L67" i="14"/>
  <c r="M67" i="14"/>
  <c r="N67" i="14"/>
  <c r="N65" i="14" s="1"/>
  <c r="T67" i="14"/>
  <c r="U67" i="14"/>
  <c r="L73" i="14"/>
  <c r="O73" i="14" s="1"/>
  <c r="M73" i="14"/>
  <c r="N73" i="14"/>
  <c r="Q73" i="14"/>
  <c r="R73" i="14"/>
  <c r="U73" i="14" s="1"/>
  <c r="S73" i="14"/>
  <c r="T73" i="14"/>
  <c r="O76" i="14"/>
  <c r="P76" i="14"/>
  <c r="T76" i="14"/>
  <c r="U76" i="14"/>
  <c r="L77" i="14"/>
  <c r="L75" i="14" s="1"/>
  <c r="O75" i="14" s="1"/>
  <c r="M77" i="14"/>
  <c r="M75" i="14" s="1"/>
  <c r="P75" i="14" s="1"/>
  <c r="N77" i="14"/>
  <c r="N75" i="14" s="1"/>
  <c r="Q77" i="14"/>
  <c r="Q75" i="14" s="1"/>
  <c r="T75" i="14" s="1"/>
  <c r="R77" i="14"/>
  <c r="R75" i="14" s="1"/>
  <c r="U75" i="14" s="1"/>
  <c r="S77" i="14"/>
  <c r="S75" i="14" s="1"/>
  <c r="O79" i="14"/>
  <c r="P79" i="14"/>
  <c r="T79" i="14"/>
  <c r="U79" i="14"/>
  <c r="L80" i="14"/>
  <c r="L78" i="14" s="1"/>
  <c r="O78" i="14" s="1"/>
  <c r="M80" i="14"/>
  <c r="M78" i="14" s="1"/>
  <c r="P78" i="14" s="1"/>
  <c r="N80" i="14"/>
  <c r="N78" i="14" s="1"/>
  <c r="Q80" i="14"/>
  <c r="Q78" i="14" s="1"/>
  <c r="T78" i="14" s="1"/>
  <c r="R80" i="14"/>
  <c r="R78" i="14" s="1"/>
  <c r="U78" i="14" s="1"/>
  <c r="S80" i="14"/>
  <c r="S78" i="14" s="1"/>
  <c r="J82" i="14"/>
  <c r="J70" i="14" s="1"/>
  <c r="J83" i="14"/>
  <c r="J71" i="14" s="1"/>
  <c r="I84" i="14"/>
  <c r="I85" i="14"/>
  <c r="K85" i="14" s="1"/>
  <c r="I86" i="14"/>
  <c r="K86" i="14" s="1"/>
  <c r="I87" i="14"/>
  <c r="I88" i="14"/>
  <c r="K88" i="14" s="1"/>
  <c r="I89" i="14"/>
  <c r="K89" i="14" s="1"/>
  <c r="I90" i="14"/>
  <c r="K90" i="14" s="1"/>
  <c r="J92" i="14"/>
  <c r="J93" i="14"/>
  <c r="L95" i="14"/>
  <c r="M95" i="14"/>
  <c r="P95" i="14" s="1"/>
  <c r="N95" i="14"/>
  <c r="Q95" i="14"/>
  <c r="R95" i="14"/>
  <c r="S95" i="14"/>
  <c r="O98" i="14"/>
  <c r="P98" i="14"/>
  <c r="T98" i="14"/>
  <c r="U98" i="14"/>
  <c r="L99" i="14"/>
  <c r="O99" i="14" s="1"/>
  <c r="M99" i="14"/>
  <c r="N99" i="14"/>
  <c r="Q99" i="14"/>
  <c r="Q97" i="14" s="1"/>
  <c r="R99" i="14"/>
  <c r="S99" i="14"/>
  <c r="Q100" i="14"/>
  <c r="R100" i="14"/>
  <c r="S100" i="14"/>
  <c r="T100" i="14"/>
  <c r="U100" i="14"/>
  <c r="O101" i="14"/>
  <c r="P101" i="14"/>
  <c r="T101" i="14"/>
  <c r="U101" i="14"/>
  <c r="L102" i="14"/>
  <c r="O102" i="14" s="1"/>
  <c r="M102" i="14"/>
  <c r="N102" i="14"/>
  <c r="T102" i="14"/>
  <c r="U102" i="14"/>
  <c r="I108" i="14"/>
  <c r="I92" i="14" s="1"/>
  <c r="K92" i="14" s="1"/>
  <c r="I109" i="14"/>
  <c r="I93" i="14" s="1"/>
  <c r="K93" i="14" s="1"/>
  <c r="I113" i="14"/>
  <c r="K113" i="14" s="1"/>
  <c r="I114" i="14"/>
  <c r="K114" i="14" s="1"/>
  <c r="J116" i="14"/>
  <c r="L118" i="14"/>
  <c r="M118" i="14"/>
  <c r="N118" i="14"/>
  <c r="O118" i="14"/>
  <c r="P118" i="14"/>
  <c r="Q118" i="14"/>
  <c r="R118" i="14"/>
  <c r="S118" i="14"/>
  <c r="T118" i="14"/>
  <c r="U118" i="14"/>
  <c r="O121" i="14"/>
  <c r="P121" i="14"/>
  <c r="T121" i="14"/>
  <c r="U121" i="14"/>
  <c r="L122" i="14"/>
  <c r="M122" i="14"/>
  <c r="P122" i="14" s="1"/>
  <c r="N122" i="14"/>
  <c r="Q122" i="14"/>
  <c r="R122" i="14"/>
  <c r="S122" i="14"/>
  <c r="S120" i="14" s="1"/>
  <c r="O124" i="14"/>
  <c r="P124" i="14"/>
  <c r="T124" i="14"/>
  <c r="U124" i="14"/>
  <c r="L125" i="14"/>
  <c r="M125" i="14"/>
  <c r="M123" i="14" s="1"/>
  <c r="P123" i="14" s="1"/>
  <c r="N125" i="14"/>
  <c r="N123" i="14" s="1"/>
  <c r="Q125" i="14"/>
  <c r="R125" i="14"/>
  <c r="S125" i="14"/>
  <c r="S123" i="14" s="1"/>
  <c r="I127" i="14"/>
  <c r="I116" i="14" s="1"/>
  <c r="I128" i="14"/>
  <c r="K128" i="14" s="1"/>
  <c r="I129" i="14"/>
  <c r="K129" i="14" s="1"/>
  <c r="I130" i="14"/>
  <c r="K130" i="14" s="1"/>
  <c r="J136" i="14"/>
  <c r="J137" i="14"/>
  <c r="J138" i="14"/>
  <c r="L140" i="14"/>
  <c r="M140" i="14"/>
  <c r="P140" i="14" s="1"/>
  <c r="N140" i="14"/>
  <c r="O140" i="14"/>
  <c r="Q140" i="14"/>
  <c r="R140" i="14"/>
  <c r="S140" i="14"/>
  <c r="U140" i="14"/>
  <c r="O143" i="14"/>
  <c r="P143" i="14"/>
  <c r="T143" i="14"/>
  <c r="U143" i="14"/>
  <c r="L144" i="14"/>
  <c r="M144" i="14"/>
  <c r="N144" i="14"/>
  <c r="Q144" i="14"/>
  <c r="T144" i="14" s="1"/>
  <c r="R144" i="14"/>
  <c r="S144" i="14"/>
  <c r="O146" i="14"/>
  <c r="P146" i="14"/>
  <c r="T146" i="14"/>
  <c r="U146" i="14"/>
  <c r="L147" i="14"/>
  <c r="M147" i="14"/>
  <c r="N147" i="14"/>
  <c r="N145" i="14" s="1"/>
  <c r="Q147" i="14"/>
  <c r="T147" i="14" s="1"/>
  <c r="R147" i="14"/>
  <c r="S147" i="14"/>
  <c r="S145" i="14" s="1"/>
  <c r="I150" i="14"/>
  <c r="K150" i="14" s="1"/>
  <c r="I151" i="14"/>
  <c r="K151" i="14" s="1"/>
  <c r="I152" i="14"/>
  <c r="I137" i="14" s="1"/>
  <c r="K137" i="14" s="1"/>
  <c r="I153" i="14"/>
  <c r="I154" i="14"/>
  <c r="I136" i="14" s="1"/>
  <c r="K136" i="14" s="1"/>
  <c r="J156" i="14"/>
  <c r="L158" i="14"/>
  <c r="M158" i="14"/>
  <c r="N158" i="14"/>
  <c r="O158" i="14"/>
  <c r="P158" i="14"/>
  <c r="Q158" i="14"/>
  <c r="T158" i="14" s="1"/>
  <c r="R158" i="14"/>
  <c r="S158" i="14"/>
  <c r="U158" i="14"/>
  <c r="O161" i="14"/>
  <c r="P161" i="14"/>
  <c r="T161" i="14"/>
  <c r="U161" i="14"/>
  <c r="L162" i="14"/>
  <c r="M162" i="14"/>
  <c r="M160" i="14" s="1"/>
  <c r="N162" i="14"/>
  <c r="Q162" i="14"/>
  <c r="R162" i="14"/>
  <c r="R159" i="14" s="1"/>
  <c r="S162" i="14"/>
  <c r="S159" i="14" s="1"/>
  <c r="S157" i="14" s="1"/>
  <c r="Q163" i="14"/>
  <c r="R163" i="14"/>
  <c r="U163" i="14" s="1"/>
  <c r="S163" i="14"/>
  <c r="T163" i="14"/>
  <c r="O164" i="14"/>
  <c r="P164" i="14"/>
  <c r="T164" i="14"/>
  <c r="U164" i="14"/>
  <c r="L165" i="14"/>
  <c r="M165" i="14"/>
  <c r="M163" i="14" s="1"/>
  <c r="P163" i="14" s="1"/>
  <c r="N165" i="14"/>
  <c r="N163" i="14" s="1"/>
  <c r="T165" i="14"/>
  <c r="U165" i="14"/>
  <c r="I167" i="14"/>
  <c r="K167" i="14" s="1"/>
  <c r="I168" i="14"/>
  <c r="K168" i="14" s="1"/>
  <c r="I169" i="14"/>
  <c r="I156" i="14" s="1"/>
  <c r="K156" i="14" s="1"/>
  <c r="J172" i="14"/>
  <c r="L174" i="14"/>
  <c r="M174" i="14"/>
  <c r="N174" i="14"/>
  <c r="O174" i="14"/>
  <c r="P174" i="14"/>
  <c r="Q174" i="14"/>
  <c r="T174" i="14" s="1"/>
  <c r="R174" i="14"/>
  <c r="S174" i="14"/>
  <c r="U174" i="14"/>
  <c r="O177" i="14"/>
  <c r="P177" i="14"/>
  <c r="T177" i="14"/>
  <c r="U177" i="14"/>
  <c r="L178" i="14"/>
  <c r="M178" i="14"/>
  <c r="M176" i="14" s="1"/>
  <c r="N178" i="14"/>
  <c r="Q178" i="14"/>
  <c r="Q175" i="14" s="1"/>
  <c r="R178" i="14"/>
  <c r="R175" i="14" s="1"/>
  <c r="U175" i="14" s="1"/>
  <c r="S178" i="14"/>
  <c r="S175" i="14" s="1"/>
  <c r="S173" i="14" s="1"/>
  <c r="Q179" i="14"/>
  <c r="T179" i="14" s="1"/>
  <c r="R179" i="14"/>
  <c r="U179" i="14" s="1"/>
  <c r="S179" i="14"/>
  <c r="O180" i="14"/>
  <c r="P180" i="14"/>
  <c r="T180" i="14"/>
  <c r="U180" i="14"/>
  <c r="L181" i="14"/>
  <c r="M181" i="14"/>
  <c r="P181" i="14" s="1"/>
  <c r="N181" i="14"/>
  <c r="N179" i="14" s="1"/>
  <c r="T181" i="14"/>
  <c r="U181" i="14"/>
  <c r="I183" i="14"/>
  <c r="K184" i="14"/>
  <c r="L187" i="14"/>
  <c r="M187" i="14"/>
  <c r="N187" i="14"/>
  <c r="O187" i="14"/>
  <c r="Q187" i="14"/>
  <c r="T187" i="14" s="1"/>
  <c r="R187" i="14"/>
  <c r="S187" i="14"/>
  <c r="U187" i="14"/>
  <c r="O190" i="14"/>
  <c r="P190" i="14"/>
  <c r="T190" i="14"/>
  <c r="U190" i="14"/>
  <c r="L191" i="14"/>
  <c r="L189" i="14" s="1"/>
  <c r="M191" i="14"/>
  <c r="M189" i="14" s="1"/>
  <c r="N191" i="14"/>
  <c r="N189" i="14" s="1"/>
  <c r="Q191" i="14"/>
  <c r="R191" i="14"/>
  <c r="S191" i="14"/>
  <c r="O193" i="14"/>
  <c r="P193" i="14"/>
  <c r="T193" i="14"/>
  <c r="U193" i="14"/>
  <c r="L194" i="14"/>
  <c r="O194" i="14" s="1"/>
  <c r="M194" i="14"/>
  <c r="M192" i="14" s="1"/>
  <c r="P192" i="14" s="1"/>
  <c r="N194" i="14"/>
  <c r="N192" i="14" s="1"/>
  <c r="Q194" i="14"/>
  <c r="T194" i="14" s="1"/>
  <c r="R194" i="14"/>
  <c r="R192" i="14" s="1"/>
  <c r="U192" i="14" s="1"/>
  <c r="S194" i="14"/>
  <c r="S192" i="14" s="1"/>
  <c r="J195" i="14"/>
  <c r="L196" i="14"/>
  <c r="O196" i="14" s="1"/>
  <c r="P196" i="14"/>
  <c r="I198" i="14"/>
  <c r="K198" i="14" s="1"/>
  <c r="J199" i="14"/>
  <c r="J202" i="14"/>
  <c r="N203" i="14"/>
  <c r="P203" i="14"/>
  <c r="S203" i="14"/>
  <c r="U203" i="14"/>
  <c r="L204" i="14"/>
  <c r="L205" i="14"/>
  <c r="L206" i="14"/>
  <c r="Q206" i="14"/>
  <c r="Q203" i="14" s="1"/>
  <c r="T203" i="14" s="1"/>
  <c r="L207" i="14"/>
  <c r="I209" i="14"/>
  <c r="K209" i="14" s="1"/>
  <c r="I211" i="14"/>
  <c r="K211" i="14" s="1"/>
  <c r="I212" i="14"/>
  <c r="K212" i="14" s="1"/>
  <c r="J213" i="14"/>
  <c r="N214" i="14"/>
  <c r="P214" i="14"/>
  <c r="S214" i="14"/>
  <c r="U214" i="14"/>
  <c r="L215" i="14"/>
  <c r="L216" i="14"/>
  <c r="L217" i="14"/>
  <c r="Q217" i="14"/>
  <c r="Q214" i="14" s="1"/>
  <c r="T214" i="14" s="1"/>
  <c r="I219" i="14"/>
  <c r="K219" i="14" s="1"/>
  <c r="I220" i="14"/>
  <c r="J221" i="14"/>
  <c r="N222" i="14"/>
  <c r="P222" i="14"/>
  <c r="L223" i="14"/>
  <c r="L224" i="14"/>
  <c r="L225" i="14"/>
  <c r="I228" i="14"/>
  <c r="K228" i="14" s="1"/>
  <c r="I229" i="14"/>
  <c r="I221" i="14" s="1"/>
  <c r="K221" i="14" s="1"/>
  <c r="I230" i="14"/>
  <c r="K230" i="14" s="1"/>
  <c r="N233" i="14"/>
  <c r="N234" i="14"/>
  <c r="N235" i="14"/>
  <c r="N236" i="14"/>
  <c r="J238" i="14"/>
  <c r="I240" i="14"/>
  <c r="K240" i="14" s="1"/>
  <c r="J240" i="14"/>
  <c r="I241" i="14"/>
  <c r="K241" i="14" s="1"/>
  <c r="J241" i="14"/>
  <c r="J242" i="14"/>
  <c r="N243" i="14"/>
  <c r="P243" i="14"/>
  <c r="L244" i="14"/>
  <c r="L245" i="14"/>
  <c r="L246" i="14"/>
  <c r="L247" i="14"/>
  <c r="I249" i="14"/>
  <c r="I242" i="14" s="1"/>
  <c r="K242" i="14" s="1"/>
  <c r="K251" i="14"/>
  <c r="K252" i="14"/>
  <c r="J253" i="14"/>
  <c r="N254" i="14"/>
  <c r="N232" i="14" s="1"/>
  <c r="P254" i="14"/>
  <c r="L255" i="14"/>
  <c r="L256" i="14"/>
  <c r="L257" i="14"/>
  <c r="L258" i="14"/>
  <c r="I260" i="14"/>
  <c r="K262" i="14"/>
  <c r="K263" i="14"/>
  <c r="J265" i="14"/>
  <c r="L267" i="14"/>
  <c r="M267" i="14"/>
  <c r="N267" i="14"/>
  <c r="Q267" i="14"/>
  <c r="T267" i="14" s="1"/>
  <c r="R267" i="14"/>
  <c r="S267" i="14"/>
  <c r="O270" i="14"/>
  <c r="P270" i="14"/>
  <c r="T270" i="14"/>
  <c r="U270" i="14"/>
  <c r="L271" i="14"/>
  <c r="M271" i="14"/>
  <c r="N271" i="14"/>
  <c r="Q271" i="14"/>
  <c r="R271" i="14"/>
  <c r="R268" i="14" s="1"/>
  <c r="S271" i="14"/>
  <c r="S269" i="14" s="1"/>
  <c r="Q272" i="14"/>
  <c r="T272" i="14" s="1"/>
  <c r="R272" i="14"/>
  <c r="U272" i="14" s="1"/>
  <c r="S272" i="14"/>
  <c r="O273" i="14"/>
  <c r="P273" i="14"/>
  <c r="T273" i="14"/>
  <c r="U273" i="14"/>
  <c r="L274" i="14"/>
  <c r="O274" i="14" s="1"/>
  <c r="M274" i="14"/>
  <c r="P274" i="14" s="1"/>
  <c r="N274" i="14"/>
  <c r="N272" i="14" s="1"/>
  <c r="T274" i="14"/>
  <c r="U274" i="14"/>
  <c r="I276" i="14"/>
  <c r="I265" i="14" s="1"/>
  <c r="J281" i="14"/>
  <c r="L283" i="14"/>
  <c r="O283" i="14" s="1"/>
  <c r="M283" i="14"/>
  <c r="N283" i="14"/>
  <c r="Q283" i="14"/>
  <c r="R283" i="14"/>
  <c r="U283" i="14" s="1"/>
  <c r="S283" i="14"/>
  <c r="S282" i="14" s="1"/>
  <c r="T283" i="14"/>
  <c r="Q284" i="14"/>
  <c r="R284" i="14"/>
  <c r="U284" i="14" s="1"/>
  <c r="S284" i="14"/>
  <c r="Q285" i="14"/>
  <c r="T285" i="14" s="1"/>
  <c r="R285" i="14"/>
  <c r="U285" i="14" s="1"/>
  <c r="S285" i="14"/>
  <c r="O286" i="14"/>
  <c r="P286" i="14"/>
  <c r="T286" i="14"/>
  <c r="U286" i="14"/>
  <c r="L287" i="14"/>
  <c r="M287" i="14"/>
  <c r="M285" i="14" s="1"/>
  <c r="P285" i="14" s="1"/>
  <c r="N287" i="14"/>
  <c r="N285" i="14" s="1"/>
  <c r="T287" i="14"/>
  <c r="U287" i="14"/>
  <c r="Q288" i="14"/>
  <c r="R288" i="14"/>
  <c r="S288" i="14"/>
  <c r="T288" i="14"/>
  <c r="U288" i="14"/>
  <c r="O289" i="14"/>
  <c r="P289" i="14"/>
  <c r="T289" i="14"/>
  <c r="U289" i="14"/>
  <c r="L290" i="14"/>
  <c r="M290" i="14"/>
  <c r="N290" i="14"/>
  <c r="N288" i="14" s="1"/>
  <c r="T290" i="14"/>
  <c r="U290" i="14"/>
  <c r="I292" i="14"/>
  <c r="I293" i="14"/>
  <c r="K293" i="14" s="1"/>
  <c r="J293" i="14"/>
  <c r="J280" i="14" s="1"/>
  <c r="I295" i="14"/>
  <c r="K295" i="14" s="1"/>
  <c r="I296" i="14"/>
  <c r="K296" i="14" s="1"/>
  <c r="J302" i="14"/>
  <c r="L304" i="14"/>
  <c r="O304" i="14" s="1"/>
  <c r="M304" i="14"/>
  <c r="N304" i="14"/>
  <c r="Q304" i="14"/>
  <c r="R304" i="14"/>
  <c r="U304" i="14" s="1"/>
  <c r="S304" i="14"/>
  <c r="T304" i="14"/>
  <c r="O307" i="14"/>
  <c r="P307" i="14"/>
  <c r="T307" i="14"/>
  <c r="U307" i="14"/>
  <c r="L308" i="14"/>
  <c r="O308" i="14" s="1"/>
  <c r="M308" i="14"/>
  <c r="M306" i="14" s="1"/>
  <c r="P306" i="14" s="1"/>
  <c r="N308" i="14"/>
  <c r="N306" i="14" s="1"/>
  <c r="Q308" i="14"/>
  <c r="Q305" i="14" s="1"/>
  <c r="R308" i="14"/>
  <c r="R305" i="14" s="1"/>
  <c r="R303" i="14" s="1"/>
  <c r="S308" i="14"/>
  <c r="S306" i="14" s="1"/>
  <c r="Q309" i="14"/>
  <c r="T309" i="14" s="1"/>
  <c r="R309" i="14"/>
  <c r="U309" i="14" s="1"/>
  <c r="S309" i="14"/>
  <c r="O310" i="14"/>
  <c r="P310" i="14"/>
  <c r="T310" i="14"/>
  <c r="U310" i="14"/>
  <c r="L311" i="14"/>
  <c r="L309" i="14" s="1"/>
  <c r="O309" i="14" s="1"/>
  <c r="M311" i="14"/>
  <c r="M309" i="14" s="1"/>
  <c r="P309" i="14" s="1"/>
  <c r="N311" i="14"/>
  <c r="N309" i="14" s="1"/>
  <c r="T311" i="14"/>
  <c r="U311" i="14"/>
  <c r="I314" i="14"/>
  <c r="I302" i="14" s="1"/>
  <c r="K302" i="14" s="1"/>
  <c r="J319" i="14"/>
  <c r="L321" i="14"/>
  <c r="M321" i="14"/>
  <c r="N321" i="14"/>
  <c r="P321" i="14"/>
  <c r="Q321" i="14"/>
  <c r="R321" i="14"/>
  <c r="S321" i="14"/>
  <c r="Q322" i="14"/>
  <c r="T322" i="14" s="1"/>
  <c r="R322" i="14"/>
  <c r="U322" i="14" s="1"/>
  <c r="S322" i="14"/>
  <c r="Q323" i="14"/>
  <c r="R323" i="14"/>
  <c r="S323" i="14"/>
  <c r="T323" i="14"/>
  <c r="U323" i="14"/>
  <c r="O324" i="14"/>
  <c r="P324" i="14"/>
  <c r="T324" i="14"/>
  <c r="U324" i="14"/>
  <c r="L325" i="14"/>
  <c r="O325" i="14" s="1"/>
  <c r="M325" i="14"/>
  <c r="N325" i="14"/>
  <c r="N323" i="14" s="1"/>
  <c r="T325" i="14"/>
  <c r="U325" i="14"/>
  <c r="Q326" i="14"/>
  <c r="T326" i="14" s="1"/>
  <c r="R326" i="14"/>
  <c r="U326" i="14" s="1"/>
  <c r="S326" i="14"/>
  <c r="O327" i="14"/>
  <c r="P327" i="14"/>
  <c r="T327" i="14"/>
  <c r="U327" i="14"/>
  <c r="L328" i="14"/>
  <c r="L326" i="14" s="1"/>
  <c r="O326" i="14" s="1"/>
  <c r="M328" i="14"/>
  <c r="P328" i="14" s="1"/>
  <c r="N328" i="14"/>
  <c r="N326" i="14" s="1"/>
  <c r="T328" i="14"/>
  <c r="U328" i="14"/>
  <c r="I330" i="14"/>
  <c r="I319" i="14" s="1"/>
  <c r="K319" i="14" s="1"/>
  <c r="Q333" i="14"/>
  <c r="T333" i="14" s="1"/>
  <c r="L334" i="14"/>
  <c r="M334" i="14"/>
  <c r="N334" i="14"/>
  <c r="Q334" i="14"/>
  <c r="T334" i="14" s="1"/>
  <c r="R334" i="14"/>
  <c r="S334" i="14"/>
  <c r="S333" i="14" s="1"/>
  <c r="Q335" i="14"/>
  <c r="R335" i="14"/>
  <c r="S335" i="14"/>
  <c r="T335" i="14"/>
  <c r="U335" i="14"/>
  <c r="Q336" i="14"/>
  <c r="T336" i="14" s="1"/>
  <c r="R336" i="14"/>
  <c r="S336" i="14"/>
  <c r="U336" i="14"/>
  <c r="O337" i="14"/>
  <c r="P337" i="14"/>
  <c r="T337" i="14"/>
  <c r="U337" i="14"/>
  <c r="L338" i="14"/>
  <c r="L336" i="14" s="1"/>
  <c r="M338" i="14"/>
  <c r="N338" i="14"/>
  <c r="N336" i="14" s="1"/>
  <c r="T338" i="14"/>
  <c r="U338" i="14"/>
  <c r="Q339" i="14"/>
  <c r="T339" i="14" s="1"/>
  <c r="R339" i="14"/>
  <c r="U339" i="14" s="1"/>
  <c r="S339" i="14"/>
  <c r="O340" i="14"/>
  <c r="P340" i="14"/>
  <c r="T340" i="14"/>
  <c r="U340" i="14"/>
  <c r="L341" i="14"/>
  <c r="M341" i="14"/>
  <c r="M339" i="14" s="1"/>
  <c r="P339" i="14" s="1"/>
  <c r="N341" i="14"/>
  <c r="N339" i="14" s="1"/>
  <c r="T341" i="14"/>
  <c r="U341" i="14"/>
  <c r="I344" i="14"/>
  <c r="J344" i="14"/>
  <c r="I346" i="14"/>
  <c r="J346" i="14"/>
  <c r="J347" i="14"/>
  <c r="J348" i="14"/>
  <c r="J349" i="14"/>
  <c r="D350" i="14"/>
  <c r="J352" i="14"/>
  <c r="J353" i="14"/>
  <c r="D354" i="14"/>
  <c r="L357" i="14"/>
  <c r="M357" i="14"/>
  <c r="N357" i="14"/>
  <c r="O357" i="14"/>
  <c r="P357" i="14"/>
  <c r="Q357" i="14"/>
  <c r="R357" i="14"/>
  <c r="S357" i="14"/>
  <c r="S356" i="14" s="1"/>
  <c r="T357" i="14"/>
  <c r="U357" i="14"/>
  <c r="Q358" i="14"/>
  <c r="R358" i="14"/>
  <c r="S358" i="14"/>
  <c r="Q359" i="14"/>
  <c r="T359" i="14" s="1"/>
  <c r="R359" i="14"/>
  <c r="U359" i="14" s="1"/>
  <c r="S359" i="14"/>
  <c r="O360" i="14"/>
  <c r="P360" i="14"/>
  <c r="T360" i="14"/>
  <c r="U360" i="14"/>
  <c r="L361" i="14"/>
  <c r="M361" i="14"/>
  <c r="M359" i="14" s="1"/>
  <c r="N361" i="14"/>
  <c r="N359" i="14" s="1"/>
  <c r="T361" i="14"/>
  <c r="U361" i="14"/>
  <c r="Q362" i="14"/>
  <c r="R362" i="14"/>
  <c r="S362" i="14"/>
  <c r="T362" i="14"/>
  <c r="U362" i="14"/>
  <c r="O363" i="14"/>
  <c r="P363" i="14"/>
  <c r="T363" i="14"/>
  <c r="U363" i="14"/>
  <c r="L364" i="14"/>
  <c r="M364" i="14"/>
  <c r="N364" i="14"/>
  <c r="N362" i="14" s="1"/>
  <c r="T364" i="14"/>
  <c r="U364" i="14"/>
  <c r="J367" i="14"/>
  <c r="K367" i="14"/>
  <c r="I368" i="14"/>
  <c r="J368" i="14"/>
  <c r="I369" i="14"/>
  <c r="J369" i="14"/>
  <c r="J370" i="14"/>
  <c r="K370" i="14"/>
  <c r="I371" i="14"/>
  <c r="I365" i="14" s="1"/>
  <c r="J371" i="14"/>
  <c r="J365" i="14" s="1"/>
  <c r="J372" i="14"/>
  <c r="K372" i="14"/>
  <c r="D373" i="14"/>
  <c r="L376" i="14"/>
  <c r="M376" i="14"/>
  <c r="N376" i="14"/>
  <c r="P376" i="14"/>
  <c r="Q376" i="14"/>
  <c r="R376" i="14"/>
  <c r="S376" i="14"/>
  <c r="O379" i="14"/>
  <c r="P379" i="14"/>
  <c r="T379" i="14"/>
  <c r="U379" i="14"/>
  <c r="L380" i="14"/>
  <c r="M380" i="14"/>
  <c r="N380" i="14"/>
  <c r="Q380" i="14"/>
  <c r="Q377" i="14" s="1"/>
  <c r="R380" i="14"/>
  <c r="R377" i="14" s="1"/>
  <c r="U377" i="14" s="1"/>
  <c r="S380" i="14"/>
  <c r="Q381" i="14"/>
  <c r="R381" i="14"/>
  <c r="S381" i="14"/>
  <c r="T381" i="14"/>
  <c r="U381" i="14"/>
  <c r="O382" i="14"/>
  <c r="P382" i="14"/>
  <c r="T382" i="14"/>
  <c r="U382" i="14"/>
  <c r="L383" i="14"/>
  <c r="M383" i="14"/>
  <c r="N383" i="14"/>
  <c r="N381" i="14" s="1"/>
  <c r="T383" i="14"/>
  <c r="U383" i="14"/>
  <c r="J385" i="14"/>
  <c r="K385" i="14"/>
  <c r="I386" i="14"/>
  <c r="J386" i="14"/>
  <c r="J387" i="14"/>
  <c r="K387" i="14"/>
  <c r="I388" i="14"/>
  <c r="K388" i="14" s="1"/>
  <c r="J388" i="14"/>
  <c r="I391" i="14"/>
  <c r="K391" i="14" s="1"/>
  <c r="J391" i="14"/>
  <c r="L393" i="14"/>
  <c r="O393" i="14" s="1"/>
  <c r="M393" i="14"/>
  <c r="N393" i="14"/>
  <c r="Q393" i="14"/>
  <c r="T393" i="14" s="1"/>
  <c r="R393" i="14"/>
  <c r="U393" i="14" s="1"/>
  <c r="S393" i="14"/>
  <c r="L394" i="14"/>
  <c r="M394" i="14"/>
  <c r="P394" i="14" s="1"/>
  <c r="N394" i="14"/>
  <c r="O394" i="14"/>
  <c r="L395" i="14"/>
  <c r="O395" i="14" s="1"/>
  <c r="M395" i="14"/>
  <c r="N395" i="14"/>
  <c r="P395" i="14"/>
  <c r="O396" i="14"/>
  <c r="P396" i="14"/>
  <c r="T396" i="14"/>
  <c r="U396" i="14"/>
  <c r="O397" i="14"/>
  <c r="P397" i="14"/>
  <c r="Q397" i="14"/>
  <c r="Q395" i="14" s="1"/>
  <c r="T395" i="14" s="1"/>
  <c r="R397" i="14"/>
  <c r="S397" i="14"/>
  <c r="L398" i="14"/>
  <c r="O398" i="14" s="1"/>
  <c r="M398" i="14"/>
  <c r="P398" i="14" s="1"/>
  <c r="N398" i="14"/>
  <c r="Q398" i="14"/>
  <c r="R398" i="14"/>
  <c r="S398" i="14"/>
  <c r="T398" i="14"/>
  <c r="U398" i="14"/>
  <c r="O399" i="14"/>
  <c r="P399" i="14"/>
  <c r="T399" i="14"/>
  <c r="U399" i="14"/>
  <c r="O400" i="14"/>
  <c r="P400" i="14"/>
  <c r="T400" i="14"/>
  <c r="U400" i="14"/>
  <c r="L414" i="14"/>
  <c r="O414" i="14" s="1"/>
  <c r="M414" i="14"/>
  <c r="N414" i="14"/>
  <c r="Q414" i="14"/>
  <c r="R414" i="14"/>
  <c r="U414" i="14" s="1"/>
  <c r="S414" i="14"/>
  <c r="T414" i="14"/>
  <c r="O417" i="14"/>
  <c r="P417" i="14"/>
  <c r="T417" i="14"/>
  <c r="U417" i="14"/>
  <c r="L418" i="14"/>
  <c r="M418" i="14"/>
  <c r="N418" i="14"/>
  <c r="N416" i="14" s="1"/>
  <c r="Q418" i="14"/>
  <c r="Q415" i="14" s="1"/>
  <c r="Q413" i="14" s="1"/>
  <c r="R418" i="14"/>
  <c r="R415" i="14" s="1"/>
  <c r="S418" i="14"/>
  <c r="S415" i="14" s="1"/>
  <c r="Q419" i="14"/>
  <c r="T419" i="14" s="1"/>
  <c r="R419" i="14"/>
  <c r="U419" i="14" s="1"/>
  <c r="S419" i="14"/>
  <c r="O420" i="14"/>
  <c r="P420" i="14"/>
  <c r="T420" i="14"/>
  <c r="U420" i="14"/>
  <c r="L421" i="14"/>
  <c r="M421" i="14"/>
  <c r="N421" i="14"/>
  <c r="N419" i="14" s="1"/>
  <c r="T421" i="14"/>
  <c r="U421" i="14"/>
  <c r="J423" i="14"/>
  <c r="J412" i="14" s="1"/>
  <c r="I424" i="14"/>
  <c r="K424" i="14" s="1"/>
  <c r="J424" i="14"/>
  <c r="I425" i="14"/>
  <c r="K425" i="14" s="1"/>
  <c r="J425" i="14"/>
  <c r="I432" i="14"/>
  <c r="K432" i="14" s="1"/>
  <c r="J432" i="14"/>
  <c r="I433" i="14"/>
  <c r="K433" i="14" s="1"/>
  <c r="J433" i="14"/>
  <c r="I440" i="14"/>
  <c r="I441" i="14"/>
  <c r="K441" i="14" s="1"/>
  <c r="J441" i="14"/>
  <c r="J446" i="14"/>
  <c r="J440" i="14" s="1"/>
  <c r="J447" i="14"/>
  <c r="I457" i="14"/>
  <c r="I458" i="14"/>
  <c r="K458" i="14" s="1"/>
  <c r="J459" i="14"/>
  <c r="J457" i="14" s="1"/>
  <c r="J456" i="14" s="1"/>
  <c r="J460" i="14"/>
  <c r="J467" i="14"/>
  <c r="J468" i="14"/>
  <c r="J475" i="14"/>
  <c r="K475" i="14"/>
  <c r="J476" i="14"/>
  <c r="K476" i="14"/>
  <c r="J477" i="14"/>
  <c r="K477" i="14"/>
  <c r="J482" i="14"/>
  <c r="J483" i="14"/>
  <c r="I484" i="14"/>
  <c r="K484" i="14" s="1"/>
  <c r="J484" i="14"/>
  <c r="I485" i="14"/>
  <c r="J485" i="14"/>
  <c r="K485" i="14"/>
  <c r="L494" i="14"/>
  <c r="M494" i="14"/>
  <c r="P494" i="14" s="1"/>
  <c r="N494" i="14"/>
  <c r="Q494" i="14"/>
  <c r="R494" i="14"/>
  <c r="S494" i="14"/>
  <c r="O497" i="14"/>
  <c r="P497" i="14"/>
  <c r="T497" i="14"/>
  <c r="U497" i="14"/>
  <c r="L498" i="14"/>
  <c r="M498" i="14"/>
  <c r="N498" i="14"/>
  <c r="Q498" i="14"/>
  <c r="Q495" i="14" s="1"/>
  <c r="T495" i="14" s="1"/>
  <c r="R498" i="14"/>
  <c r="R495" i="14" s="1"/>
  <c r="U495" i="14" s="1"/>
  <c r="S498" i="14"/>
  <c r="S496" i="14" s="1"/>
  <c r="Q499" i="14"/>
  <c r="T499" i="14" s="1"/>
  <c r="R499" i="14"/>
  <c r="S499" i="14"/>
  <c r="U499" i="14"/>
  <c r="O500" i="14"/>
  <c r="P500" i="14"/>
  <c r="T500" i="14"/>
  <c r="U500" i="14"/>
  <c r="L501" i="14"/>
  <c r="M501" i="14"/>
  <c r="N501" i="14"/>
  <c r="N499" i="14" s="1"/>
  <c r="T501" i="14"/>
  <c r="U501" i="14"/>
  <c r="I503" i="14"/>
  <c r="K503" i="14" s="1"/>
  <c r="I504" i="14"/>
  <c r="I505" i="14"/>
  <c r="K505" i="14" s="1"/>
  <c r="I506" i="14"/>
  <c r="K506" i="14" s="1"/>
  <c r="I507" i="14"/>
  <c r="K507" i="14" s="1"/>
  <c r="K508" i="14"/>
  <c r="I509" i="14"/>
  <c r="K509" i="14" s="1"/>
  <c r="I512" i="14"/>
  <c r="K512" i="14" s="1"/>
  <c r="J512" i="14"/>
  <c r="L514" i="14"/>
  <c r="M514" i="14"/>
  <c r="N514" i="14"/>
  <c r="O514" i="14"/>
  <c r="P514" i="14"/>
  <c r="Q514" i="14"/>
  <c r="R514" i="14"/>
  <c r="S514" i="14"/>
  <c r="S513" i="14" s="1"/>
  <c r="T514" i="14"/>
  <c r="U514" i="14"/>
  <c r="Q515" i="14"/>
  <c r="T515" i="14" s="1"/>
  <c r="R515" i="14"/>
  <c r="U515" i="14" s="1"/>
  <c r="S515" i="14"/>
  <c r="Q516" i="14"/>
  <c r="T516" i="14" s="1"/>
  <c r="R516" i="14"/>
  <c r="U516" i="14" s="1"/>
  <c r="S516" i="14"/>
  <c r="O517" i="14"/>
  <c r="P517" i="14"/>
  <c r="T517" i="14"/>
  <c r="U517" i="14"/>
  <c r="L518" i="14"/>
  <c r="O518" i="14" s="1"/>
  <c r="M518" i="14"/>
  <c r="M516" i="14" s="1"/>
  <c r="P516" i="14" s="1"/>
  <c r="N518" i="14"/>
  <c r="N516" i="14" s="1"/>
  <c r="T518" i="14"/>
  <c r="U518" i="14"/>
  <c r="Q519" i="14"/>
  <c r="T519" i="14" s="1"/>
  <c r="R519" i="14"/>
  <c r="S519" i="14"/>
  <c r="U519" i="14"/>
  <c r="O520" i="14"/>
  <c r="P520" i="14"/>
  <c r="T520" i="14"/>
  <c r="U520" i="14"/>
  <c r="L521" i="14"/>
  <c r="M521" i="14"/>
  <c r="N521" i="14"/>
  <c r="N519" i="14" s="1"/>
  <c r="T521" i="14"/>
  <c r="U521" i="14"/>
  <c r="K523" i="14"/>
  <c r="K524" i="14"/>
  <c r="I533" i="14"/>
  <c r="K533" i="14" s="1"/>
  <c r="J533" i="14"/>
  <c r="L535" i="14"/>
  <c r="M535" i="14"/>
  <c r="P535" i="14" s="1"/>
  <c r="N535" i="14"/>
  <c r="O535" i="14"/>
  <c r="Q535" i="14"/>
  <c r="R535" i="14"/>
  <c r="S535" i="14"/>
  <c r="S534" i="14" s="1"/>
  <c r="U535" i="14"/>
  <c r="Q536" i="14"/>
  <c r="T536" i="14" s="1"/>
  <c r="R536" i="14"/>
  <c r="U536" i="14" s="1"/>
  <c r="S536" i="14"/>
  <c r="Q537" i="14"/>
  <c r="T537" i="14" s="1"/>
  <c r="R537" i="14"/>
  <c r="U537" i="14" s="1"/>
  <c r="S537" i="14"/>
  <c r="O538" i="14"/>
  <c r="P538" i="14"/>
  <c r="T538" i="14"/>
  <c r="U538" i="14"/>
  <c r="L539" i="14"/>
  <c r="M539" i="14"/>
  <c r="P539" i="14" s="1"/>
  <c r="N539" i="14"/>
  <c r="N537" i="14" s="1"/>
  <c r="T539" i="14"/>
  <c r="U539" i="14"/>
  <c r="Q540" i="14"/>
  <c r="T540" i="14" s="1"/>
  <c r="R540" i="14"/>
  <c r="U540" i="14" s="1"/>
  <c r="S540" i="14"/>
  <c r="O541" i="14"/>
  <c r="P541" i="14"/>
  <c r="T541" i="14"/>
  <c r="U541" i="14"/>
  <c r="L542" i="14"/>
  <c r="M542" i="14"/>
  <c r="M540" i="14" s="1"/>
  <c r="P540" i="14" s="1"/>
  <c r="N542" i="14"/>
  <c r="N540" i="14" s="1"/>
  <c r="T542" i="14"/>
  <c r="U542" i="14"/>
  <c r="I554" i="14"/>
  <c r="K554" i="14" s="1"/>
  <c r="J554" i="14"/>
  <c r="L556" i="14"/>
  <c r="O556" i="14" s="1"/>
  <c r="M556" i="14"/>
  <c r="N556" i="14"/>
  <c r="Q556" i="14"/>
  <c r="Q555" i="14" s="1"/>
  <c r="T555" i="14" s="1"/>
  <c r="R556" i="14"/>
  <c r="U556" i="14" s="1"/>
  <c r="S556" i="14"/>
  <c r="T556" i="14"/>
  <c r="Q557" i="14"/>
  <c r="T557" i="14" s="1"/>
  <c r="R557" i="14"/>
  <c r="S557" i="14"/>
  <c r="U557" i="14"/>
  <c r="Q558" i="14"/>
  <c r="T558" i="14" s="1"/>
  <c r="R558" i="14"/>
  <c r="U558" i="14" s="1"/>
  <c r="S558" i="14"/>
  <c r="O559" i="14"/>
  <c r="P559" i="14"/>
  <c r="T559" i="14"/>
  <c r="U559" i="14"/>
  <c r="L560" i="14"/>
  <c r="O560" i="14" s="1"/>
  <c r="M560" i="14"/>
  <c r="N560" i="14"/>
  <c r="N558" i="14" s="1"/>
  <c r="T560" i="14"/>
  <c r="U560" i="14"/>
  <c r="Q561" i="14"/>
  <c r="R561" i="14"/>
  <c r="S561" i="14"/>
  <c r="T561" i="14"/>
  <c r="U561" i="14"/>
  <c r="O562" i="14"/>
  <c r="P562" i="14"/>
  <c r="T562" i="14"/>
  <c r="U562" i="14"/>
  <c r="L563" i="14"/>
  <c r="M563" i="14"/>
  <c r="P563" i="14" s="1"/>
  <c r="N563" i="14"/>
  <c r="N561" i="14" s="1"/>
  <c r="T563" i="14"/>
  <c r="U563" i="14"/>
  <c r="I575" i="14"/>
  <c r="K575" i="14" s="1"/>
  <c r="J575" i="14"/>
  <c r="S576" i="14"/>
  <c r="L577" i="14"/>
  <c r="O577" i="14" s="1"/>
  <c r="M577" i="14"/>
  <c r="N577" i="14"/>
  <c r="P577" i="14"/>
  <c r="Q577" i="14"/>
  <c r="R577" i="14"/>
  <c r="U577" i="14" s="1"/>
  <c r="S577" i="14"/>
  <c r="Q578" i="14"/>
  <c r="T578" i="14" s="1"/>
  <c r="R578" i="14"/>
  <c r="U578" i="14" s="1"/>
  <c r="S578" i="14"/>
  <c r="Q579" i="14"/>
  <c r="R579" i="14"/>
  <c r="U579" i="14" s="1"/>
  <c r="S579" i="14"/>
  <c r="T579" i="14"/>
  <c r="O580" i="14"/>
  <c r="P580" i="14"/>
  <c r="T580" i="14"/>
  <c r="U580" i="14"/>
  <c r="L581" i="14"/>
  <c r="M581" i="14"/>
  <c r="P581" i="14" s="1"/>
  <c r="N581" i="14"/>
  <c r="T581" i="14"/>
  <c r="U581" i="14"/>
  <c r="Q582" i="14"/>
  <c r="T582" i="14" s="1"/>
  <c r="R582" i="14"/>
  <c r="U582" i="14" s="1"/>
  <c r="S582" i="14"/>
  <c r="O583" i="14"/>
  <c r="P583" i="14"/>
  <c r="T583" i="14"/>
  <c r="U583" i="14"/>
  <c r="L584" i="14"/>
  <c r="L582" i="14" s="1"/>
  <c r="O582" i="14" s="1"/>
  <c r="M584" i="14"/>
  <c r="M582" i="14" s="1"/>
  <c r="P582" i="14" s="1"/>
  <c r="N584" i="14"/>
  <c r="N582" i="14" s="1"/>
  <c r="T584" i="14"/>
  <c r="U584" i="14"/>
  <c r="L600" i="14"/>
  <c r="O600" i="14" s="1"/>
  <c r="M600" i="14"/>
  <c r="P600" i="14" s="1"/>
  <c r="N600" i="14"/>
  <c r="Q600" i="14"/>
  <c r="T600" i="14" s="1"/>
  <c r="R600" i="14"/>
  <c r="S600" i="14"/>
  <c r="U600" i="14"/>
  <c r="O603" i="14"/>
  <c r="P603" i="14"/>
  <c r="T603" i="14"/>
  <c r="U603" i="14"/>
  <c r="L604" i="14"/>
  <c r="L602" i="14" s="1"/>
  <c r="O602" i="14" s="1"/>
  <c r="M604" i="14"/>
  <c r="P604" i="14" s="1"/>
  <c r="N604" i="14"/>
  <c r="Q604" i="14"/>
  <c r="T604" i="14" s="1"/>
  <c r="R604" i="14"/>
  <c r="S604" i="14"/>
  <c r="O606" i="14"/>
  <c r="P606" i="14"/>
  <c r="T606" i="14"/>
  <c r="U606" i="14"/>
  <c r="L607" i="14"/>
  <c r="L605" i="14" s="1"/>
  <c r="O605" i="14" s="1"/>
  <c r="M607" i="14"/>
  <c r="P607" i="14" s="1"/>
  <c r="N607" i="14"/>
  <c r="N605" i="14" s="1"/>
  <c r="Q607" i="14"/>
  <c r="T607" i="14" s="1"/>
  <c r="R607" i="14"/>
  <c r="R605" i="14" s="1"/>
  <c r="U605" i="14" s="1"/>
  <c r="S607" i="14"/>
  <c r="S605" i="14" s="1"/>
  <c r="L617" i="14"/>
  <c r="O617" i="14" s="1"/>
  <c r="M617" i="14"/>
  <c r="N617" i="14"/>
  <c r="Q617" i="14"/>
  <c r="T617" i="14" s="1"/>
  <c r="R617" i="14"/>
  <c r="U617" i="14" s="1"/>
  <c r="S617" i="14"/>
  <c r="L618" i="14"/>
  <c r="O618" i="14" s="1"/>
  <c r="M618" i="14"/>
  <c r="N618" i="14"/>
  <c r="P618" i="14"/>
  <c r="L619" i="14"/>
  <c r="O619" i="14" s="1"/>
  <c r="M619" i="14"/>
  <c r="N619" i="14"/>
  <c r="P619" i="14"/>
  <c r="O620" i="14"/>
  <c r="P620" i="14"/>
  <c r="T620" i="14"/>
  <c r="U620" i="14"/>
  <c r="O621" i="14"/>
  <c r="P621" i="14"/>
  <c r="Q621" i="14"/>
  <c r="Q619" i="14" s="1"/>
  <c r="R621" i="14"/>
  <c r="R619" i="14" s="1"/>
  <c r="S621" i="14"/>
  <c r="L622" i="14"/>
  <c r="O622" i="14" s="1"/>
  <c r="M622" i="14"/>
  <c r="P622" i="14" s="1"/>
  <c r="N622" i="14"/>
  <c r="Q622" i="14"/>
  <c r="T622" i="14" s="1"/>
  <c r="R622" i="14"/>
  <c r="S622" i="14"/>
  <c r="U622" i="14"/>
  <c r="O623" i="14"/>
  <c r="P623" i="14"/>
  <c r="T623" i="14"/>
  <c r="U623" i="14"/>
  <c r="O624" i="14"/>
  <c r="P624" i="14"/>
  <c r="T624" i="14"/>
  <c r="U624" i="14"/>
  <c r="I626" i="14"/>
  <c r="I615" i="14" s="1"/>
  <c r="I627" i="14"/>
  <c r="K627" i="14" s="1"/>
  <c r="I628" i="14"/>
  <c r="K628" i="14" s="1"/>
  <c r="J632" i="14"/>
  <c r="J626" i="14" s="1"/>
  <c r="J615" i="14" s="1"/>
  <c r="I635" i="14"/>
  <c r="K635" i="14" s="1"/>
  <c r="J636" i="14"/>
  <c r="J635" i="14" s="1"/>
  <c r="L643" i="14"/>
  <c r="O643" i="14" s="1"/>
  <c r="M643" i="14"/>
  <c r="P643" i="14" s="1"/>
  <c r="N643" i="14"/>
  <c r="Q643" i="14"/>
  <c r="R643" i="14"/>
  <c r="U643" i="14" s="1"/>
  <c r="S643" i="14"/>
  <c r="T643" i="14"/>
  <c r="L644" i="14"/>
  <c r="O644" i="14" s="1"/>
  <c r="M644" i="14"/>
  <c r="P644" i="14" s="1"/>
  <c r="N644" i="14"/>
  <c r="L645" i="14"/>
  <c r="O645" i="14" s="1"/>
  <c r="M645" i="14"/>
  <c r="P645" i="14" s="1"/>
  <c r="N645" i="14"/>
  <c r="O646" i="14"/>
  <c r="P646" i="14"/>
  <c r="T646" i="14"/>
  <c r="U646" i="14"/>
  <c r="O647" i="14"/>
  <c r="P647" i="14"/>
  <c r="Q647" i="14"/>
  <c r="Q644" i="14" s="1"/>
  <c r="Q642" i="14" s="1"/>
  <c r="T642" i="14" s="1"/>
  <c r="R647" i="14"/>
  <c r="R645" i="14" s="1"/>
  <c r="U645" i="14" s="1"/>
  <c r="S647" i="14"/>
  <c r="S644" i="14" s="1"/>
  <c r="L648" i="14"/>
  <c r="O648" i="14" s="1"/>
  <c r="M648" i="14"/>
  <c r="P648" i="14" s="1"/>
  <c r="N648" i="14"/>
  <c r="Q648" i="14"/>
  <c r="R648" i="14"/>
  <c r="U648" i="14" s="1"/>
  <c r="S648" i="14"/>
  <c r="T648" i="14"/>
  <c r="O649" i="14"/>
  <c r="P649" i="14"/>
  <c r="T649" i="14"/>
  <c r="U649" i="14"/>
  <c r="O650" i="14"/>
  <c r="P650" i="14"/>
  <c r="T650" i="14"/>
  <c r="U650" i="14"/>
  <c r="I652" i="14"/>
  <c r="K652" i="14" s="1"/>
  <c r="J652" i="14"/>
  <c r="I653" i="14"/>
  <c r="K653" i="14" s="1"/>
  <c r="J653" i="14"/>
  <c r="I654" i="14"/>
  <c r="K654" i="14" s="1"/>
  <c r="J654" i="14"/>
  <c r="I657" i="14"/>
  <c r="I660" i="14"/>
  <c r="I661" i="14"/>
  <c r="K661" i="14" s="1"/>
  <c r="J661" i="14"/>
  <c r="J671" i="14"/>
  <c r="J672" i="14"/>
  <c r="I673" i="14"/>
  <c r="K673" i="14" s="1"/>
  <c r="J673" i="14"/>
  <c r="I674" i="14"/>
  <c r="K674" i="14" s="1"/>
  <c r="I675" i="14"/>
  <c r="K675" i="14" s="1"/>
  <c r="I676" i="14"/>
  <c r="K676" i="14" s="1"/>
  <c r="J676" i="14"/>
  <c r="J677" i="14"/>
  <c r="I678" i="14"/>
  <c r="K678" i="14" s="1"/>
  <c r="J678" i="14"/>
  <c r="I679" i="14"/>
  <c r="K679" i="14" s="1"/>
  <c r="J679" i="14"/>
  <c r="J680" i="14"/>
  <c r="I681" i="14"/>
  <c r="K681" i="14" s="1"/>
  <c r="J681" i="14"/>
  <c r="I682" i="14"/>
  <c r="K682" i="14" s="1"/>
  <c r="J682" i="14"/>
  <c r="L691" i="14"/>
  <c r="O691" i="14" s="1"/>
  <c r="M691" i="14"/>
  <c r="P691" i="14" s="1"/>
  <c r="N691" i="14"/>
  <c r="N690" i="14" s="1"/>
  <c r="Q691" i="14"/>
  <c r="T691" i="14" s="1"/>
  <c r="R691" i="14"/>
  <c r="S691" i="14"/>
  <c r="U691" i="14"/>
  <c r="L692" i="14"/>
  <c r="O692" i="14" s="1"/>
  <c r="M692" i="14"/>
  <c r="N692" i="14"/>
  <c r="L693" i="14"/>
  <c r="O693" i="14" s="1"/>
  <c r="M693" i="14"/>
  <c r="P693" i="14" s="1"/>
  <c r="N693" i="14"/>
  <c r="O694" i="14"/>
  <c r="P694" i="14"/>
  <c r="T694" i="14"/>
  <c r="U694" i="14"/>
  <c r="O695" i="14"/>
  <c r="P695" i="14"/>
  <c r="Q695" i="14"/>
  <c r="Q693" i="14" s="1"/>
  <c r="R695" i="14"/>
  <c r="S695" i="14"/>
  <c r="L696" i="14"/>
  <c r="M696" i="14"/>
  <c r="P696" i="14" s="1"/>
  <c r="N696" i="14"/>
  <c r="O696" i="14"/>
  <c r="Q696" i="14"/>
  <c r="T696" i="14" s="1"/>
  <c r="R696" i="14"/>
  <c r="U696" i="14" s="1"/>
  <c r="S696" i="14"/>
  <c r="O697" i="14"/>
  <c r="P697" i="14"/>
  <c r="T697" i="14"/>
  <c r="U697" i="14"/>
  <c r="O698" i="14"/>
  <c r="P698" i="14"/>
  <c r="T698" i="14"/>
  <c r="U698" i="14"/>
  <c r="I700" i="14"/>
  <c r="K700" i="14" s="1"/>
  <c r="K702" i="14"/>
  <c r="I703" i="14"/>
  <c r="J703" i="14"/>
  <c r="J704" i="14"/>
  <c r="K704" i="14"/>
  <c r="I705" i="14"/>
  <c r="J705" i="14"/>
  <c r="J706" i="14"/>
  <c r="K706" i="14"/>
  <c r="I707" i="14"/>
  <c r="I689" i="14" s="1"/>
  <c r="K689" i="14" s="1"/>
  <c r="J707" i="14"/>
  <c r="J689" i="14" s="1"/>
  <c r="J708" i="14"/>
  <c r="K708" i="14"/>
  <c r="I709" i="14"/>
  <c r="J709" i="14"/>
  <c r="J710" i="14"/>
  <c r="K710" i="14"/>
  <c r="J712" i="14"/>
  <c r="K712" i="14"/>
  <c r="L715" i="14"/>
  <c r="M715" i="14"/>
  <c r="N715" i="14"/>
  <c r="O715" i="14"/>
  <c r="Q715" i="14"/>
  <c r="T715" i="14" s="1"/>
  <c r="R715" i="14"/>
  <c r="U715" i="14" s="1"/>
  <c r="S715" i="14"/>
  <c r="L716" i="14"/>
  <c r="O716" i="14" s="1"/>
  <c r="M716" i="14"/>
  <c r="P716" i="14" s="1"/>
  <c r="N716" i="14"/>
  <c r="Q716" i="14"/>
  <c r="T716" i="14" s="1"/>
  <c r="R716" i="14"/>
  <c r="U716" i="14" s="1"/>
  <c r="S716" i="14"/>
  <c r="S714" i="14" s="1"/>
  <c r="L717" i="14"/>
  <c r="O717" i="14" s="1"/>
  <c r="M717" i="14"/>
  <c r="P717" i="14" s="1"/>
  <c r="N717" i="14"/>
  <c r="Q717" i="14"/>
  <c r="R717" i="14"/>
  <c r="S717" i="14"/>
  <c r="T717" i="14"/>
  <c r="U717" i="14"/>
  <c r="O718" i="14"/>
  <c r="P718" i="14"/>
  <c r="T718" i="14"/>
  <c r="U718" i="14"/>
  <c r="O719" i="14"/>
  <c r="P719" i="14"/>
  <c r="T719" i="14"/>
  <c r="U719" i="14"/>
  <c r="L720" i="14"/>
  <c r="M720" i="14"/>
  <c r="P720" i="14" s="1"/>
  <c r="N720" i="14"/>
  <c r="O720" i="14"/>
  <c r="Q720" i="14"/>
  <c r="R720" i="14"/>
  <c r="S720" i="14"/>
  <c r="T720" i="14"/>
  <c r="U720" i="14"/>
  <c r="O721" i="14"/>
  <c r="P721" i="14"/>
  <c r="T721" i="14"/>
  <c r="U721" i="14"/>
  <c r="O722" i="14"/>
  <c r="P722" i="14"/>
  <c r="T722" i="14"/>
  <c r="U722" i="14"/>
  <c r="I726" i="14"/>
  <c r="K726" i="14" s="1"/>
  <c r="J726" i="14"/>
  <c r="I727" i="14"/>
  <c r="K727" i="14" s="1"/>
  <c r="J727" i="14"/>
  <c r="L729" i="14"/>
  <c r="M729" i="14"/>
  <c r="N729" i="14"/>
  <c r="Q729" i="14"/>
  <c r="T729" i="14" s="1"/>
  <c r="R729" i="14"/>
  <c r="S729" i="14"/>
  <c r="L730" i="14"/>
  <c r="M730" i="14"/>
  <c r="P730" i="14" s="1"/>
  <c r="N730" i="14"/>
  <c r="N728" i="14" s="1"/>
  <c r="O730" i="14"/>
  <c r="L731" i="14"/>
  <c r="M731" i="14"/>
  <c r="P731" i="14" s="1"/>
  <c r="N731" i="14"/>
  <c r="O731" i="14"/>
  <c r="O732" i="14"/>
  <c r="P732" i="14"/>
  <c r="T732" i="14"/>
  <c r="U732" i="14"/>
  <c r="O733" i="14"/>
  <c r="P733" i="14"/>
  <c r="Q733" i="14"/>
  <c r="Q730" i="14" s="1"/>
  <c r="R733" i="14"/>
  <c r="S733" i="14"/>
  <c r="S730" i="14" s="1"/>
  <c r="L734" i="14"/>
  <c r="O734" i="14" s="1"/>
  <c r="M734" i="14"/>
  <c r="P734" i="14" s="1"/>
  <c r="N734" i="14"/>
  <c r="Q734" i="14"/>
  <c r="T734" i="14" s="1"/>
  <c r="R734" i="14"/>
  <c r="U734" i="14" s="1"/>
  <c r="S734" i="14"/>
  <c r="O735" i="14"/>
  <c r="P735" i="14"/>
  <c r="T735" i="14"/>
  <c r="U735" i="14"/>
  <c r="O736" i="14"/>
  <c r="P736" i="14"/>
  <c r="T736" i="14"/>
  <c r="U736" i="14"/>
  <c r="I740" i="14"/>
  <c r="K740" i="14" s="1"/>
  <c r="I742" i="14"/>
  <c r="K742" i="14" s="1"/>
  <c r="I744" i="14"/>
  <c r="K744" i="14" s="1"/>
  <c r="I746" i="14"/>
  <c r="K746" i="14" s="1"/>
  <c r="I749" i="14"/>
  <c r="K749" i="14" s="1"/>
  <c r="I752" i="14"/>
  <c r="K752" i="14" s="1"/>
  <c r="I755" i="14"/>
  <c r="K755" i="14" s="1"/>
  <c r="J758" i="14"/>
  <c r="J759" i="14"/>
  <c r="L761" i="14"/>
  <c r="O761" i="14" s="1"/>
  <c r="M761" i="14"/>
  <c r="P761" i="14" s="1"/>
  <c r="N761" i="14"/>
  <c r="N760" i="14" s="1"/>
  <c r="Q761" i="14"/>
  <c r="T761" i="14" s="1"/>
  <c r="R761" i="14"/>
  <c r="U761" i="14" s="1"/>
  <c r="S761" i="14"/>
  <c r="L762" i="14"/>
  <c r="O762" i="14" s="1"/>
  <c r="M762" i="14"/>
  <c r="P762" i="14" s="1"/>
  <c r="N762" i="14"/>
  <c r="L763" i="14"/>
  <c r="O763" i="14" s="1"/>
  <c r="M763" i="14"/>
  <c r="P763" i="14" s="1"/>
  <c r="N763" i="14"/>
  <c r="O764" i="14"/>
  <c r="P764" i="14"/>
  <c r="T764" i="14"/>
  <c r="U764" i="14"/>
  <c r="O765" i="14"/>
  <c r="P765" i="14"/>
  <c r="Q765" i="14"/>
  <c r="Q762" i="14" s="1"/>
  <c r="T762" i="14" s="1"/>
  <c r="R765" i="14"/>
  <c r="S765" i="14"/>
  <c r="S763" i="14" s="1"/>
  <c r="L766" i="14"/>
  <c r="M766" i="14"/>
  <c r="N766" i="14"/>
  <c r="O766" i="14"/>
  <c r="P766" i="14"/>
  <c r="Q766" i="14"/>
  <c r="R766" i="14"/>
  <c r="S766" i="14"/>
  <c r="T766" i="14"/>
  <c r="U766" i="14"/>
  <c r="O767" i="14"/>
  <c r="P767" i="14"/>
  <c r="T767" i="14"/>
  <c r="U767" i="14"/>
  <c r="O768" i="14"/>
  <c r="P768" i="14"/>
  <c r="T768" i="14"/>
  <c r="U768" i="14"/>
  <c r="I770" i="14"/>
  <c r="K770" i="14" s="1"/>
  <c r="I772" i="14"/>
  <c r="I758" i="14" s="1"/>
  <c r="K758" i="14" s="1"/>
  <c r="I774" i="14"/>
  <c r="K774" i="14" s="1"/>
  <c r="I775" i="14"/>
  <c r="I776" i="14"/>
  <c r="H777" i="14"/>
  <c r="I778" i="14"/>
  <c r="J778" i="14"/>
  <c r="I779" i="14"/>
  <c r="J779" i="14"/>
  <c r="I780" i="14"/>
  <c r="J780" i="14"/>
  <c r="I781" i="14"/>
  <c r="J781" i="14"/>
  <c r="I782" i="14"/>
  <c r="K782" i="14" s="1"/>
  <c r="J782" i="14"/>
  <c r="I783" i="14"/>
  <c r="K783" i="14" s="1"/>
  <c r="J783" i="14"/>
  <c r="I784" i="14"/>
  <c r="J784" i="14"/>
  <c r="I785" i="14"/>
  <c r="J785" i="14"/>
  <c r="A788" i="14"/>
  <c r="A789" i="14"/>
  <c r="L22" i="13"/>
  <c r="M22" i="13"/>
  <c r="N22" i="13"/>
  <c r="Q22" i="13"/>
  <c r="T22" i="13" s="1"/>
  <c r="R22" i="13"/>
  <c r="S22" i="13"/>
  <c r="L25" i="13"/>
  <c r="M25" i="13"/>
  <c r="N25" i="13"/>
  <c r="Q25" i="13"/>
  <c r="T25" i="13" s="1"/>
  <c r="R25" i="13"/>
  <c r="S25" i="13"/>
  <c r="L45" i="13"/>
  <c r="O45" i="13" s="1"/>
  <c r="M45" i="13"/>
  <c r="N45" i="13"/>
  <c r="Q45" i="13"/>
  <c r="R45" i="13"/>
  <c r="U45" i="13" s="1"/>
  <c r="S45" i="13"/>
  <c r="Q46" i="13"/>
  <c r="T46" i="13" s="1"/>
  <c r="R46" i="13"/>
  <c r="U46" i="13" s="1"/>
  <c r="S46" i="13"/>
  <c r="Q47" i="13"/>
  <c r="T47" i="13" s="1"/>
  <c r="R47" i="13"/>
  <c r="U47" i="13" s="1"/>
  <c r="S47" i="13"/>
  <c r="O48" i="13"/>
  <c r="P48" i="13"/>
  <c r="T48" i="13"/>
  <c r="U48" i="13"/>
  <c r="L49" i="13"/>
  <c r="M49" i="13"/>
  <c r="M47" i="13" s="1"/>
  <c r="N49" i="13"/>
  <c r="N47" i="13" s="1"/>
  <c r="T49" i="13"/>
  <c r="U49" i="13"/>
  <c r="Q50" i="13"/>
  <c r="R50" i="13"/>
  <c r="U50" i="13" s="1"/>
  <c r="S50" i="13"/>
  <c r="T50" i="13"/>
  <c r="O51" i="13"/>
  <c r="P51" i="13"/>
  <c r="T51" i="13"/>
  <c r="U51" i="13"/>
  <c r="L52" i="13"/>
  <c r="M52" i="13"/>
  <c r="P52" i="13" s="1"/>
  <c r="N52" i="13"/>
  <c r="N50" i="13" s="1"/>
  <c r="T52" i="13"/>
  <c r="U52" i="13"/>
  <c r="Q59" i="13"/>
  <c r="T59" i="13" s="1"/>
  <c r="R59" i="13"/>
  <c r="U59" i="13" s="1"/>
  <c r="L60" i="13"/>
  <c r="M60" i="13"/>
  <c r="N60" i="13"/>
  <c r="Q60" i="13"/>
  <c r="T60" i="13" s="1"/>
  <c r="R60" i="13"/>
  <c r="U60" i="13" s="1"/>
  <c r="S60" i="13"/>
  <c r="Q61" i="13"/>
  <c r="R61" i="13"/>
  <c r="U61" i="13" s="1"/>
  <c r="S61" i="13"/>
  <c r="T61" i="13"/>
  <c r="Q62" i="13"/>
  <c r="T62" i="13" s="1"/>
  <c r="R62" i="13"/>
  <c r="U62" i="13" s="1"/>
  <c r="S62" i="13"/>
  <c r="O63" i="13"/>
  <c r="P63" i="13"/>
  <c r="T63" i="13"/>
  <c r="U63" i="13"/>
  <c r="L64" i="13"/>
  <c r="M64" i="13"/>
  <c r="M62" i="13" s="1"/>
  <c r="N64" i="13"/>
  <c r="T64" i="13"/>
  <c r="U64" i="13"/>
  <c r="Q65" i="13"/>
  <c r="T65" i="13" s="1"/>
  <c r="R65" i="13"/>
  <c r="S65" i="13"/>
  <c r="U65" i="13"/>
  <c r="O66" i="13"/>
  <c r="P66" i="13"/>
  <c r="T66" i="13"/>
  <c r="U66" i="13"/>
  <c r="L67" i="13"/>
  <c r="M67" i="13"/>
  <c r="N67" i="13"/>
  <c r="N65" i="13" s="1"/>
  <c r="T67" i="13"/>
  <c r="U67" i="13"/>
  <c r="L73" i="13"/>
  <c r="M73" i="13"/>
  <c r="N73" i="13"/>
  <c r="Q73" i="13"/>
  <c r="R73" i="13"/>
  <c r="U73" i="13" s="1"/>
  <c r="S73" i="13"/>
  <c r="T73" i="13"/>
  <c r="O76" i="13"/>
  <c r="P76" i="13"/>
  <c r="T76" i="13"/>
  <c r="U76" i="13"/>
  <c r="L77" i="13"/>
  <c r="L75" i="13" s="1"/>
  <c r="O75" i="13" s="1"/>
  <c r="M77" i="13"/>
  <c r="M75" i="13" s="1"/>
  <c r="P75" i="13" s="1"/>
  <c r="N77" i="13"/>
  <c r="N75" i="13" s="1"/>
  <c r="Q77" i="13"/>
  <c r="R77" i="13"/>
  <c r="S77" i="13"/>
  <c r="S75" i="13" s="1"/>
  <c r="O79" i="13"/>
  <c r="P79" i="13"/>
  <c r="T79" i="13"/>
  <c r="U79" i="13"/>
  <c r="L80" i="13"/>
  <c r="L78" i="13" s="1"/>
  <c r="O78" i="13" s="1"/>
  <c r="M80" i="13"/>
  <c r="M78" i="13" s="1"/>
  <c r="P78" i="13" s="1"/>
  <c r="N80" i="13"/>
  <c r="N78" i="13" s="1"/>
  <c r="Q80" i="13"/>
  <c r="R80" i="13"/>
  <c r="U80" i="13" s="1"/>
  <c r="S80" i="13"/>
  <c r="S78" i="13" s="1"/>
  <c r="J82" i="13"/>
  <c r="J70" i="13" s="1"/>
  <c r="J83" i="13"/>
  <c r="J71" i="13" s="1"/>
  <c r="I84" i="13"/>
  <c r="K84" i="13" s="1"/>
  <c r="I85" i="13"/>
  <c r="I86" i="13"/>
  <c r="K86" i="13" s="1"/>
  <c r="I87" i="13"/>
  <c r="K87" i="13" s="1"/>
  <c r="I88" i="13"/>
  <c r="K88" i="13" s="1"/>
  <c r="I89" i="13"/>
  <c r="K89" i="13" s="1"/>
  <c r="I90" i="13"/>
  <c r="K90" i="13" s="1"/>
  <c r="J92" i="13"/>
  <c r="J93" i="13"/>
  <c r="L95" i="13"/>
  <c r="M95" i="13"/>
  <c r="N95" i="13"/>
  <c r="P95" i="13"/>
  <c r="Q95" i="13"/>
  <c r="R95" i="13"/>
  <c r="S95" i="13"/>
  <c r="O98" i="13"/>
  <c r="P98" i="13"/>
  <c r="T98" i="13"/>
  <c r="U98" i="13"/>
  <c r="L99" i="13"/>
  <c r="M99" i="13"/>
  <c r="N99" i="13"/>
  <c r="N97" i="13" s="1"/>
  <c r="Q99" i="13"/>
  <c r="Q97" i="13" s="1"/>
  <c r="R99" i="13"/>
  <c r="S99" i="13"/>
  <c r="S96" i="13" s="1"/>
  <c r="Q100" i="13"/>
  <c r="T100" i="13" s="1"/>
  <c r="R100" i="13"/>
  <c r="S100" i="13"/>
  <c r="U100" i="13"/>
  <c r="O101" i="13"/>
  <c r="P101" i="13"/>
  <c r="T101" i="13"/>
  <c r="U101" i="13"/>
  <c r="L102" i="13"/>
  <c r="M102" i="13"/>
  <c r="N102" i="13"/>
  <c r="T102" i="13"/>
  <c r="U102" i="13"/>
  <c r="I108" i="13"/>
  <c r="I92" i="13" s="1"/>
  <c r="I109" i="13"/>
  <c r="K109" i="13" s="1"/>
  <c r="I113" i="13"/>
  <c r="K113" i="13" s="1"/>
  <c r="I114" i="13"/>
  <c r="K114" i="13" s="1"/>
  <c r="J116" i="13"/>
  <c r="L118" i="13"/>
  <c r="O118" i="13" s="1"/>
  <c r="M118" i="13"/>
  <c r="N118" i="13"/>
  <c r="P118" i="13"/>
  <c r="Q118" i="13"/>
  <c r="T118" i="13" s="1"/>
  <c r="R118" i="13"/>
  <c r="U118" i="13" s="1"/>
  <c r="S118" i="13"/>
  <c r="O121" i="13"/>
  <c r="P121" i="13"/>
  <c r="T121" i="13"/>
  <c r="U121" i="13"/>
  <c r="L122" i="13"/>
  <c r="O122" i="13" s="1"/>
  <c r="M122" i="13"/>
  <c r="M120" i="13" s="1"/>
  <c r="P120" i="13" s="1"/>
  <c r="N122" i="13"/>
  <c r="Q122" i="13"/>
  <c r="R122" i="13"/>
  <c r="S122" i="13"/>
  <c r="S120" i="13" s="1"/>
  <c r="O124" i="13"/>
  <c r="P124" i="13"/>
  <c r="T124" i="13"/>
  <c r="U124" i="13"/>
  <c r="L125" i="13"/>
  <c r="M125" i="13"/>
  <c r="N125" i="13"/>
  <c r="N123" i="13" s="1"/>
  <c r="Q125" i="13"/>
  <c r="R125" i="13"/>
  <c r="U125" i="13" s="1"/>
  <c r="S125" i="13"/>
  <c r="S123" i="13" s="1"/>
  <c r="I127" i="13"/>
  <c r="I128" i="13"/>
  <c r="K128" i="13" s="1"/>
  <c r="I129" i="13"/>
  <c r="K129" i="13" s="1"/>
  <c r="I130" i="13"/>
  <c r="K130" i="13" s="1"/>
  <c r="J136" i="13"/>
  <c r="J137" i="13"/>
  <c r="J138" i="13"/>
  <c r="L140" i="13"/>
  <c r="M140" i="13"/>
  <c r="N140" i="13"/>
  <c r="O140" i="13"/>
  <c r="P140" i="13"/>
  <c r="Q140" i="13"/>
  <c r="R140" i="13"/>
  <c r="U140" i="13" s="1"/>
  <c r="S140" i="13"/>
  <c r="O143" i="13"/>
  <c r="P143" i="13"/>
  <c r="T143" i="13"/>
  <c r="U143" i="13"/>
  <c r="L144" i="13"/>
  <c r="M144" i="13"/>
  <c r="N144" i="13"/>
  <c r="N142" i="13" s="1"/>
  <c r="Q144" i="13"/>
  <c r="R144" i="13"/>
  <c r="S144" i="13"/>
  <c r="S142" i="13" s="1"/>
  <c r="O146" i="13"/>
  <c r="P146" i="13"/>
  <c r="T146" i="13"/>
  <c r="U146" i="13"/>
  <c r="L147" i="13"/>
  <c r="M147" i="13"/>
  <c r="P147" i="13" s="1"/>
  <c r="N147" i="13"/>
  <c r="N145" i="13" s="1"/>
  <c r="Q147" i="13"/>
  <c r="R147" i="13"/>
  <c r="S147" i="13"/>
  <c r="S145" i="13" s="1"/>
  <c r="I150" i="13"/>
  <c r="K150" i="13" s="1"/>
  <c r="I151" i="13"/>
  <c r="K151" i="13" s="1"/>
  <c r="I152" i="13"/>
  <c r="K152" i="13" s="1"/>
  <c r="I153" i="13"/>
  <c r="I138" i="13" s="1"/>
  <c r="I154" i="13"/>
  <c r="I136" i="13" s="1"/>
  <c r="K136" i="13" s="1"/>
  <c r="J156" i="13"/>
  <c r="L158" i="13"/>
  <c r="M158" i="13"/>
  <c r="P158" i="13" s="1"/>
  <c r="N158" i="13"/>
  <c r="O158" i="13"/>
  <c r="Q158" i="13"/>
  <c r="R158" i="13"/>
  <c r="S158" i="13"/>
  <c r="T158" i="13"/>
  <c r="U158" i="13"/>
  <c r="O161" i="13"/>
  <c r="P161" i="13"/>
  <c r="T161" i="13"/>
  <c r="U161" i="13"/>
  <c r="L162" i="13"/>
  <c r="O162" i="13" s="1"/>
  <c r="M162" i="13"/>
  <c r="N162" i="13"/>
  <c r="Q162" i="13"/>
  <c r="R162" i="13"/>
  <c r="S162" i="13"/>
  <c r="Q163" i="13"/>
  <c r="R163" i="13"/>
  <c r="U163" i="13" s="1"/>
  <c r="S163" i="13"/>
  <c r="T163" i="13"/>
  <c r="O164" i="13"/>
  <c r="P164" i="13"/>
  <c r="T164" i="13"/>
  <c r="U164" i="13"/>
  <c r="L165" i="13"/>
  <c r="O165" i="13" s="1"/>
  <c r="M165" i="13"/>
  <c r="P165" i="13" s="1"/>
  <c r="N165" i="13"/>
  <c r="N163" i="13" s="1"/>
  <c r="T165" i="13"/>
  <c r="U165" i="13"/>
  <c r="I167" i="13"/>
  <c r="K167" i="13" s="1"/>
  <c r="I168" i="13"/>
  <c r="K168" i="13" s="1"/>
  <c r="I169" i="13"/>
  <c r="I156" i="13" s="1"/>
  <c r="K156" i="13" s="1"/>
  <c r="J172" i="13"/>
  <c r="L174" i="13"/>
  <c r="O174" i="13" s="1"/>
  <c r="M174" i="13"/>
  <c r="P174" i="13" s="1"/>
  <c r="N174" i="13"/>
  <c r="Q174" i="13"/>
  <c r="T174" i="13" s="1"/>
  <c r="R174" i="13"/>
  <c r="U174" i="13" s="1"/>
  <c r="S174" i="13"/>
  <c r="O177" i="13"/>
  <c r="P177" i="13"/>
  <c r="T177" i="13"/>
  <c r="U177" i="13"/>
  <c r="L178" i="13"/>
  <c r="M178" i="13"/>
  <c r="N178" i="13"/>
  <c r="N176" i="13" s="1"/>
  <c r="Q178" i="13"/>
  <c r="R178" i="13"/>
  <c r="R176" i="13" s="1"/>
  <c r="U176" i="13" s="1"/>
  <c r="S178" i="13"/>
  <c r="S175" i="13" s="1"/>
  <c r="Q179" i="13"/>
  <c r="R179" i="13"/>
  <c r="S179" i="13"/>
  <c r="T179" i="13"/>
  <c r="U179" i="13"/>
  <c r="O180" i="13"/>
  <c r="P180" i="13"/>
  <c r="T180" i="13"/>
  <c r="U180" i="13"/>
  <c r="L181" i="13"/>
  <c r="M181" i="13"/>
  <c r="P181" i="13" s="1"/>
  <c r="N181" i="13"/>
  <c r="N179" i="13" s="1"/>
  <c r="T181" i="13"/>
  <c r="U181" i="13"/>
  <c r="I183" i="13"/>
  <c r="I172" i="13" s="1"/>
  <c r="K172" i="13" s="1"/>
  <c r="K184" i="13"/>
  <c r="L187" i="13"/>
  <c r="M187" i="13"/>
  <c r="N187" i="13"/>
  <c r="Q187" i="13"/>
  <c r="T187" i="13" s="1"/>
  <c r="R187" i="13"/>
  <c r="S187" i="13"/>
  <c r="O190" i="13"/>
  <c r="P190" i="13"/>
  <c r="T190" i="13"/>
  <c r="U190" i="13"/>
  <c r="L191" i="13"/>
  <c r="L189" i="13" s="1"/>
  <c r="M191" i="13"/>
  <c r="M189" i="13" s="1"/>
  <c r="N191" i="13"/>
  <c r="Q191" i="13"/>
  <c r="Q189" i="13" s="1"/>
  <c r="R191" i="13"/>
  <c r="S191" i="13"/>
  <c r="O193" i="13"/>
  <c r="P193" i="13"/>
  <c r="T193" i="13"/>
  <c r="U193" i="13"/>
  <c r="L194" i="13"/>
  <c r="L192" i="13" s="1"/>
  <c r="O192" i="13" s="1"/>
  <c r="M194" i="13"/>
  <c r="P194" i="13" s="1"/>
  <c r="N194" i="13"/>
  <c r="N192" i="13" s="1"/>
  <c r="Q194" i="13"/>
  <c r="T194" i="13" s="1"/>
  <c r="R194" i="13"/>
  <c r="R192" i="13" s="1"/>
  <c r="U192" i="13" s="1"/>
  <c r="S194" i="13"/>
  <c r="S192" i="13" s="1"/>
  <c r="J195" i="13"/>
  <c r="L196" i="13"/>
  <c r="O196" i="13" s="1"/>
  <c r="P196" i="13"/>
  <c r="I198" i="13"/>
  <c r="I195" i="13" s="1"/>
  <c r="J199" i="13"/>
  <c r="J202" i="13"/>
  <c r="N203" i="13"/>
  <c r="P203" i="13"/>
  <c r="S203" i="13"/>
  <c r="U203" i="13"/>
  <c r="L204" i="13"/>
  <c r="L205" i="13"/>
  <c r="L206" i="13"/>
  <c r="Q206" i="13"/>
  <c r="Q203" i="13" s="1"/>
  <c r="T203" i="13" s="1"/>
  <c r="L207" i="13"/>
  <c r="I209" i="13"/>
  <c r="K209" i="13" s="1"/>
  <c r="I211" i="13"/>
  <c r="K211" i="13" s="1"/>
  <c r="I212" i="13"/>
  <c r="K212" i="13" s="1"/>
  <c r="J213" i="13"/>
  <c r="N214" i="13"/>
  <c r="P214" i="13"/>
  <c r="S214" i="13"/>
  <c r="U214" i="13"/>
  <c r="L215" i="13"/>
  <c r="L216" i="13"/>
  <c r="L217" i="13"/>
  <c r="Q217" i="13"/>
  <c r="Q214" i="13" s="1"/>
  <c r="T214" i="13" s="1"/>
  <c r="I219" i="13"/>
  <c r="K219" i="13" s="1"/>
  <c r="I220" i="13"/>
  <c r="I213" i="13" s="1"/>
  <c r="K213" i="13" s="1"/>
  <c r="J221" i="13"/>
  <c r="N222" i="13"/>
  <c r="P222" i="13"/>
  <c r="L223" i="13"/>
  <c r="L224" i="13"/>
  <c r="L225" i="13"/>
  <c r="I228" i="13"/>
  <c r="K228" i="13" s="1"/>
  <c r="I229" i="13"/>
  <c r="I221" i="13" s="1"/>
  <c r="I230" i="13"/>
  <c r="K230" i="13" s="1"/>
  <c r="N232" i="13"/>
  <c r="N233" i="13"/>
  <c r="N234" i="13"/>
  <c r="N235" i="13"/>
  <c r="N236" i="13"/>
  <c r="J238" i="13"/>
  <c r="I240" i="13"/>
  <c r="K240" i="13" s="1"/>
  <c r="J240" i="13"/>
  <c r="I241" i="13"/>
  <c r="K241" i="13" s="1"/>
  <c r="J241" i="13"/>
  <c r="J242" i="13"/>
  <c r="N243" i="13"/>
  <c r="P243" i="13"/>
  <c r="L244" i="13"/>
  <c r="L245" i="13"/>
  <c r="L246" i="13"/>
  <c r="L247" i="13"/>
  <c r="I249" i="13"/>
  <c r="K249" i="13" s="1"/>
  <c r="K251" i="13"/>
  <c r="K252" i="13"/>
  <c r="J253" i="13"/>
  <c r="N254" i="13"/>
  <c r="P254" i="13"/>
  <c r="L255" i="13"/>
  <c r="L256" i="13"/>
  <c r="L257" i="13"/>
  <c r="L258" i="13"/>
  <c r="I260" i="13"/>
  <c r="K260" i="13" s="1"/>
  <c r="K262" i="13"/>
  <c r="K263" i="13"/>
  <c r="J265" i="13"/>
  <c r="L267" i="13"/>
  <c r="M267" i="13"/>
  <c r="N267" i="13"/>
  <c r="Q267" i="13"/>
  <c r="R267" i="13"/>
  <c r="S267" i="13"/>
  <c r="O270" i="13"/>
  <c r="P270" i="13"/>
  <c r="T270" i="13"/>
  <c r="U270" i="13"/>
  <c r="L271" i="13"/>
  <c r="M271" i="13"/>
  <c r="N271" i="13"/>
  <c r="Q271" i="13"/>
  <c r="Q268" i="13" s="1"/>
  <c r="R271" i="13"/>
  <c r="R268" i="13" s="1"/>
  <c r="S271" i="13"/>
  <c r="S268" i="13" s="1"/>
  <c r="Q272" i="13"/>
  <c r="T272" i="13" s="1"/>
  <c r="R272" i="13"/>
  <c r="S272" i="13"/>
  <c r="U272" i="13"/>
  <c r="O273" i="13"/>
  <c r="P273" i="13"/>
  <c r="T273" i="13"/>
  <c r="U273" i="13"/>
  <c r="L274" i="13"/>
  <c r="O274" i="13" s="1"/>
  <c r="M274" i="13"/>
  <c r="N274" i="13"/>
  <c r="N272" i="13" s="1"/>
  <c r="T274" i="13"/>
  <c r="U274" i="13"/>
  <c r="I276" i="13"/>
  <c r="I265" i="13" s="1"/>
  <c r="K265" i="13" s="1"/>
  <c r="J281" i="13"/>
  <c r="L283" i="13"/>
  <c r="M283" i="13"/>
  <c r="N283" i="13"/>
  <c r="Q283" i="13"/>
  <c r="R283" i="13"/>
  <c r="S283" i="13"/>
  <c r="T283" i="13"/>
  <c r="Q284" i="13"/>
  <c r="T284" i="13" s="1"/>
  <c r="R284" i="13"/>
  <c r="S284" i="13"/>
  <c r="U284" i="13"/>
  <c r="Q285" i="13"/>
  <c r="T285" i="13" s="1"/>
  <c r="R285" i="13"/>
  <c r="U285" i="13" s="1"/>
  <c r="S285" i="13"/>
  <c r="O286" i="13"/>
  <c r="P286" i="13"/>
  <c r="T286" i="13"/>
  <c r="U286" i="13"/>
  <c r="L287" i="13"/>
  <c r="M287" i="13"/>
  <c r="M285" i="13" s="1"/>
  <c r="P285" i="13" s="1"/>
  <c r="N287" i="13"/>
  <c r="N285" i="13" s="1"/>
  <c r="T287" i="13"/>
  <c r="U287" i="13"/>
  <c r="Q288" i="13"/>
  <c r="T288" i="13" s="1"/>
  <c r="R288" i="13"/>
  <c r="S288" i="13"/>
  <c r="U288" i="13"/>
  <c r="O289" i="13"/>
  <c r="P289" i="13"/>
  <c r="T289" i="13"/>
  <c r="U289" i="13"/>
  <c r="L290" i="13"/>
  <c r="M290" i="13"/>
  <c r="P290" i="13" s="1"/>
  <c r="N290" i="13"/>
  <c r="N288" i="13" s="1"/>
  <c r="T290" i="13"/>
  <c r="U290" i="13"/>
  <c r="I292" i="13"/>
  <c r="I281" i="13" s="1"/>
  <c r="K281" i="13" s="1"/>
  <c r="I293" i="13"/>
  <c r="I280" i="13" s="1"/>
  <c r="K280" i="13" s="1"/>
  <c r="J293" i="13"/>
  <c r="J280" i="13" s="1"/>
  <c r="I295" i="13"/>
  <c r="K295" i="13" s="1"/>
  <c r="I296" i="13"/>
  <c r="K296" i="13" s="1"/>
  <c r="J302" i="13"/>
  <c r="L304" i="13"/>
  <c r="M304" i="13"/>
  <c r="N304" i="13"/>
  <c r="Q304" i="13"/>
  <c r="R304" i="13"/>
  <c r="S304" i="13"/>
  <c r="T304" i="13"/>
  <c r="O307" i="13"/>
  <c r="P307" i="13"/>
  <c r="T307" i="13"/>
  <c r="U307" i="13"/>
  <c r="L308" i="13"/>
  <c r="M308" i="13"/>
  <c r="N308" i="13"/>
  <c r="N306" i="13" s="1"/>
  <c r="Q308" i="13"/>
  <c r="Q305" i="13" s="1"/>
  <c r="Q303" i="13" s="1"/>
  <c r="R308" i="13"/>
  <c r="S308" i="13"/>
  <c r="S305" i="13" s="1"/>
  <c r="Q309" i="13"/>
  <c r="T309" i="13" s="1"/>
  <c r="R309" i="13"/>
  <c r="U309" i="13" s="1"/>
  <c r="S309" i="13"/>
  <c r="O310" i="13"/>
  <c r="P310" i="13"/>
  <c r="T310" i="13"/>
  <c r="U310" i="13"/>
  <c r="L311" i="13"/>
  <c r="M311" i="13"/>
  <c r="N311" i="13"/>
  <c r="N309" i="13" s="1"/>
  <c r="T311" i="13"/>
  <c r="U311" i="13"/>
  <c r="I314" i="13"/>
  <c r="J319" i="13"/>
  <c r="L321" i="13"/>
  <c r="M321" i="13"/>
  <c r="P321" i="13" s="1"/>
  <c r="N321" i="13"/>
  <c r="Q321" i="13"/>
  <c r="R321" i="13"/>
  <c r="S321" i="13"/>
  <c r="S320" i="13" s="1"/>
  <c r="Q322" i="13"/>
  <c r="R322" i="13"/>
  <c r="U322" i="13" s="1"/>
  <c r="S322" i="13"/>
  <c r="T322" i="13"/>
  <c r="Q323" i="13"/>
  <c r="T323" i="13" s="1"/>
  <c r="R323" i="13"/>
  <c r="S323" i="13"/>
  <c r="U323" i="13"/>
  <c r="O324" i="13"/>
  <c r="P324" i="13"/>
  <c r="T324" i="13"/>
  <c r="U324" i="13"/>
  <c r="L325" i="13"/>
  <c r="M325" i="13"/>
  <c r="N325" i="13"/>
  <c r="N323" i="13" s="1"/>
  <c r="T325" i="13"/>
  <c r="U325" i="13"/>
  <c r="Q326" i="13"/>
  <c r="T326" i="13" s="1"/>
  <c r="R326" i="13"/>
  <c r="U326" i="13" s="1"/>
  <c r="S326" i="13"/>
  <c r="O327" i="13"/>
  <c r="P327" i="13"/>
  <c r="T327" i="13"/>
  <c r="U327" i="13"/>
  <c r="L328" i="13"/>
  <c r="L326" i="13" s="1"/>
  <c r="O326" i="13" s="1"/>
  <c r="M328" i="13"/>
  <c r="M326" i="13" s="1"/>
  <c r="P326" i="13" s="1"/>
  <c r="N328" i="13"/>
  <c r="N326" i="13" s="1"/>
  <c r="T328" i="13"/>
  <c r="U328" i="13"/>
  <c r="I330" i="13"/>
  <c r="L334" i="13"/>
  <c r="O334" i="13" s="1"/>
  <c r="M334" i="13"/>
  <c r="N334" i="13"/>
  <c r="Q334" i="13"/>
  <c r="R334" i="13"/>
  <c r="U334" i="13" s="1"/>
  <c r="S334" i="13"/>
  <c r="S333" i="13" s="1"/>
  <c r="Q335" i="13"/>
  <c r="R335" i="13"/>
  <c r="S335" i="13"/>
  <c r="T335" i="13"/>
  <c r="U335" i="13"/>
  <c r="Q336" i="13"/>
  <c r="T336" i="13" s="1"/>
  <c r="R336" i="13"/>
  <c r="S336" i="13"/>
  <c r="U336" i="13"/>
  <c r="O337" i="13"/>
  <c r="P337" i="13"/>
  <c r="T337" i="13"/>
  <c r="U337" i="13"/>
  <c r="L338" i="13"/>
  <c r="L336" i="13" s="1"/>
  <c r="M338" i="13"/>
  <c r="N338" i="13"/>
  <c r="T338" i="13"/>
  <c r="U338" i="13"/>
  <c r="Q339" i="13"/>
  <c r="T339" i="13" s="1"/>
  <c r="R339" i="13"/>
  <c r="U339" i="13" s="1"/>
  <c r="S339" i="13"/>
  <c r="O340" i="13"/>
  <c r="P340" i="13"/>
  <c r="T340" i="13"/>
  <c r="U340" i="13"/>
  <c r="L341" i="13"/>
  <c r="O341" i="13" s="1"/>
  <c r="M341" i="13"/>
  <c r="P341" i="13" s="1"/>
  <c r="N341" i="13"/>
  <c r="N339" i="13" s="1"/>
  <c r="T341" i="13"/>
  <c r="U341" i="13"/>
  <c r="I344" i="13"/>
  <c r="J344" i="13"/>
  <c r="I346" i="13"/>
  <c r="J346" i="13"/>
  <c r="J347" i="13"/>
  <c r="J348" i="13"/>
  <c r="J349" i="13"/>
  <c r="D350" i="13"/>
  <c r="J352" i="13"/>
  <c r="J353" i="13"/>
  <c r="D354" i="13"/>
  <c r="S356" i="13"/>
  <c r="L357" i="13"/>
  <c r="M357" i="13"/>
  <c r="P357" i="13" s="1"/>
  <c r="N357" i="13"/>
  <c r="O357" i="13"/>
  <c r="Q357" i="13"/>
  <c r="R357" i="13"/>
  <c r="U357" i="13" s="1"/>
  <c r="S357" i="13"/>
  <c r="Q358" i="13"/>
  <c r="T358" i="13" s="1"/>
  <c r="R358" i="13"/>
  <c r="U358" i="13" s="1"/>
  <c r="S358" i="13"/>
  <c r="Q359" i="13"/>
  <c r="T359" i="13" s="1"/>
  <c r="R359" i="13"/>
  <c r="U359" i="13" s="1"/>
  <c r="S359" i="13"/>
  <c r="O360" i="13"/>
  <c r="P360" i="13"/>
  <c r="T360" i="13"/>
  <c r="U360" i="13"/>
  <c r="L361" i="13"/>
  <c r="M361" i="13"/>
  <c r="N361" i="13"/>
  <c r="T361" i="13"/>
  <c r="U361" i="13"/>
  <c r="Q362" i="13"/>
  <c r="R362" i="13"/>
  <c r="S362" i="13"/>
  <c r="T362" i="13"/>
  <c r="U362" i="13"/>
  <c r="O363" i="13"/>
  <c r="P363" i="13"/>
  <c r="T363" i="13"/>
  <c r="U363" i="13"/>
  <c r="L364" i="13"/>
  <c r="O364" i="13" s="1"/>
  <c r="M364" i="13"/>
  <c r="N364" i="13"/>
  <c r="N362" i="13" s="1"/>
  <c r="T364" i="13"/>
  <c r="U364" i="13"/>
  <c r="J367" i="13"/>
  <c r="K367" i="13"/>
  <c r="I368" i="13"/>
  <c r="J368" i="13"/>
  <c r="I369" i="13"/>
  <c r="J369" i="13"/>
  <c r="J370" i="13"/>
  <c r="K370" i="13"/>
  <c r="I371" i="13"/>
  <c r="I365" i="13" s="1"/>
  <c r="J371" i="13"/>
  <c r="J365" i="13" s="1"/>
  <c r="J372" i="13"/>
  <c r="K372" i="13"/>
  <c r="D373" i="13"/>
  <c r="L376" i="13"/>
  <c r="O376" i="13" s="1"/>
  <c r="M376" i="13"/>
  <c r="P376" i="13" s="1"/>
  <c r="N376" i="13"/>
  <c r="Q376" i="13"/>
  <c r="R376" i="13"/>
  <c r="S376" i="13"/>
  <c r="U376" i="13"/>
  <c r="O379" i="13"/>
  <c r="P379" i="13"/>
  <c r="T379" i="13"/>
  <c r="U379" i="13"/>
  <c r="L380" i="13"/>
  <c r="L378" i="13" s="1"/>
  <c r="O378" i="13" s="1"/>
  <c r="M380" i="13"/>
  <c r="P380" i="13" s="1"/>
  <c r="N380" i="13"/>
  <c r="Q380" i="13"/>
  <c r="Q377" i="13" s="1"/>
  <c r="R380" i="13"/>
  <c r="R378" i="13" s="1"/>
  <c r="S380" i="13"/>
  <c r="S377" i="13" s="1"/>
  <c r="Q381" i="13"/>
  <c r="T381" i="13" s="1"/>
  <c r="R381" i="13"/>
  <c r="U381" i="13" s="1"/>
  <c r="S381" i="13"/>
  <c r="O382" i="13"/>
  <c r="P382" i="13"/>
  <c r="T382" i="13"/>
  <c r="U382" i="13"/>
  <c r="L383" i="13"/>
  <c r="M383" i="13"/>
  <c r="P383" i="13" s="1"/>
  <c r="N383" i="13"/>
  <c r="N381" i="13" s="1"/>
  <c r="T383" i="13"/>
  <c r="U383" i="13"/>
  <c r="J385" i="13"/>
  <c r="K385" i="13"/>
  <c r="I386" i="13"/>
  <c r="J386" i="13"/>
  <c r="J387" i="13"/>
  <c r="K387" i="13"/>
  <c r="I388" i="13"/>
  <c r="K388" i="13" s="1"/>
  <c r="J388" i="13"/>
  <c r="I391" i="13"/>
  <c r="K391" i="13" s="1"/>
  <c r="J391" i="13"/>
  <c r="L393" i="13"/>
  <c r="O393" i="13" s="1"/>
  <c r="M393" i="13"/>
  <c r="P393" i="13" s="1"/>
  <c r="N393" i="13"/>
  <c r="Q393" i="13"/>
  <c r="R393" i="13"/>
  <c r="S393" i="13"/>
  <c r="L394" i="13"/>
  <c r="O394" i="13" s="1"/>
  <c r="M394" i="13"/>
  <c r="N394" i="13"/>
  <c r="L395" i="13"/>
  <c r="O395" i="13" s="1"/>
  <c r="M395" i="13"/>
  <c r="P395" i="13" s="1"/>
  <c r="N395" i="13"/>
  <c r="O396" i="13"/>
  <c r="P396" i="13"/>
  <c r="T396" i="13"/>
  <c r="U396" i="13"/>
  <c r="O397" i="13"/>
  <c r="P397" i="13"/>
  <c r="Q397" i="13"/>
  <c r="T397" i="13" s="1"/>
  <c r="R397" i="13"/>
  <c r="S397" i="13"/>
  <c r="L398" i="13"/>
  <c r="M398" i="13"/>
  <c r="P398" i="13" s="1"/>
  <c r="N398" i="13"/>
  <c r="O398" i="13"/>
  <c r="Q398" i="13"/>
  <c r="R398" i="13"/>
  <c r="S398" i="13"/>
  <c r="T398" i="13"/>
  <c r="U398" i="13"/>
  <c r="O399" i="13"/>
  <c r="P399" i="13"/>
  <c r="T399" i="13"/>
  <c r="U399" i="13"/>
  <c r="O400" i="13"/>
  <c r="P400" i="13"/>
  <c r="T400" i="13"/>
  <c r="U400" i="13"/>
  <c r="L414" i="13"/>
  <c r="O414" i="13" s="1"/>
  <c r="M414" i="13"/>
  <c r="P414" i="13" s="1"/>
  <c r="N414" i="13"/>
  <c r="Q414" i="13"/>
  <c r="R414" i="13"/>
  <c r="S414" i="13"/>
  <c r="O417" i="13"/>
  <c r="P417" i="13"/>
  <c r="T417" i="13"/>
  <c r="U417" i="13"/>
  <c r="L418" i="13"/>
  <c r="M418" i="13"/>
  <c r="M416" i="13" s="1"/>
  <c r="N418" i="13"/>
  <c r="N416" i="13" s="1"/>
  <c r="Q418" i="13"/>
  <c r="R418" i="13"/>
  <c r="R416" i="13" s="1"/>
  <c r="S418" i="13"/>
  <c r="S416" i="13" s="1"/>
  <c r="Q419" i="13"/>
  <c r="T419" i="13" s="1"/>
  <c r="R419" i="13"/>
  <c r="U419" i="13" s="1"/>
  <c r="S419" i="13"/>
  <c r="O420" i="13"/>
  <c r="P420" i="13"/>
  <c r="T420" i="13"/>
  <c r="U420" i="13"/>
  <c r="L421" i="13"/>
  <c r="M421" i="13"/>
  <c r="P421" i="13" s="1"/>
  <c r="N421" i="13"/>
  <c r="N419" i="13" s="1"/>
  <c r="T421" i="13"/>
  <c r="U421" i="13"/>
  <c r="J423" i="13"/>
  <c r="J412" i="13" s="1"/>
  <c r="I424" i="13"/>
  <c r="K424" i="13" s="1"/>
  <c r="J424" i="13"/>
  <c r="I425" i="13"/>
  <c r="K425" i="13" s="1"/>
  <c r="J425" i="13"/>
  <c r="I432" i="13"/>
  <c r="K432" i="13" s="1"/>
  <c r="J432" i="13"/>
  <c r="I433" i="13"/>
  <c r="K433" i="13" s="1"/>
  <c r="J433" i="13"/>
  <c r="I440" i="13"/>
  <c r="K440" i="13" s="1"/>
  <c r="I441" i="13"/>
  <c r="K441" i="13" s="1"/>
  <c r="J446" i="13"/>
  <c r="J440" i="13" s="1"/>
  <c r="J447" i="13"/>
  <c r="J441" i="13" s="1"/>
  <c r="I457" i="13"/>
  <c r="I456" i="13" s="1"/>
  <c r="I458" i="13"/>
  <c r="K458" i="13" s="1"/>
  <c r="J458" i="13"/>
  <c r="J459" i="13"/>
  <c r="J460" i="13"/>
  <c r="J467" i="13"/>
  <c r="J468" i="13"/>
  <c r="J475" i="13"/>
  <c r="K475" i="13"/>
  <c r="J476" i="13"/>
  <c r="K476" i="13"/>
  <c r="J477" i="13"/>
  <c r="K477" i="13"/>
  <c r="J482" i="13"/>
  <c r="J483" i="13"/>
  <c r="I484" i="13"/>
  <c r="K484" i="13" s="1"/>
  <c r="J484" i="13"/>
  <c r="I485" i="13"/>
  <c r="J485" i="13"/>
  <c r="K485" i="13"/>
  <c r="L494" i="13"/>
  <c r="M494" i="13"/>
  <c r="N494" i="13"/>
  <c r="O494" i="13"/>
  <c r="P494" i="13"/>
  <c r="Q494" i="13"/>
  <c r="T494" i="13" s="1"/>
  <c r="R494" i="13"/>
  <c r="U494" i="13" s="1"/>
  <c r="S494" i="13"/>
  <c r="O497" i="13"/>
  <c r="P497" i="13"/>
  <c r="T497" i="13"/>
  <c r="U497" i="13"/>
  <c r="L498" i="13"/>
  <c r="M498" i="13"/>
  <c r="N498" i="13"/>
  <c r="N496" i="13" s="1"/>
  <c r="Q498" i="13"/>
  <c r="Q496" i="13" s="1"/>
  <c r="R498" i="13"/>
  <c r="R496" i="13" s="1"/>
  <c r="S498" i="13"/>
  <c r="S496" i="13" s="1"/>
  <c r="Q499" i="13"/>
  <c r="R499" i="13"/>
  <c r="S499" i="13"/>
  <c r="T499" i="13"/>
  <c r="U499" i="13"/>
  <c r="O500" i="13"/>
  <c r="P500" i="13"/>
  <c r="T500" i="13"/>
  <c r="U500" i="13"/>
  <c r="L501" i="13"/>
  <c r="M501" i="13"/>
  <c r="P501" i="13" s="1"/>
  <c r="N501" i="13"/>
  <c r="T501" i="13"/>
  <c r="U501" i="13"/>
  <c r="I503" i="13"/>
  <c r="I504" i="13"/>
  <c r="K504" i="13" s="1"/>
  <c r="I505" i="13"/>
  <c r="K505" i="13" s="1"/>
  <c r="I506" i="13"/>
  <c r="K506" i="13" s="1"/>
  <c r="I507" i="13"/>
  <c r="K507" i="13" s="1"/>
  <c r="K508" i="13"/>
  <c r="I509" i="13"/>
  <c r="K509" i="13" s="1"/>
  <c r="I512" i="13"/>
  <c r="K512" i="13" s="1"/>
  <c r="J512" i="13"/>
  <c r="L514" i="13"/>
  <c r="M514" i="13"/>
  <c r="P514" i="13" s="1"/>
  <c r="N514" i="13"/>
  <c r="Q514" i="13"/>
  <c r="R514" i="13"/>
  <c r="S514" i="13"/>
  <c r="U514" i="13"/>
  <c r="Q515" i="13"/>
  <c r="T515" i="13" s="1"/>
  <c r="R515" i="13"/>
  <c r="S515" i="13"/>
  <c r="S513" i="13" s="1"/>
  <c r="Q516" i="13"/>
  <c r="T516" i="13" s="1"/>
  <c r="R516" i="13"/>
  <c r="U516" i="13" s="1"/>
  <c r="S516" i="13"/>
  <c r="O517" i="13"/>
  <c r="P517" i="13"/>
  <c r="T517" i="13"/>
  <c r="U517" i="13"/>
  <c r="L518" i="13"/>
  <c r="L516" i="13" s="1"/>
  <c r="O516" i="13" s="1"/>
  <c r="M518" i="13"/>
  <c r="M516" i="13" s="1"/>
  <c r="P516" i="13" s="1"/>
  <c r="N518" i="13"/>
  <c r="T518" i="13"/>
  <c r="U518" i="13"/>
  <c r="Q519" i="13"/>
  <c r="T519" i="13" s="1"/>
  <c r="R519" i="13"/>
  <c r="U519" i="13" s="1"/>
  <c r="S519" i="13"/>
  <c r="O520" i="13"/>
  <c r="P520" i="13"/>
  <c r="T520" i="13"/>
  <c r="U520" i="13"/>
  <c r="L521" i="13"/>
  <c r="M521" i="13"/>
  <c r="N521" i="13"/>
  <c r="N519" i="13" s="1"/>
  <c r="T521" i="13"/>
  <c r="U521" i="13"/>
  <c r="K523" i="13"/>
  <c r="K524" i="13"/>
  <c r="I533" i="13"/>
  <c r="J533" i="13"/>
  <c r="K533" i="13"/>
  <c r="L535" i="13"/>
  <c r="M535" i="13"/>
  <c r="N535" i="13"/>
  <c r="O535" i="13"/>
  <c r="Q535" i="13"/>
  <c r="T535" i="13" s="1"/>
  <c r="R535" i="13"/>
  <c r="S535" i="13"/>
  <c r="U535" i="13"/>
  <c r="Q536" i="13"/>
  <c r="T536" i="13" s="1"/>
  <c r="R536" i="13"/>
  <c r="U536" i="13" s="1"/>
  <c r="S536" i="13"/>
  <c r="Q537" i="13"/>
  <c r="T537" i="13" s="1"/>
  <c r="R537" i="13"/>
  <c r="U537" i="13" s="1"/>
  <c r="S537" i="13"/>
  <c r="O538" i="13"/>
  <c r="P538" i="13"/>
  <c r="T538" i="13"/>
  <c r="U538" i="13"/>
  <c r="L539" i="13"/>
  <c r="M539" i="13"/>
  <c r="M537" i="13" s="1"/>
  <c r="P537" i="13" s="1"/>
  <c r="N539" i="13"/>
  <c r="N537" i="13" s="1"/>
  <c r="T539" i="13"/>
  <c r="U539" i="13"/>
  <c r="Q540" i="13"/>
  <c r="R540" i="13"/>
  <c r="U540" i="13" s="1"/>
  <c r="S540" i="13"/>
  <c r="T540" i="13"/>
  <c r="O541" i="13"/>
  <c r="P541" i="13"/>
  <c r="T541" i="13"/>
  <c r="U541" i="13"/>
  <c r="L542" i="13"/>
  <c r="M542" i="13"/>
  <c r="N542" i="13"/>
  <c r="N540" i="13" s="1"/>
  <c r="T542" i="13"/>
  <c r="U542" i="13"/>
  <c r="I554" i="13"/>
  <c r="K554" i="13" s="1"/>
  <c r="J554" i="13"/>
  <c r="L556" i="13"/>
  <c r="M556" i="13"/>
  <c r="N556" i="13"/>
  <c r="P556" i="13"/>
  <c r="Q556" i="13"/>
  <c r="R556" i="13"/>
  <c r="S556" i="13"/>
  <c r="Q557" i="13"/>
  <c r="R557" i="13"/>
  <c r="U557" i="13" s="1"/>
  <c r="S557" i="13"/>
  <c r="T557" i="13"/>
  <c r="Q558" i="13"/>
  <c r="R558" i="13"/>
  <c r="S558" i="13"/>
  <c r="T558" i="13"/>
  <c r="U558" i="13"/>
  <c r="O559" i="13"/>
  <c r="P559" i="13"/>
  <c r="T559" i="13"/>
  <c r="U559" i="13"/>
  <c r="L560" i="13"/>
  <c r="M560" i="13"/>
  <c r="N560" i="13"/>
  <c r="T560" i="13"/>
  <c r="U560" i="13"/>
  <c r="Q561" i="13"/>
  <c r="T561" i="13" s="1"/>
  <c r="R561" i="13"/>
  <c r="U561" i="13" s="1"/>
  <c r="S561" i="13"/>
  <c r="O562" i="13"/>
  <c r="P562" i="13"/>
  <c r="T562" i="13"/>
  <c r="U562" i="13"/>
  <c r="L563" i="13"/>
  <c r="O563" i="13" s="1"/>
  <c r="M563" i="13"/>
  <c r="M561" i="13" s="1"/>
  <c r="P561" i="13" s="1"/>
  <c r="N563" i="13"/>
  <c r="N561" i="13" s="1"/>
  <c r="T563" i="13"/>
  <c r="U563" i="13"/>
  <c r="I575" i="13"/>
  <c r="J575" i="13"/>
  <c r="K575" i="13"/>
  <c r="L577" i="13"/>
  <c r="M577" i="13"/>
  <c r="N577" i="13"/>
  <c r="O577" i="13"/>
  <c r="Q577" i="13"/>
  <c r="T577" i="13" s="1"/>
  <c r="R577" i="13"/>
  <c r="R576" i="13" s="1"/>
  <c r="U576" i="13" s="1"/>
  <c r="S577" i="13"/>
  <c r="U577" i="13"/>
  <c r="Q578" i="13"/>
  <c r="T578" i="13" s="1"/>
  <c r="R578" i="13"/>
  <c r="U578" i="13" s="1"/>
  <c r="S578" i="13"/>
  <c r="Q579" i="13"/>
  <c r="T579" i="13" s="1"/>
  <c r="R579" i="13"/>
  <c r="U579" i="13" s="1"/>
  <c r="S579" i="13"/>
  <c r="O580" i="13"/>
  <c r="P580" i="13"/>
  <c r="T580" i="13"/>
  <c r="U580" i="13"/>
  <c r="L581" i="13"/>
  <c r="L579" i="13" s="1"/>
  <c r="O579" i="13" s="1"/>
  <c r="M581" i="13"/>
  <c r="P581" i="13" s="1"/>
  <c r="N581" i="13"/>
  <c r="N579" i="13" s="1"/>
  <c r="T581" i="13"/>
  <c r="U581" i="13"/>
  <c r="Q582" i="13"/>
  <c r="R582" i="13"/>
  <c r="S582" i="13"/>
  <c r="T582" i="13"/>
  <c r="U582" i="13"/>
  <c r="O583" i="13"/>
  <c r="P583" i="13"/>
  <c r="T583" i="13"/>
  <c r="U583" i="13"/>
  <c r="L584" i="13"/>
  <c r="M584" i="13"/>
  <c r="N584" i="13"/>
  <c r="N582" i="13" s="1"/>
  <c r="T584" i="13"/>
  <c r="U584" i="13"/>
  <c r="L600" i="13"/>
  <c r="O600" i="13" s="1"/>
  <c r="M600" i="13"/>
  <c r="P600" i="13" s="1"/>
  <c r="N600" i="13"/>
  <c r="Q600" i="13"/>
  <c r="T600" i="13" s="1"/>
  <c r="R600" i="13"/>
  <c r="U600" i="13" s="1"/>
  <c r="S600" i="13"/>
  <c r="O603" i="13"/>
  <c r="P603" i="13"/>
  <c r="T603" i="13"/>
  <c r="U603" i="13"/>
  <c r="L604" i="13"/>
  <c r="L602" i="13" s="1"/>
  <c r="M604" i="13"/>
  <c r="N604" i="13"/>
  <c r="Q604" i="13"/>
  <c r="R604" i="13"/>
  <c r="R602" i="13" s="1"/>
  <c r="U602" i="13" s="1"/>
  <c r="S604" i="13"/>
  <c r="S602" i="13" s="1"/>
  <c r="O606" i="13"/>
  <c r="P606" i="13"/>
  <c r="T606" i="13"/>
  <c r="U606" i="13"/>
  <c r="L607" i="13"/>
  <c r="O607" i="13" s="1"/>
  <c r="M607" i="13"/>
  <c r="N607" i="13"/>
  <c r="N605" i="13" s="1"/>
  <c r="Q607" i="13"/>
  <c r="T607" i="13" s="1"/>
  <c r="R607" i="13"/>
  <c r="R605" i="13" s="1"/>
  <c r="U605" i="13" s="1"/>
  <c r="S607" i="13"/>
  <c r="S605" i="13" s="1"/>
  <c r="L617" i="13"/>
  <c r="M617" i="13"/>
  <c r="P617" i="13" s="1"/>
  <c r="N617" i="13"/>
  <c r="Q617" i="13"/>
  <c r="R617" i="13"/>
  <c r="S617" i="13"/>
  <c r="L618" i="13"/>
  <c r="O618" i="13" s="1"/>
  <c r="M618" i="13"/>
  <c r="P618" i="13" s="1"/>
  <c r="N618" i="13"/>
  <c r="L619" i="13"/>
  <c r="M619" i="13"/>
  <c r="N619" i="13"/>
  <c r="O619" i="13"/>
  <c r="P619" i="13"/>
  <c r="O620" i="13"/>
  <c r="P620" i="13"/>
  <c r="T620" i="13"/>
  <c r="U620" i="13"/>
  <c r="O621" i="13"/>
  <c r="P621" i="13"/>
  <c r="Q621" i="13"/>
  <c r="R621" i="13"/>
  <c r="R619" i="13" s="1"/>
  <c r="S621" i="13"/>
  <c r="L622" i="13"/>
  <c r="O622" i="13" s="1"/>
  <c r="M622" i="13"/>
  <c r="P622" i="13" s="1"/>
  <c r="N622" i="13"/>
  <c r="Q622" i="13"/>
  <c r="T622" i="13" s="1"/>
  <c r="R622" i="13"/>
  <c r="U622" i="13" s="1"/>
  <c r="S622" i="13"/>
  <c r="O623" i="13"/>
  <c r="P623" i="13"/>
  <c r="T623" i="13"/>
  <c r="U623" i="13"/>
  <c r="O624" i="13"/>
  <c r="P624" i="13"/>
  <c r="T624" i="13"/>
  <c r="U624" i="13"/>
  <c r="I626" i="13"/>
  <c r="K631" i="13" s="1"/>
  <c r="J626" i="13"/>
  <c r="J615" i="13" s="1"/>
  <c r="I627" i="13"/>
  <c r="K627" i="13" s="1"/>
  <c r="I628" i="13"/>
  <c r="K628" i="13" s="1"/>
  <c r="J632" i="13"/>
  <c r="I635" i="13"/>
  <c r="K635" i="13" s="1"/>
  <c r="J636" i="13"/>
  <c r="J635" i="13" s="1"/>
  <c r="L643" i="13"/>
  <c r="O643" i="13" s="1"/>
  <c r="M643" i="13"/>
  <c r="P643" i="13" s="1"/>
  <c r="N643" i="13"/>
  <c r="Q643" i="13"/>
  <c r="T643" i="13" s="1"/>
  <c r="R643" i="13"/>
  <c r="U643" i="13" s="1"/>
  <c r="S643" i="13"/>
  <c r="L644" i="13"/>
  <c r="O644" i="13" s="1"/>
  <c r="M644" i="13"/>
  <c r="P644" i="13" s="1"/>
  <c r="N644" i="13"/>
  <c r="L645" i="13"/>
  <c r="O645" i="13" s="1"/>
  <c r="M645" i="13"/>
  <c r="P645" i="13" s="1"/>
  <c r="N645" i="13"/>
  <c r="O646" i="13"/>
  <c r="P646" i="13"/>
  <c r="T646" i="13"/>
  <c r="U646" i="13"/>
  <c r="O647" i="13"/>
  <c r="P647" i="13"/>
  <c r="Q647" i="13"/>
  <c r="Q645" i="13" s="1"/>
  <c r="T645" i="13" s="1"/>
  <c r="R647" i="13"/>
  <c r="S647" i="13"/>
  <c r="S644" i="13" s="1"/>
  <c r="L648" i="13"/>
  <c r="O648" i="13" s="1"/>
  <c r="M648" i="13"/>
  <c r="P648" i="13" s="1"/>
  <c r="N648" i="13"/>
  <c r="Q648" i="13"/>
  <c r="T648" i="13" s="1"/>
  <c r="R648" i="13"/>
  <c r="U648" i="13" s="1"/>
  <c r="S648" i="13"/>
  <c r="O649" i="13"/>
  <c r="P649" i="13"/>
  <c r="T649" i="13"/>
  <c r="U649" i="13"/>
  <c r="O650" i="13"/>
  <c r="P650" i="13"/>
  <c r="T650" i="13"/>
  <c r="U650" i="13"/>
  <c r="I652" i="13"/>
  <c r="K652" i="13" s="1"/>
  <c r="J652" i="13"/>
  <c r="I653" i="13"/>
  <c r="K653" i="13" s="1"/>
  <c r="J653" i="13"/>
  <c r="I654" i="13"/>
  <c r="K654" i="13" s="1"/>
  <c r="J654" i="13"/>
  <c r="I657" i="13"/>
  <c r="I660" i="13"/>
  <c r="I661" i="13"/>
  <c r="K661" i="13" s="1"/>
  <c r="J661" i="13"/>
  <c r="J671" i="13"/>
  <c r="J672" i="13"/>
  <c r="I673" i="13"/>
  <c r="K673" i="13" s="1"/>
  <c r="J673" i="13"/>
  <c r="I674" i="13"/>
  <c r="K674" i="13" s="1"/>
  <c r="I675" i="13"/>
  <c r="K675" i="13" s="1"/>
  <c r="I676" i="13"/>
  <c r="K676" i="13" s="1"/>
  <c r="J676" i="13"/>
  <c r="J677" i="13"/>
  <c r="I678" i="13"/>
  <c r="K678" i="13" s="1"/>
  <c r="J678" i="13"/>
  <c r="I679" i="13"/>
  <c r="K679" i="13" s="1"/>
  <c r="J679" i="13"/>
  <c r="J680" i="13"/>
  <c r="I681" i="13"/>
  <c r="K681" i="13" s="1"/>
  <c r="J681" i="13"/>
  <c r="I682" i="13"/>
  <c r="K682" i="13" s="1"/>
  <c r="J682" i="13"/>
  <c r="L691" i="13"/>
  <c r="M691" i="13"/>
  <c r="N691" i="13"/>
  <c r="Q691" i="13"/>
  <c r="T691" i="13" s="1"/>
  <c r="R691" i="13"/>
  <c r="S691" i="13"/>
  <c r="L692" i="13"/>
  <c r="M692" i="13"/>
  <c r="P692" i="13" s="1"/>
  <c r="N692" i="13"/>
  <c r="N690" i="13" s="1"/>
  <c r="O692" i="13"/>
  <c r="L693" i="13"/>
  <c r="M693" i="13"/>
  <c r="P693" i="13" s="1"/>
  <c r="N693" i="13"/>
  <c r="O693" i="13"/>
  <c r="O694" i="13"/>
  <c r="P694" i="13"/>
  <c r="T694" i="13"/>
  <c r="U694" i="13"/>
  <c r="O695" i="13"/>
  <c r="P695" i="13"/>
  <c r="Q695" i="13"/>
  <c r="Q692" i="13" s="1"/>
  <c r="R695" i="13"/>
  <c r="R693" i="13" s="1"/>
  <c r="S695" i="13"/>
  <c r="S692" i="13" s="1"/>
  <c r="L696" i="13"/>
  <c r="O696" i="13" s="1"/>
  <c r="M696" i="13"/>
  <c r="P696" i="13" s="1"/>
  <c r="N696" i="13"/>
  <c r="Q696" i="13"/>
  <c r="T696" i="13" s="1"/>
  <c r="R696" i="13"/>
  <c r="U696" i="13" s="1"/>
  <c r="S696" i="13"/>
  <c r="O697" i="13"/>
  <c r="P697" i="13"/>
  <c r="T697" i="13"/>
  <c r="U697" i="13"/>
  <c r="O698" i="13"/>
  <c r="P698" i="13"/>
  <c r="T698" i="13"/>
  <c r="U698" i="13"/>
  <c r="I700" i="13"/>
  <c r="K700" i="13" s="1"/>
  <c r="K702" i="13"/>
  <c r="I703" i="13"/>
  <c r="K703" i="13" s="1"/>
  <c r="J703" i="13"/>
  <c r="J704" i="13"/>
  <c r="K704" i="13"/>
  <c r="I705" i="13"/>
  <c r="J705" i="13"/>
  <c r="J706" i="13"/>
  <c r="K706" i="13"/>
  <c r="I707" i="13"/>
  <c r="K707" i="13" s="1"/>
  <c r="J707" i="13"/>
  <c r="J689" i="13" s="1"/>
  <c r="J708" i="13"/>
  <c r="K708" i="13"/>
  <c r="I709" i="13"/>
  <c r="J709" i="13"/>
  <c r="J710" i="13"/>
  <c r="K710" i="13"/>
  <c r="J712" i="13"/>
  <c r="K712" i="13"/>
  <c r="Q714" i="13"/>
  <c r="T714" i="13" s="1"/>
  <c r="L715" i="13"/>
  <c r="O715" i="13" s="1"/>
  <c r="M715" i="13"/>
  <c r="N715" i="13"/>
  <c r="Q715" i="13"/>
  <c r="T715" i="13" s="1"/>
  <c r="R715" i="13"/>
  <c r="U715" i="13" s="1"/>
  <c r="S715" i="13"/>
  <c r="L716" i="13"/>
  <c r="L714" i="13" s="1"/>
  <c r="O714" i="13" s="1"/>
  <c r="M716" i="13"/>
  <c r="P716" i="13" s="1"/>
  <c r="N716" i="13"/>
  <c r="O716" i="13"/>
  <c r="Q716" i="13"/>
  <c r="T716" i="13" s="1"/>
  <c r="R716" i="13"/>
  <c r="U716" i="13" s="1"/>
  <c r="S716" i="13"/>
  <c r="L717" i="13"/>
  <c r="O717" i="13" s="1"/>
  <c r="M717" i="13"/>
  <c r="P717" i="13" s="1"/>
  <c r="N717" i="13"/>
  <c r="Q717" i="13"/>
  <c r="R717" i="13"/>
  <c r="U717" i="13" s="1"/>
  <c r="S717" i="13"/>
  <c r="T717" i="13"/>
  <c r="O718" i="13"/>
  <c r="P718" i="13"/>
  <c r="T718" i="13"/>
  <c r="U718" i="13"/>
  <c r="O719" i="13"/>
  <c r="P719" i="13"/>
  <c r="T719" i="13"/>
  <c r="U719" i="13"/>
  <c r="L720" i="13"/>
  <c r="O720" i="13" s="1"/>
  <c r="M720" i="13"/>
  <c r="P720" i="13" s="1"/>
  <c r="N720" i="13"/>
  <c r="Q720" i="13"/>
  <c r="T720" i="13" s="1"/>
  <c r="R720" i="13"/>
  <c r="S720" i="13"/>
  <c r="U720" i="13"/>
  <c r="O721" i="13"/>
  <c r="P721" i="13"/>
  <c r="T721" i="13"/>
  <c r="U721" i="13"/>
  <c r="O722" i="13"/>
  <c r="P722" i="13"/>
  <c r="T722" i="13"/>
  <c r="U722" i="13"/>
  <c r="I726" i="13"/>
  <c r="K726" i="13" s="1"/>
  <c r="J726" i="13"/>
  <c r="I727" i="13"/>
  <c r="K727" i="13" s="1"/>
  <c r="J727" i="13"/>
  <c r="L729" i="13"/>
  <c r="O729" i="13" s="1"/>
  <c r="M729" i="13"/>
  <c r="P729" i="13" s="1"/>
  <c r="N729" i="13"/>
  <c r="Q729" i="13"/>
  <c r="R729" i="13"/>
  <c r="U729" i="13" s="1"/>
  <c r="S729" i="13"/>
  <c r="L730" i="13"/>
  <c r="O730" i="13" s="1"/>
  <c r="M730" i="13"/>
  <c r="N730" i="13"/>
  <c r="L731" i="13"/>
  <c r="M731" i="13"/>
  <c r="P731" i="13" s="1"/>
  <c r="N731" i="13"/>
  <c r="O731" i="13"/>
  <c r="O732" i="13"/>
  <c r="P732" i="13"/>
  <c r="T732" i="13"/>
  <c r="U732" i="13"/>
  <c r="O733" i="13"/>
  <c r="P733" i="13"/>
  <c r="Q733" i="13"/>
  <c r="Q730" i="13" s="1"/>
  <c r="R733" i="13"/>
  <c r="S733" i="13"/>
  <c r="S730" i="13" s="1"/>
  <c r="L734" i="13"/>
  <c r="O734" i="13" s="1"/>
  <c r="M734" i="13"/>
  <c r="P734" i="13" s="1"/>
  <c r="N734" i="13"/>
  <c r="Q734" i="13"/>
  <c r="T734" i="13" s="1"/>
  <c r="R734" i="13"/>
  <c r="U734" i="13" s="1"/>
  <c r="S734" i="13"/>
  <c r="O735" i="13"/>
  <c r="P735" i="13"/>
  <c r="T735" i="13"/>
  <c r="U735" i="13"/>
  <c r="O736" i="13"/>
  <c r="P736" i="13"/>
  <c r="T736" i="13"/>
  <c r="U736" i="13"/>
  <c r="I740" i="13"/>
  <c r="K740" i="13" s="1"/>
  <c r="I742" i="13"/>
  <c r="K742" i="13" s="1"/>
  <c r="I744" i="13"/>
  <c r="K744" i="13" s="1"/>
  <c r="I746" i="13"/>
  <c r="K746" i="13" s="1"/>
  <c r="I749" i="13"/>
  <c r="K749" i="13" s="1"/>
  <c r="I752" i="13"/>
  <c r="K752" i="13" s="1"/>
  <c r="I755" i="13"/>
  <c r="K755" i="13" s="1"/>
  <c r="J758" i="13"/>
  <c r="J759" i="13"/>
  <c r="L761" i="13"/>
  <c r="O761" i="13" s="1"/>
  <c r="M761" i="13"/>
  <c r="M760" i="13" s="1"/>
  <c r="P760" i="13" s="1"/>
  <c r="N761" i="13"/>
  <c r="P761" i="13"/>
  <c r="Q761" i="13"/>
  <c r="R761" i="13"/>
  <c r="U761" i="13" s="1"/>
  <c r="S761" i="13"/>
  <c r="L762" i="13"/>
  <c r="O762" i="13" s="1"/>
  <c r="M762" i="13"/>
  <c r="P762" i="13" s="1"/>
  <c r="N762" i="13"/>
  <c r="N760" i="13" s="1"/>
  <c r="L763" i="13"/>
  <c r="M763" i="13"/>
  <c r="N763" i="13"/>
  <c r="O763" i="13"/>
  <c r="P763" i="13"/>
  <c r="O764" i="13"/>
  <c r="P764" i="13"/>
  <c r="T764" i="13"/>
  <c r="U764" i="13"/>
  <c r="O765" i="13"/>
  <c r="P765" i="13"/>
  <c r="Q765" i="13"/>
  <c r="Q762" i="13" s="1"/>
  <c r="T762" i="13" s="1"/>
  <c r="R765" i="13"/>
  <c r="R763" i="13" s="1"/>
  <c r="U763" i="13" s="1"/>
  <c r="S765" i="13"/>
  <c r="S763" i="13" s="1"/>
  <c r="L766" i="13"/>
  <c r="O766" i="13" s="1"/>
  <c r="M766" i="13"/>
  <c r="P766" i="13" s="1"/>
  <c r="N766" i="13"/>
  <c r="Q766" i="13"/>
  <c r="T766" i="13" s="1"/>
  <c r="R766" i="13"/>
  <c r="U766" i="13" s="1"/>
  <c r="S766" i="13"/>
  <c r="O767" i="13"/>
  <c r="P767" i="13"/>
  <c r="T767" i="13"/>
  <c r="U767" i="13"/>
  <c r="O768" i="13"/>
  <c r="P768" i="13"/>
  <c r="T768" i="13"/>
  <c r="U768" i="13"/>
  <c r="I770" i="13"/>
  <c r="K770" i="13" s="1"/>
  <c r="I772" i="13"/>
  <c r="I758" i="13" s="1"/>
  <c r="K758" i="13" s="1"/>
  <c r="I774" i="13"/>
  <c r="I759" i="13" s="1"/>
  <c r="K759" i="13" s="1"/>
  <c r="I775" i="13"/>
  <c r="I776" i="13"/>
  <c r="H777" i="13"/>
  <c r="I778" i="13"/>
  <c r="J778" i="13"/>
  <c r="I779" i="13"/>
  <c r="J779" i="13"/>
  <c r="I780" i="13"/>
  <c r="J780" i="13"/>
  <c r="I781" i="13"/>
  <c r="J781" i="13"/>
  <c r="I782" i="13"/>
  <c r="K782" i="13" s="1"/>
  <c r="J782" i="13"/>
  <c r="I783" i="13"/>
  <c r="K783" i="13" s="1"/>
  <c r="J783" i="13"/>
  <c r="I784" i="13"/>
  <c r="J784" i="13"/>
  <c r="I785" i="13"/>
  <c r="J785" i="13"/>
  <c r="A788" i="13"/>
  <c r="A789" i="13"/>
  <c r="L22" i="12"/>
  <c r="O22" i="12" s="1"/>
  <c r="M22" i="12"/>
  <c r="N22" i="12"/>
  <c r="Q22" i="12"/>
  <c r="T22" i="12" s="1"/>
  <c r="R22" i="12"/>
  <c r="S22" i="12"/>
  <c r="L25" i="12"/>
  <c r="M25" i="12"/>
  <c r="N25" i="12"/>
  <c r="O25" i="12"/>
  <c r="Q25" i="12"/>
  <c r="T25" i="12" s="1"/>
  <c r="R25" i="12"/>
  <c r="U25" i="12" s="1"/>
  <c r="S25" i="12"/>
  <c r="R44" i="12"/>
  <c r="U44" i="12" s="1"/>
  <c r="L45" i="12"/>
  <c r="O45" i="12" s="1"/>
  <c r="M45" i="12"/>
  <c r="P45" i="12" s="1"/>
  <c r="N45" i="12"/>
  <c r="Q45" i="12"/>
  <c r="R45" i="12"/>
  <c r="U45" i="12" s="1"/>
  <c r="S45" i="12"/>
  <c r="T45" i="12"/>
  <c r="Q46" i="12"/>
  <c r="R46" i="12"/>
  <c r="U46" i="12" s="1"/>
  <c r="S46" i="12"/>
  <c r="T46" i="12"/>
  <c r="Q47" i="12"/>
  <c r="T47" i="12" s="1"/>
  <c r="R47" i="12"/>
  <c r="U47" i="12" s="1"/>
  <c r="S47" i="12"/>
  <c r="O48" i="12"/>
  <c r="P48" i="12"/>
  <c r="T48" i="12"/>
  <c r="U48" i="12"/>
  <c r="L49" i="12"/>
  <c r="L47" i="12" s="1"/>
  <c r="M49" i="12"/>
  <c r="M47" i="12" s="1"/>
  <c r="N49" i="12"/>
  <c r="N47" i="12" s="1"/>
  <c r="T49" i="12"/>
  <c r="U49" i="12"/>
  <c r="Q50" i="12"/>
  <c r="T50" i="12" s="1"/>
  <c r="R50" i="12"/>
  <c r="U50" i="12" s="1"/>
  <c r="S50" i="12"/>
  <c r="O51" i="12"/>
  <c r="P51" i="12"/>
  <c r="T51" i="12"/>
  <c r="U51" i="12"/>
  <c r="L52" i="12"/>
  <c r="L50" i="12" s="1"/>
  <c r="O50" i="12" s="1"/>
  <c r="M52" i="12"/>
  <c r="N52" i="12"/>
  <c r="T52" i="12"/>
  <c r="U52" i="12"/>
  <c r="L60" i="12"/>
  <c r="O60" i="12" s="1"/>
  <c r="M60" i="12"/>
  <c r="N60" i="12"/>
  <c r="P60" i="12"/>
  <c r="Q60" i="12"/>
  <c r="R60" i="12"/>
  <c r="U60" i="12" s="1"/>
  <c r="S60" i="12"/>
  <c r="Q61" i="12"/>
  <c r="T61" i="12" s="1"/>
  <c r="R61" i="12"/>
  <c r="U61" i="12" s="1"/>
  <c r="S61" i="12"/>
  <c r="S59" i="12" s="1"/>
  <c r="Q62" i="12"/>
  <c r="R62" i="12"/>
  <c r="U62" i="12" s="1"/>
  <c r="S62" i="12"/>
  <c r="T62" i="12"/>
  <c r="O63" i="12"/>
  <c r="P63" i="12"/>
  <c r="T63" i="12"/>
  <c r="U63" i="12"/>
  <c r="L64" i="12"/>
  <c r="M64" i="12"/>
  <c r="N64" i="12"/>
  <c r="N62" i="12" s="1"/>
  <c r="T64" i="12"/>
  <c r="U64" i="12"/>
  <c r="Q65" i="12"/>
  <c r="T65" i="12" s="1"/>
  <c r="R65" i="12"/>
  <c r="U65" i="12" s="1"/>
  <c r="S65" i="12"/>
  <c r="O66" i="12"/>
  <c r="P66" i="12"/>
  <c r="T66" i="12"/>
  <c r="U66" i="12"/>
  <c r="L67" i="12"/>
  <c r="L65" i="12" s="1"/>
  <c r="M67" i="12"/>
  <c r="N67" i="12"/>
  <c r="T67" i="12"/>
  <c r="U67" i="12"/>
  <c r="L73" i="12"/>
  <c r="O73" i="12" s="1"/>
  <c r="M73" i="12"/>
  <c r="N73" i="12"/>
  <c r="P73" i="12"/>
  <c r="Q73" i="12"/>
  <c r="R73" i="12"/>
  <c r="U73" i="12" s="1"/>
  <c r="S73" i="12"/>
  <c r="O76" i="12"/>
  <c r="P76" i="12"/>
  <c r="T76" i="12"/>
  <c r="U76" i="12"/>
  <c r="L77" i="12"/>
  <c r="M77" i="12"/>
  <c r="N77" i="12"/>
  <c r="N75" i="12" s="1"/>
  <c r="Q77" i="12"/>
  <c r="T77" i="12" s="1"/>
  <c r="R77" i="12"/>
  <c r="R75" i="12" s="1"/>
  <c r="U75" i="12" s="1"/>
  <c r="S77" i="12"/>
  <c r="S75" i="12" s="1"/>
  <c r="O79" i="12"/>
  <c r="P79" i="12"/>
  <c r="T79" i="12"/>
  <c r="U79" i="12"/>
  <c r="L80" i="12"/>
  <c r="L78" i="12" s="1"/>
  <c r="O78" i="12" s="1"/>
  <c r="M80" i="12"/>
  <c r="M78" i="12" s="1"/>
  <c r="P78" i="12" s="1"/>
  <c r="N80" i="12"/>
  <c r="N78" i="12" s="1"/>
  <c r="Q80" i="12"/>
  <c r="T80" i="12" s="1"/>
  <c r="R80" i="12"/>
  <c r="R78" i="12" s="1"/>
  <c r="U78" i="12" s="1"/>
  <c r="S80" i="12"/>
  <c r="S78" i="12" s="1"/>
  <c r="J82" i="12"/>
  <c r="J70" i="12" s="1"/>
  <c r="J83" i="12"/>
  <c r="J71" i="12" s="1"/>
  <c r="I84" i="12"/>
  <c r="K84" i="12" s="1"/>
  <c r="I85" i="12"/>
  <c r="I86" i="12"/>
  <c r="K86" i="12" s="1"/>
  <c r="I87" i="12"/>
  <c r="K87" i="12" s="1"/>
  <c r="I88" i="12"/>
  <c r="K88" i="12" s="1"/>
  <c r="I89" i="12"/>
  <c r="K89" i="12" s="1"/>
  <c r="I90" i="12"/>
  <c r="K90" i="12" s="1"/>
  <c r="J92" i="12"/>
  <c r="J93" i="12"/>
  <c r="L95" i="12"/>
  <c r="M95" i="12"/>
  <c r="N95" i="12"/>
  <c r="P95" i="12"/>
  <c r="Q95" i="12"/>
  <c r="T95" i="12" s="1"/>
  <c r="R95" i="12"/>
  <c r="S95" i="12"/>
  <c r="O98" i="12"/>
  <c r="P98" i="12"/>
  <c r="T98" i="12"/>
  <c r="U98" i="12"/>
  <c r="L99" i="12"/>
  <c r="O99" i="12" s="1"/>
  <c r="M99" i="12"/>
  <c r="P99" i="12" s="1"/>
  <c r="N99" i="12"/>
  <c r="N97" i="12" s="1"/>
  <c r="Q99" i="12"/>
  <c r="Q97" i="12" s="1"/>
  <c r="T97" i="12" s="1"/>
  <c r="R99" i="12"/>
  <c r="U99" i="12" s="1"/>
  <c r="S99" i="12"/>
  <c r="Q100" i="12"/>
  <c r="R100" i="12"/>
  <c r="U100" i="12" s="1"/>
  <c r="S100" i="12"/>
  <c r="T100" i="12"/>
  <c r="O101" i="12"/>
  <c r="P101" i="12"/>
  <c r="T101" i="12"/>
  <c r="U101" i="12"/>
  <c r="L102" i="12"/>
  <c r="O102" i="12" s="1"/>
  <c r="M102" i="12"/>
  <c r="M100" i="12" s="1"/>
  <c r="P100" i="12" s="1"/>
  <c r="N102" i="12"/>
  <c r="N100" i="12" s="1"/>
  <c r="T102" i="12"/>
  <c r="U102" i="12"/>
  <c r="I108" i="12"/>
  <c r="K108" i="12" s="1"/>
  <c r="I109" i="12"/>
  <c r="I93" i="12" s="1"/>
  <c r="K93" i="12" s="1"/>
  <c r="I114" i="12"/>
  <c r="K114" i="12" s="1"/>
  <c r="J116" i="12"/>
  <c r="L118" i="12"/>
  <c r="M118" i="12"/>
  <c r="N118" i="12"/>
  <c r="P118" i="12"/>
  <c r="Q118" i="12"/>
  <c r="T118" i="12" s="1"/>
  <c r="R118" i="12"/>
  <c r="S118" i="12"/>
  <c r="O121" i="12"/>
  <c r="P121" i="12"/>
  <c r="T121" i="12"/>
  <c r="U121" i="12"/>
  <c r="L122" i="12"/>
  <c r="O122" i="12" s="1"/>
  <c r="M122" i="12"/>
  <c r="N122" i="12"/>
  <c r="N120" i="12" s="1"/>
  <c r="Q122" i="12"/>
  <c r="Q120" i="12" s="1"/>
  <c r="R122" i="12"/>
  <c r="S122" i="12"/>
  <c r="S120" i="12" s="1"/>
  <c r="O124" i="12"/>
  <c r="P124" i="12"/>
  <c r="T124" i="12"/>
  <c r="U124" i="12"/>
  <c r="L125" i="12"/>
  <c r="O125" i="12" s="1"/>
  <c r="M125" i="12"/>
  <c r="P125" i="12" s="1"/>
  <c r="N125" i="12"/>
  <c r="Q125" i="12"/>
  <c r="R125" i="12"/>
  <c r="S125" i="12"/>
  <c r="S123" i="12" s="1"/>
  <c r="I127" i="12"/>
  <c r="K127" i="12" s="1"/>
  <c r="I128" i="12"/>
  <c r="K128" i="12" s="1"/>
  <c r="I129" i="12"/>
  <c r="K129" i="12" s="1"/>
  <c r="I130" i="12"/>
  <c r="K130" i="12" s="1"/>
  <c r="J136" i="12"/>
  <c r="J137" i="12"/>
  <c r="J138" i="12"/>
  <c r="L140" i="12"/>
  <c r="M140" i="12"/>
  <c r="N140" i="12"/>
  <c r="O140" i="12"/>
  <c r="Q140" i="12"/>
  <c r="R140" i="12"/>
  <c r="S140" i="12"/>
  <c r="U140" i="12"/>
  <c r="O143" i="12"/>
  <c r="P143" i="12"/>
  <c r="T143" i="12"/>
  <c r="U143" i="12"/>
  <c r="L144" i="12"/>
  <c r="L142" i="12" s="1"/>
  <c r="M144" i="12"/>
  <c r="N144" i="12"/>
  <c r="Q144" i="12"/>
  <c r="R144" i="12"/>
  <c r="R142" i="12" s="1"/>
  <c r="S144" i="12"/>
  <c r="O146" i="12"/>
  <c r="P146" i="12"/>
  <c r="T146" i="12"/>
  <c r="U146" i="12"/>
  <c r="L147" i="12"/>
  <c r="M147" i="12"/>
  <c r="P147" i="12" s="1"/>
  <c r="N147" i="12"/>
  <c r="N145" i="12" s="1"/>
  <c r="Q147" i="12"/>
  <c r="T147" i="12" s="1"/>
  <c r="R147" i="12"/>
  <c r="S147" i="12"/>
  <c r="S145" i="12" s="1"/>
  <c r="I150" i="12"/>
  <c r="K150" i="12" s="1"/>
  <c r="I151" i="12"/>
  <c r="K151" i="12" s="1"/>
  <c r="I152" i="12"/>
  <c r="I153" i="12"/>
  <c r="I138" i="12" s="1"/>
  <c r="K138" i="12" s="1"/>
  <c r="I154" i="12"/>
  <c r="I136" i="12" s="1"/>
  <c r="K136" i="12" s="1"/>
  <c r="J156" i="12"/>
  <c r="L158" i="12"/>
  <c r="O158" i="12" s="1"/>
  <c r="M158" i="12"/>
  <c r="N158" i="12"/>
  <c r="P158" i="12"/>
  <c r="Q158" i="12"/>
  <c r="T158" i="12" s="1"/>
  <c r="R158" i="12"/>
  <c r="S158" i="12"/>
  <c r="O161" i="12"/>
  <c r="P161" i="12"/>
  <c r="T161" i="12"/>
  <c r="U161" i="12"/>
  <c r="L162" i="12"/>
  <c r="O162" i="12" s="1"/>
  <c r="M162" i="12"/>
  <c r="P162" i="12" s="1"/>
  <c r="N162" i="12"/>
  <c r="N160" i="12" s="1"/>
  <c r="Q162" i="12"/>
  <c r="R162" i="12"/>
  <c r="U162" i="12" s="1"/>
  <c r="S162" i="12"/>
  <c r="S159" i="12" s="1"/>
  <c r="S157" i="12" s="1"/>
  <c r="Q163" i="12"/>
  <c r="R163" i="12"/>
  <c r="U163" i="12" s="1"/>
  <c r="S163" i="12"/>
  <c r="T163" i="12"/>
  <c r="O164" i="12"/>
  <c r="P164" i="12"/>
  <c r="T164" i="12"/>
  <c r="U164" i="12"/>
  <c r="L165" i="12"/>
  <c r="M165" i="12"/>
  <c r="M163" i="12" s="1"/>
  <c r="P163" i="12" s="1"/>
  <c r="N165" i="12"/>
  <c r="N163" i="12" s="1"/>
  <c r="T165" i="12"/>
  <c r="U165" i="12"/>
  <c r="I167" i="12"/>
  <c r="K167" i="12" s="1"/>
  <c r="I168" i="12"/>
  <c r="K168" i="12" s="1"/>
  <c r="I169" i="12"/>
  <c r="I156" i="12" s="1"/>
  <c r="K156" i="12" s="1"/>
  <c r="J172" i="12"/>
  <c r="L174" i="12"/>
  <c r="M174" i="12"/>
  <c r="P174" i="12" s="1"/>
  <c r="N174" i="12"/>
  <c r="Q174" i="12"/>
  <c r="T174" i="12" s="1"/>
  <c r="R174" i="12"/>
  <c r="S174" i="12"/>
  <c r="O177" i="12"/>
  <c r="P177" i="12"/>
  <c r="T177" i="12"/>
  <c r="U177" i="12"/>
  <c r="L178" i="12"/>
  <c r="M178" i="12"/>
  <c r="N178" i="12"/>
  <c r="N176" i="12" s="1"/>
  <c r="Q178" i="12"/>
  <c r="Q176" i="12" s="1"/>
  <c r="T176" i="12" s="1"/>
  <c r="R178" i="12"/>
  <c r="U178" i="12" s="1"/>
  <c r="S178" i="12"/>
  <c r="S175" i="12" s="1"/>
  <c r="S173" i="12" s="1"/>
  <c r="Q179" i="12"/>
  <c r="R179" i="12"/>
  <c r="U179" i="12" s="1"/>
  <c r="S179" i="12"/>
  <c r="T179" i="12"/>
  <c r="O180" i="12"/>
  <c r="P180" i="12"/>
  <c r="T180" i="12"/>
  <c r="U180" i="12"/>
  <c r="L181" i="12"/>
  <c r="M181" i="12"/>
  <c r="N181" i="12"/>
  <c r="N179" i="12" s="1"/>
  <c r="T181" i="12"/>
  <c r="U181" i="12"/>
  <c r="I183" i="12"/>
  <c r="I172" i="12" s="1"/>
  <c r="K184" i="12"/>
  <c r="L187" i="12"/>
  <c r="M187" i="12"/>
  <c r="N187" i="12"/>
  <c r="O187" i="12"/>
  <c r="P187" i="12"/>
  <c r="Q187" i="12"/>
  <c r="R187" i="12"/>
  <c r="S187" i="12"/>
  <c r="O190" i="12"/>
  <c r="P190" i="12"/>
  <c r="T190" i="12"/>
  <c r="U190" i="12"/>
  <c r="L191" i="12"/>
  <c r="L189" i="12" s="1"/>
  <c r="M191" i="12"/>
  <c r="N191" i="12"/>
  <c r="Q191" i="12"/>
  <c r="R191" i="12"/>
  <c r="S191" i="12"/>
  <c r="O193" i="12"/>
  <c r="P193" i="12"/>
  <c r="T193" i="12"/>
  <c r="U193" i="12"/>
  <c r="L194" i="12"/>
  <c r="L192" i="12" s="1"/>
  <c r="O192" i="12" s="1"/>
  <c r="M194" i="12"/>
  <c r="M192" i="12" s="1"/>
  <c r="P192" i="12" s="1"/>
  <c r="N194" i="12"/>
  <c r="N192" i="12" s="1"/>
  <c r="Q194" i="12"/>
  <c r="R194" i="12"/>
  <c r="R192" i="12" s="1"/>
  <c r="U192" i="12" s="1"/>
  <c r="S194" i="12"/>
  <c r="S192" i="12" s="1"/>
  <c r="J195" i="12"/>
  <c r="L196" i="12"/>
  <c r="O196" i="12" s="1"/>
  <c r="P196" i="12"/>
  <c r="I198" i="12"/>
  <c r="K198" i="12" s="1"/>
  <c r="J199" i="12"/>
  <c r="J202" i="12"/>
  <c r="N203" i="12"/>
  <c r="P203" i="12"/>
  <c r="S203" i="12"/>
  <c r="U203" i="12"/>
  <c r="L204" i="12"/>
  <c r="L205" i="12"/>
  <c r="L206" i="12"/>
  <c r="Q206" i="12"/>
  <c r="Q203" i="12" s="1"/>
  <c r="T203" i="12" s="1"/>
  <c r="L207" i="12"/>
  <c r="I209" i="12"/>
  <c r="I202" i="12" s="1"/>
  <c r="I211" i="12"/>
  <c r="K211" i="12" s="1"/>
  <c r="I212" i="12"/>
  <c r="K212" i="12" s="1"/>
  <c r="J213" i="12"/>
  <c r="N214" i="12"/>
  <c r="P214" i="12"/>
  <c r="S214" i="12"/>
  <c r="U214" i="12"/>
  <c r="L215" i="12"/>
  <c r="L216" i="12"/>
  <c r="L217" i="12"/>
  <c r="Q217" i="12"/>
  <c r="Q214" i="12" s="1"/>
  <c r="T214" i="12" s="1"/>
  <c r="I219" i="12"/>
  <c r="K219" i="12" s="1"/>
  <c r="I220" i="12"/>
  <c r="J221" i="12"/>
  <c r="N222" i="12"/>
  <c r="P222" i="12"/>
  <c r="L223" i="12"/>
  <c r="L224" i="12"/>
  <c r="L225" i="12"/>
  <c r="I228" i="12"/>
  <c r="K228" i="12" s="1"/>
  <c r="I229" i="12"/>
  <c r="I221" i="12" s="1"/>
  <c r="I230" i="12"/>
  <c r="K230" i="12" s="1"/>
  <c r="N233" i="12"/>
  <c r="N234" i="12"/>
  <c r="N235" i="12"/>
  <c r="N236" i="12"/>
  <c r="J238" i="12"/>
  <c r="I240" i="12"/>
  <c r="K240" i="12" s="1"/>
  <c r="J240" i="12"/>
  <c r="I241" i="12"/>
  <c r="K241" i="12" s="1"/>
  <c r="J241" i="12"/>
  <c r="J242" i="12"/>
  <c r="J231" i="12" s="1"/>
  <c r="J185" i="12" s="1"/>
  <c r="N243" i="12"/>
  <c r="P243" i="12"/>
  <c r="L244" i="12"/>
  <c r="L245" i="12"/>
  <c r="L246" i="12"/>
  <c r="L247" i="12"/>
  <c r="I249" i="12"/>
  <c r="K249" i="12" s="1"/>
  <c r="K251" i="12"/>
  <c r="K252" i="12"/>
  <c r="J253" i="12"/>
  <c r="N254" i="12"/>
  <c r="P254" i="12"/>
  <c r="L255" i="12"/>
  <c r="L256" i="12"/>
  <c r="L257" i="12"/>
  <c r="L258" i="12"/>
  <c r="I260" i="12"/>
  <c r="K262" i="12"/>
  <c r="K263" i="12"/>
  <c r="J265" i="12"/>
  <c r="L267" i="12"/>
  <c r="M267" i="12"/>
  <c r="N267" i="12"/>
  <c r="O267" i="12"/>
  <c r="P267" i="12"/>
  <c r="Q267" i="12"/>
  <c r="T267" i="12" s="1"/>
  <c r="R267" i="12"/>
  <c r="S267" i="12"/>
  <c r="U267" i="12"/>
  <c r="O270" i="12"/>
  <c r="P270" i="12"/>
  <c r="T270" i="12"/>
  <c r="U270" i="12"/>
  <c r="L271" i="12"/>
  <c r="L269" i="12" s="1"/>
  <c r="M271" i="12"/>
  <c r="M269" i="12" s="1"/>
  <c r="N271" i="12"/>
  <c r="N269" i="12" s="1"/>
  <c r="Q271" i="12"/>
  <c r="Q269" i="12" s="1"/>
  <c r="R271" i="12"/>
  <c r="R268" i="12" s="1"/>
  <c r="S271" i="12"/>
  <c r="S269" i="12" s="1"/>
  <c r="Q272" i="12"/>
  <c r="T272" i="12" s="1"/>
  <c r="R272" i="12"/>
  <c r="U272" i="12" s="1"/>
  <c r="S272" i="12"/>
  <c r="O273" i="12"/>
  <c r="P273" i="12"/>
  <c r="T273" i="12"/>
  <c r="U273" i="12"/>
  <c r="L274" i="12"/>
  <c r="M274" i="12"/>
  <c r="P274" i="12" s="1"/>
  <c r="N274" i="12"/>
  <c r="N272" i="12" s="1"/>
  <c r="T274" i="12"/>
  <c r="U274" i="12"/>
  <c r="I276" i="12"/>
  <c r="I265" i="12" s="1"/>
  <c r="K265" i="12" s="1"/>
  <c r="J281" i="12"/>
  <c r="L283" i="12"/>
  <c r="O283" i="12" s="1"/>
  <c r="M283" i="12"/>
  <c r="N283" i="12"/>
  <c r="Q283" i="12"/>
  <c r="Q282" i="12" s="1"/>
  <c r="T282" i="12" s="1"/>
  <c r="R283" i="12"/>
  <c r="U283" i="12" s="1"/>
  <c r="S283" i="12"/>
  <c r="T283" i="12"/>
  <c r="Q284" i="12"/>
  <c r="R284" i="12"/>
  <c r="S284" i="12"/>
  <c r="T284" i="12"/>
  <c r="Q285" i="12"/>
  <c r="T285" i="12" s="1"/>
  <c r="R285" i="12"/>
  <c r="S285" i="12"/>
  <c r="U285" i="12"/>
  <c r="O286" i="12"/>
  <c r="P286" i="12"/>
  <c r="T286" i="12"/>
  <c r="U286" i="12"/>
  <c r="L287" i="12"/>
  <c r="L285" i="12" s="1"/>
  <c r="O285" i="12" s="1"/>
  <c r="M287" i="12"/>
  <c r="N287" i="12"/>
  <c r="N285" i="12" s="1"/>
  <c r="T287" i="12"/>
  <c r="U287" i="12"/>
  <c r="Q288" i="12"/>
  <c r="R288" i="12"/>
  <c r="U288" i="12" s="1"/>
  <c r="S288" i="12"/>
  <c r="T288" i="12"/>
  <c r="O289" i="12"/>
  <c r="P289" i="12"/>
  <c r="T289" i="12"/>
  <c r="U289" i="12"/>
  <c r="L290" i="12"/>
  <c r="O290" i="12" s="1"/>
  <c r="M290" i="12"/>
  <c r="M288" i="12" s="1"/>
  <c r="P288" i="12" s="1"/>
  <c r="N290" i="12"/>
  <c r="N288" i="12" s="1"/>
  <c r="T290" i="12"/>
  <c r="U290" i="12"/>
  <c r="I292" i="12"/>
  <c r="K292" i="12" s="1"/>
  <c r="I293" i="12"/>
  <c r="I280" i="12" s="1"/>
  <c r="K280" i="12" s="1"/>
  <c r="J293" i="12"/>
  <c r="J280" i="12" s="1"/>
  <c r="I295" i="12"/>
  <c r="K295" i="12" s="1"/>
  <c r="I296" i="12"/>
  <c r="K296" i="12" s="1"/>
  <c r="J302" i="12"/>
  <c r="L304" i="12"/>
  <c r="O304" i="12" s="1"/>
  <c r="M304" i="12"/>
  <c r="P304" i="12" s="1"/>
  <c r="N304" i="12"/>
  <c r="Q304" i="12"/>
  <c r="T304" i="12" s="1"/>
  <c r="R304" i="12"/>
  <c r="S304" i="12"/>
  <c r="O307" i="12"/>
  <c r="P307" i="12"/>
  <c r="T307" i="12"/>
  <c r="U307" i="12"/>
  <c r="L308" i="12"/>
  <c r="M308" i="12"/>
  <c r="N308" i="12"/>
  <c r="N306" i="12" s="1"/>
  <c r="Q308" i="12"/>
  <c r="R308" i="12"/>
  <c r="R305" i="12" s="1"/>
  <c r="U305" i="12" s="1"/>
  <c r="S308" i="12"/>
  <c r="S306" i="12" s="1"/>
  <c r="Q309" i="12"/>
  <c r="T309" i="12" s="1"/>
  <c r="R309" i="12"/>
  <c r="U309" i="12" s="1"/>
  <c r="S309" i="12"/>
  <c r="O310" i="12"/>
  <c r="P310" i="12"/>
  <c r="T310" i="12"/>
  <c r="U310" i="12"/>
  <c r="L311" i="12"/>
  <c r="O311" i="12" s="1"/>
  <c r="M311" i="12"/>
  <c r="M309" i="12" s="1"/>
  <c r="P309" i="12" s="1"/>
  <c r="N311" i="12"/>
  <c r="N309" i="12" s="1"/>
  <c r="T311" i="12"/>
  <c r="U311" i="12"/>
  <c r="I314" i="12"/>
  <c r="I302" i="12" s="1"/>
  <c r="K302" i="12" s="1"/>
  <c r="J319" i="12"/>
  <c r="L321" i="12"/>
  <c r="M321" i="12"/>
  <c r="P321" i="12" s="1"/>
  <c r="N321" i="12"/>
  <c r="Q321" i="12"/>
  <c r="R321" i="12"/>
  <c r="S321" i="12"/>
  <c r="Q322" i="12"/>
  <c r="T322" i="12" s="1"/>
  <c r="R322" i="12"/>
  <c r="U322" i="12" s="1"/>
  <c r="S322" i="12"/>
  <c r="Q323" i="12"/>
  <c r="T323" i="12" s="1"/>
  <c r="R323" i="12"/>
  <c r="S323" i="12"/>
  <c r="U323" i="12"/>
  <c r="O324" i="12"/>
  <c r="P324" i="12"/>
  <c r="T324" i="12"/>
  <c r="U324" i="12"/>
  <c r="L325" i="12"/>
  <c r="M325" i="12"/>
  <c r="N325" i="12"/>
  <c r="T325" i="12"/>
  <c r="U325" i="12"/>
  <c r="Q326" i="12"/>
  <c r="T326" i="12" s="1"/>
  <c r="R326" i="12"/>
  <c r="U326" i="12" s="1"/>
  <c r="S326" i="12"/>
  <c r="O327" i="12"/>
  <c r="P327" i="12"/>
  <c r="T327" i="12"/>
  <c r="U327" i="12"/>
  <c r="L328" i="12"/>
  <c r="L326" i="12" s="1"/>
  <c r="O326" i="12" s="1"/>
  <c r="M328" i="12"/>
  <c r="M326" i="12" s="1"/>
  <c r="P326" i="12" s="1"/>
  <c r="N328" i="12"/>
  <c r="N326" i="12" s="1"/>
  <c r="T328" i="12"/>
  <c r="U328" i="12"/>
  <c r="I330" i="12"/>
  <c r="I319" i="12" s="1"/>
  <c r="K319" i="12" s="1"/>
  <c r="L334" i="12"/>
  <c r="M334" i="12"/>
  <c r="P334" i="12" s="1"/>
  <c r="N334" i="12"/>
  <c r="Q334" i="12"/>
  <c r="T334" i="12" s="1"/>
  <c r="R334" i="12"/>
  <c r="S334" i="12"/>
  <c r="S333" i="12" s="1"/>
  <c r="Q335" i="12"/>
  <c r="R335" i="12"/>
  <c r="U335" i="12" s="1"/>
  <c r="S335" i="12"/>
  <c r="Q336" i="12"/>
  <c r="T336" i="12" s="1"/>
  <c r="R336" i="12"/>
  <c r="U336" i="12" s="1"/>
  <c r="S336" i="12"/>
  <c r="O337" i="12"/>
  <c r="P337" i="12"/>
  <c r="T337" i="12"/>
  <c r="U337" i="12"/>
  <c r="L338" i="12"/>
  <c r="M338" i="12"/>
  <c r="N338" i="12"/>
  <c r="N336" i="12" s="1"/>
  <c r="T338" i="12"/>
  <c r="U338" i="12"/>
  <c r="Q339" i="12"/>
  <c r="T339" i="12" s="1"/>
  <c r="R339" i="12"/>
  <c r="U339" i="12" s="1"/>
  <c r="S339" i="12"/>
  <c r="O340" i="12"/>
  <c r="P340" i="12"/>
  <c r="T340" i="12"/>
  <c r="U340" i="12"/>
  <c r="L341" i="12"/>
  <c r="L339" i="12" s="1"/>
  <c r="M341" i="12"/>
  <c r="N341" i="12"/>
  <c r="T341" i="12"/>
  <c r="U341" i="12"/>
  <c r="I344" i="12"/>
  <c r="J344" i="12"/>
  <c r="I346" i="12"/>
  <c r="J346" i="12"/>
  <c r="J347" i="12"/>
  <c r="J348" i="12"/>
  <c r="J349" i="12"/>
  <c r="D350" i="12"/>
  <c r="J352" i="12"/>
  <c r="J353" i="12"/>
  <c r="D354" i="12"/>
  <c r="L357" i="12"/>
  <c r="M357" i="12"/>
  <c r="P357" i="12" s="1"/>
  <c r="N357" i="12"/>
  <c r="Q357" i="12"/>
  <c r="R357" i="12"/>
  <c r="S357" i="12"/>
  <c r="S356" i="12" s="1"/>
  <c r="T357" i="12"/>
  <c r="U357" i="12"/>
  <c r="Q358" i="12"/>
  <c r="R358" i="12"/>
  <c r="S358" i="12"/>
  <c r="Q359" i="12"/>
  <c r="T359" i="12" s="1"/>
  <c r="R359" i="12"/>
  <c r="U359" i="12" s="1"/>
  <c r="S359" i="12"/>
  <c r="O360" i="12"/>
  <c r="P360" i="12"/>
  <c r="T360" i="12"/>
  <c r="U360" i="12"/>
  <c r="L361" i="12"/>
  <c r="L359" i="12" s="1"/>
  <c r="M361" i="12"/>
  <c r="M359" i="12" s="1"/>
  <c r="N361" i="12"/>
  <c r="N359" i="12" s="1"/>
  <c r="T361" i="12"/>
  <c r="U361" i="12"/>
  <c r="Q362" i="12"/>
  <c r="T362" i="12" s="1"/>
  <c r="R362" i="12"/>
  <c r="U362" i="12" s="1"/>
  <c r="S362" i="12"/>
  <c r="O363" i="12"/>
  <c r="P363" i="12"/>
  <c r="T363" i="12"/>
  <c r="U363" i="12"/>
  <c r="L364" i="12"/>
  <c r="L362" i="12" s="1"/>
  <c r="O362" i="12" s="1"/>
  <c r="M364" i="12"/>
  <c r="M362" i="12" s="1"/>
  <c r="P362" i="12" s="1"/>
  <c r="N364" i="12"/>
  <c r="N362" i="12" s="1"/>
  <c r="T364" i="12"/>
  <c r="U364" i="12"/>
  <c r="J367" i="12"/>
  <c r="K367" i="12"/>
  <c r="I368" i="12"/>
  <c r="J368" i="12"/>
  <c r="I369" i="12"/>
  <c r="J369" i="12"/>
  <c r="J370" i="12"/>
  <c r="K370" i="12"/>
  <c r="I371" i="12"/>
  <c r="J371" i="12"/>
  <c r="J365" i="12" s="1"/>
  <c r="J372" i="12"/>
  <c r="K372" i="12"/>
  <c r="D373" i="12"/>
  <c r="L376" i="12"/>
  <c r="O376" i="12" s="1"/>
  <c r="M376" i="12"/>
  <c r="N376" i="12"/>
  <c r="Q376" i="12"/>
  <c r="R376" i="12"/>
  <c r="U376" i="12" s="1"/>
  <c r="S376" i="12"/>
  <c r="O379" i="12"/>
  <c r="P379" i="12"/>
  <c r="T379" i="12"/>
  <c r="U379" i="12"/>
  <c r="L380" i="12"/>
  <c r="L378" i="12" s="1"/>
  <c r="O378" i="12" s="1"/>
  <c r="M380" i="12"/>
  <c r="M378" i="12" s="1"/>
  <c r="P378" i="12" s="1"/>
  <c r="N380" i="12"/>
  <c r="Q380" i="12"/>
  <c r="Q377" i="12" s="1"/>
  <c r="R380" i="12"/>
  <c r="R378" i="12" s="1"/>
  <c r="S380" i="12"/>
  <c r="S378" i="12" s="1"/>
  <c r="Q381" i="12"/>
  <c r="T381" i="12" s="1"/>
  <c r="R381" i="12"/>
  <c r="U381" i="12" s="1"/>
  <c r="S381" i="12"/>
  <c r="O382" i="12"/>
  <c r="P382" i="12"/>
  <c r="T382" i="12"/>
  <c r="U382" i="12"/>
  <c r="L383" i="12"/>
  <c r="L381" i="12" s="1"/>
  <c r="O381" i="12" s="1"/>
  <c r="M383" i="12"/>
  <c r="M381" i="12" s="1"/>
  <c r="P381" i="12" s="1"/>
  <c r="N383" i="12"/>
  <c r="N381" i="12" s="1"/>
  <c r="T383" i="12"/>
  <c r="U383" i="12"/>
  <c r="J385" i="12"/>
  <c r="K385" i="12"/>
  <c r="I386" i="12"/>
  <c r="J386" i="12"/>
  <c r="J387" i="12"/>
  <c r="K387" i="12"/>
  <c r="I388" i="12"/>
  <c r="K388" i="12" s="1"/>
  <c r="J388" i="12"/>
  <c r="I391" i="12"/>
  <c r="J391" i="12"/>
  <c r="K391" i="12"/>
  <c r="L393" i="12"/>
  <c r="M393" i="12"/>
  <c r="N393" i="12"/>
  <c r="Q393" i="12"/>
  <c r="R393" i="12"/>
  <c r="S393" i="12"/>
  <c r="T393" i="12"/>
  <c r="L394" i="12"/>
  <c r="O394" i="12" s="1"/>
  <c r="M394" i="12"/>
  <c r="P394" i="12" s="1"/>
  <c r="N394" i="12"/>
  <c r="L395" i="12"/>
  <c r="O395" i="12" s="1"/>
  <c r="M395" i="12"/>
  <c r="P395" i="12" s="1"/>
  <c r="N395" i="12"/>
  <c r="O396" i="12"/>
  <c r="P396" i="12"/>
  <c r="T396" i="12"/>
  <c r="U396" i="12"/>
  <c r="O397" i="12"/>
  <c r="P397" i="12"/>
  <c r="Q397" i="12"/>
  <c r="R397" i="12"/>
  <c r="S397" i="12"/>
  <c r="S394" i="12" s="1"/>
  <c r="L398" i="12"/>
  <c r="M398" i="12"/>
  <c r="P398" i="12" s="1"/>
  <c r="N398" i="12"/>
  <c r="O398" i="12"/>
  <c r="Q398" i="12"/>
  <c r="T398" i="12" s="1"/>
  <c r="R398" i="12"/>
  <c r="S398" i="12"/>
  <c r="U398" i="12"/>
  <c r="O399" i="12"/>
  <c r="P399" i="12"/>
  <c r="T399" i="12"/>
  <c r="U399" i="12"/>
  <c r="O400" i="12"/>
  <c r="P400" i="12"/>
  <c r="T400" i="12"/>
  <c r="U400" i="12"/>
  <c r="L414" i="12"/>
  <c r="M414" i="12"/>
  <c r="N414" i="12"/>
  <c r="Q414" i="12"/>
  <c r="T414" i="12" s="1"/>
  <c r="R414" i="12"/>
  <c r="S414" i="12"/>
  <c r="O417" i="12"/>
  <c r="P417" i="12"/>
  <c r="T417" i="12"/>
  <c r="U417" i="12"/>
  <c r="L418" i="12"/>
  <c r="L416" i="12" s="1"/>
  <c r="O416" i="12" s="1"/>
  <c r="M418" i="12"/>
  <c r="N418" i="12"/>
  <c r="N416" i="12" s="1"/>
  <c r="Q418" i="12"/>
  <c r="Q416" i="12" s="1"/>
  <c r="T416" i="12" s="1"/>
  <c r="R418" i="12"/>
  <c r="S418" i="12"/>
  <c r="S415" i="12" s="1"/>
  <c r="Q419" i="12"/>
  <c r="T419" i="12" s="1"/>
  <c r="R419" i="12"/>
  <c r="U419" i="12" s="1"/>
  <c r="S419" i="12"/>
  <c r="O420" i="12"/>
  <c r="P420" i="12"/>
  <c r="T420" i="12"/>
  <c r="U420" i="12"/>
  <c r="L421" i="12"/>
  <c r="L419" i="12" s="1"/>
  <c r="O419" i="12" s="1"/>
  <c r="M421" i="12"/>
  <c r="P421" i="12" s="1"/>
  <c r="N421" i="12"/>
  <c r="N419" i="12" s="1"/>
  <c r="T421" i="12"/>
  <c r="U421" i="12"/>
  <c r="I424" i="12"/>
  <c r="K424" i="12" s="1"/>
  <c r="J424" i="12"/>
  <c r="I425" i="12"/>
  <c r="K425" i="12" s="1"/>
  <c r="J425" i="12"/>
  <c r="I432" i="12"/>
  <c r="K432" i="12" s="1"/>
  <c r="J432" i="12"/>
  <c r="I433" i="12"/>
  <c r="K433" i="12" s="1"/>
  <c r="J433" i="12"/>
  <c r="I440" i="12"/>
  <c r="I441" i="12"/>
  <c r="K441" i="12" s="1"/>
  <c r="J446" i="12"/>
  <c r="J440" i="12" s="1"/>
  <c r="J423" i="12" s="1"/>
  <c r="J412" i="12" s="1"/>
  <c r="J447" i="12"/>
  <c r="J441" i="12" s="1"/>
  <c r="I457" i="12"/>
  <c r="I456" i="12" s="1"/>
  <c r="K456" i="12" s="1"/>
  <c r="I458" i="12"/>
  <c r="K458" i="12" s="1"/>
  <c r="J459" i="12"/>
  <c r="J460" i="12"/>
  <c r="J467" i="12"/>
  <c r="J468" i="12"/>
  <c r="J475" i="12"/>
  <c r="K475" i="12"/>
  <c r="J476" i="12"/>
  <c r="K476" i="12"/>
  <c r="J477" i="12"/>
  <c r="K477" i="12"/>
  <c r="J482" i="12"/>
  <c r="J483" i="12"/>
  <c r="I484" i="12"/>
  <c r="K484" i="12" s="1"/>
  <c r="J484" i="12"/>
  <c r="I485" i="12"/>
  <c r="K485" i="12" s="1"/>
  <c r="J485" i="12"/>
  <c r="L494" i="12"/>
  <c r="M494" i="12"/>
  <c r="N494" i="12"/>
  <c r="O494" i="12"/>
  <c r="P494" i="12"/>
  <c r="Q494" i="12"/>
  <c r="T494" i="12" s="1"/>
  <c r="R494" i="12"/>
  <c r="S494" i="12"/>
  <c r="U494" i="12"/>
  <c r="O497" i="12"/>
  <c r="P497" i="12"/>
  <c r="T497" i="12"/>
  <c r="U497" i="12"/>
  <c r="L498" i="12"/>
  <c r="L496" i="12" s="1"/>
  <c r="O496" i="12" s="1"/>
  <c r="M498" i="12"/>
  <c r="M496" i="12" s="1"/>
  <c r="P496" i="12" s="1"/>
  <c r="N498" i="12"/>
  <c r="N496" i="12" s="1"/>
  <c r="Q498" i="12"/>
  <c r="R498" i="12"/>
  <c r="S498" i="12"/>
  <c r="S495" i="12" s="1"/>
  <c r="S493" i="12" s="1"/>
  <c r="Q499" i="12"/>
  <c r="R499" i="12"/>
  <c r="U499" i="12" s="1"/>
  <c r="S499" i="12"/>
  <c r="T499" i="12"/>
  <c r="O500" i="12"/>
  <c r="P500" i="12"/>
  <c r="T500" i="12"/>
  <c r="U500" i="12"/>
  <c r="L501" i="12"/>
  <c r="M501" i="12"/>
  <c r="M499" i="12" s="1"/>
  <c r="P499" i="12" s="1"/>
  <c r="N501" i="12"/>
  <c r="N499" i="12" s="1"/>
  <c r="T501" i="12"/>
  <c r="U501" i="12"/>
  <c r="I503" i="12"/>
  <c r="I492" i="12" s="1"/>
  <c r="K492" i="12" s="1"/>
  <c r="I504" i="12"/>
  <c r="K504" i="12" s="1"/>
  <c r="I505" i="12"/>
  <c r="K505" i="12" s="1"/>
  <c r="I506" i="12"/>
  <c r="K506" i="12" s="1"/>
  <c r="I507" i="12"/>
  <c r="K507" i="12" s="1"/>
  <c r="K508" i="12"/>
  <c r="I509" i="12"/>
  <c r="K509" i="12" s="1"/>
  <c r="I512" i="12"/>
  <c r="J512" i="12"/>
  <c r="K512" i="12"/>
  <c r="Q513" i="12"/>
  <c r="T513" i="12" s="1"/>
  <c r="L514" i="12"/>
  <c r="M514" i="12"/>
  <c r="N514" i="12"/>
  <c r="Q514" i="12"/>
  <c r="R514" i="12"/>
  <c r="S514" i="12"/>
  <c r="S513" i="12" s="1"/>
  <c r="T514" i="12"/>
  <c r="Q515" i="12"/>
  <c r="R515" i="12"/>
  <c r="S515" i="12"/>
  <c r="T515" i="12"/>
  <c r="U515" i="12"/>
  <c r="Q516" i="12"/>
  <c r="T516" i="12" s="1"/>
  <c r="R516" i="12"/>
  <c r="U516" i="12" s="1"/>
  <c r="S516" i="12"/>
  <c r="O517" i="12"/>
  <c r="P517" i="12"/>
  <c r="T517" i="12"/>
  <c r="U517" i="12"/>
  <c r="L518" i="12"/>
  <c r="L516" i="12" s="1"/>
  <c r="O516" i="12" s="1"/>
  <c r="M518" i="12"/>
  <c r="N518" i="12"/>
  <c r="N516" i="12" s="1"/>
  <c r="T518" i="12"/>
  <c r="U518" i="12"/>
  <c r="Q519" i="12"/>
  <c r="T519" i="12" s="1"/>
  <c r="R519" i="12"/>
  <c r="S519" i="12"/>
  <c r="U519" i="12"/>
  <c r="O520" i="12"/>
  <c r="P520" i="12"/>
  <c r="T520" i="12"/>
  <c r="U520" i="12"/>
  <c r="L521" i="12"/>
  <c r="M521" i="12"/>
  <c r="P521" i="12" s="1"/>
  <c r="N521" i="12"/>
  <c r="N519" i="12" s="1"/>
  <c r="T521" i="12"/>
  <c r="U521" i="12"/>
  <c r="K523" i="12"/>
  <c r="K524" i="12"/>
  <c r="I533" i="12"/>
  <c r="K533" i="12" s="1"/>
  <c r="J533" i="12"/>
  <c r="L535" i="12"/>
  <c r="M535" i="12"/>
  <c r="N535" i="12"/>
  <c r="O535" i="12"/>
  <c r="Q535" i="12"/>
  <c r="Q534" i="12" s="1"/>
  <c r="T534" i="12" s="1"/>
  <c r="R535" i="12"/>
  <c r="R534" i="12" s="1"/>
  <c r="U534" i="12" s="1"/>
  <c r="S535" i="12"/>
  <c r="T535" i="12"/>
  <c r="U535" i="12"/>
  <c r="Q536" i="12"/>
  <c r="T536" i="12" s="1"/>
  <c r="R536" i="12"/>
  <c r="S536" i="12"/>
  <c r="U536" i="12"/>
  <c r="Q537" i="12"/>
  <c r="T537" i="12" s="1"/>
  <c r="R537" i="12"/>
  <c r="U537" i="12" s="1"/>
  <c r="S537" i="12"/>
  <c r="O538" i="12"/>
  <c r="P538" i="12"/>
  <c r="T538" i="12"/>
  <c r="U538" i="12"/>
  <c r="L539" i="12"/>
  <c r="O539" i="12" s="1"/>
  <c r="M539" i="12"/>
  <c r="M537" i="12" s="1"/>
  <c r="P537" i="12" s="1"/>
  <c r="N539" i="12"/>
  <c r="N537" i="12" s="1"/>
  <c r="T539" i="12"/>
  <c r="U539" i="12"/>
  <c r="Q540" i="12"/>
  <c r="T540" i="12" s="1"/>
  <c r="R540" i="12"/>
  <c r="U540" i="12" s="1"/>
  <c r="S540" i="12"/>
  <c r="O541" i="12"/>
  <c r="P541" i="12"/>
  <c r="T541" i="12"/>
  <c r="U541" i="12"/>
  <c r="L542" i="12"/>
  <c r="M542" i="12"/>
  <c r="N542" i="12"/>
  <c r="N540" i="12" s="1"/>
  <c r="T542" i="12"/>
  <c r="U542" i="12"/>
  <c r="I554" i="12"/>
  <c r="K554" i="12" s="1"/>
  <c r="J554" i="12"/>
  <c r="L556" i="12"/>
  <c r="O556" i="12" s="1"/>
  <c r="M556" i="12"/>
  <c r="N556" i="12"/>
  <c r="P556" i="12"/>
  <c r="Q556" i="12"/>
  <c r="R556" i="12"/>
  <c r="U556" i="12" s="1"/>
  <c r="S556" i="12"/>
  <c r="Q557" i="12"/>
  <c r="R557" i="12"/>
  <c r="S557" i="12"/>
  <c r="T557" i="12"/>
  <c r="Q558" i="12"/>
  <c r="R558" i="12"/>
  <c r="S558" i="12"/>
  <c r="T558" i="12"/>
  <c r="U558" i="12"/>
  <c r="O559" i="12"/>
  <c r="P559" i="12"/>
  <c r="T559" i="12"/>
  <c r="U559" i="12"/>
  <c r="L560" i="12"/>
  <c r="M560" i="12"/>
  <c r="N560" i="12"/>
  <c r="T560" i="12"/>
  <c r="U560" i="12"/>
  <c r="Q561" i="12"/>
  <c r="T561" i="12" s="1"/>
  <c r="R561" i="12"/>
  <c r="U561" i="12" s="1"/>
  <c r="S561" i="12"/>
  <c r="O562" i="12"/>
  <c r="P562" i="12"/>
  <c r="T562" i="12"/>
  <c r="U562" i="12"/>
  <c r="L563" i="12"/>
  <c r="L561" i="12" s="1"/>
  <c r="O561" i="12" s="1"/>
  <c r="M563" i="12"/>
  <c r="M561" i="12" s="1"/>
  <c r="P561" i="12" s="1"/>
  <c r="N563" i="12"/>
  <c r="N561" i="12" s="1"/>
  <c r="T563" i="12"/>
  <c r="U563" i="12"/>
  <c r="I575" i="12"/>
  <c r="K575" i="12" s="1"/>
  <c r="J575" i="12"/>
  <c r="Q576" i="12"/>
  <c r="T576" i="12" s="1"/>
  <c r="R576" i="12"/>
  <c r="U576" i="12" s="1"/>
  <c r="L577" i="12"/>
  <c r="O577" i="12" s="1"/>
  <c r="M577" i="12"/>
  <c r="N577" i="12"/>
  <c r="Q577" i="12"/>
  <c r="T577" i="12" s="1"/>
  <c r="R577" i="12"/>
  <c r="U577" i="12" s="1"/>
  <c r="S577" i="12"/>
  <c r="Q578" i="12"/>
  <c r="T578" i="12" s="1"/>
  <c r="R578" i="12"/>
  <c r="U578" i="12" s="1"/>
  <c r="S578" i="12"/>
  <c r="Q579" i="12"/>
  <c r="T579" i="12" s="1"/>
  <c r="R579" i="12"/>
  <c r="U579" i="12" s="1"/>
  <c r="S579" i="12"/>
  <c r="O580" i="12"/>
  <c r="P580" i="12"/>
  <c r="T580" i="12"/>
  <c r="U580" i="12"/>
  <c r="L581" i="12"/>
  <c r="M581" i="12"/>
  <c r="N581" i="12"/>
  <c r="N579" i="12" s="1"/>
  <c r="T581" i="12"/>
  <c r="U581" i="12"/>
  <c r="Q582" i="12"/>
  <c r="T582" i="12" s="1"/>
  <c r="R582" i="12"/>
  <c r="S582" i="12"/>
  <c r="U582" i="12"/>
  <c r="O583" i="12"/>
  <c r="P583" i="12"/>
  <c r="T583" i="12"/>
  <c r="U583" i="12"/>
  <c r="L584" i="12"/>
  <c r="M584" i="12"/>
  <c r="N584" i="12"/>
  <c r="N582" i="12" s="1"/>
  <c r="T584" i="12"/>
  <c r="U584" i="12"/>
  <c r="L600" i="12"/>
  <c r="M600" i="12"/>
  <c r="N600" i="12"/>
  <c r="O600" i="12"/>
  <c r="Q600" i="12"/>
  <c r="R600" i="12"/>
  <c r="S600" i="12"/>
  <c r="T600" i="12"/>
  <c r="U600" i="12"/>
  <c r="O603" i="12"/>
  <c r="P603" i="12"/>
  <c r="T603" i="12"/>
  <c r="U603" i="12"/>
  <c r="L604" i="12"/>
  <c r="M604" i="12"/>
  <c r="M602" i="12" s="1"/>
  <c r="N604" i="12"/>
  <c r="Q604" i="12"/>
  <c r="Q602" i="12" s="1"/>
  <c r="T602" i="12" s="1"/>
  <c r="R604" i="12"/>
  <c r="S604" i="12"/>
  <c r="S602" i="12" s="1"/>
  <c r="O606" i="12"/>
  <c r="P606" i="12"/>
  <c r="T606" i="12"/>
  <c r="U606" i="12"/>
  <c r="L607" i="12"/>
  <c r="L605" i="12" s="1"/>
  <c r="O605" i="12" s="1"/>
  <c r="M607" i="12"/>
  <c r="M605" i="12" s="1"/>
  <c r="P605" i="12" s="1"/>
  <c r="N607" i="12"/>
  <c r="N605" i="12" s="1"/>
  <c r="Q607" i="12"/>
  <c r="R607" i="12"/>
  <c r="R605" i="12" s="1"/>
  <c r="U605" i="12" s="1"/>
  <c r="S607" i="12"/>
  <c r="S605" i="12" s="1"/>
  <c r="L617" i="12"/>
  <c r="O617" i="12" s="1"/>
  <c r="M617" i="12"/>
  <c r="P617" i="12" s="1"/>
  <c r="N617" i="12"/>
  <c r="N616" i="12" s="1"/>
  <c r="Q617" i="12"/>
  <c r="T617" i="12" s="1"/>
  <c r="R617" i="12"/>
  <c r="U617" i="12" s="1"/>
  <c r="S617" i="12"/>
  <c r="L618" i="12"/>
  <c r="M618" i="12"/>
  <c r="P618" i="12" s="1"/>
  <c r="N618" i="12"/>
  <c r="L619" i="12"/>
  <c r="O619" i="12" s="1"/>
  <c r="M619" i="12"/>
  <c r="P619" i="12" s="1"/>
  <c r="N619" i="12"/>
  <c r="O620" i="12"/>
  <c r="P620" i="12"/>
  <c r="T620" i="12"/>
  <c r="U620" i="12"/>
  <c r="O621" i="12"/>
  <c r="P621" i="12"/>
  <c r="Q621" i="12"/>
  <c r="R621" i="12"/>
  <c r="R619" i="12" s="1"/>
  <c r="S621" i="12"/>
  <c r="S619" i="12" s="1"/>
  <c r="L622" i="12"/>
  <c r="O622" i="12" s="1"/>
  <c r="M622" i="12"/>
  <c r="P622" i="12" s="1"/>
  <c r="N622" i="12"/>
  <c r="Q622" i="12"/>
  <c r="T622" i="12" s="1"/>
  <c r="R622" i="12"/>
  <c r="U622" i="12" s="1"/>
  <c r="S622" i="12"/>
  <c r="O623" i="12"/>
  <c r="P623" i="12"/>
  <c r="T623" i="12"/>
  <c r="U623" i="12"/>
  <c r="O624" i="12"/>
  <c r="P624" i="12"/>
  <c r="T624" i="12"/>
  <c r="U624" i="12"/>
  <c r="I626" i="12"/>
  <c r="K630" i="12" s="1"/>
  <c r="J626" i="12"/>
  <c r="J615" i="12" s="1"/>
  <c r="I627" i="12"/>
  <c r="K627" i="12" s="1"/>
  <c r="I628" i="12"/>
  <c r="K628" i="12" s="1"/>
  <c r="J632" i="12"/>
  <c r="I635" i="12"/>
  <c r="K635" i="12" s="1"/>
  <c r="J636" i="12"/>
  <c r="J635" i="12" s="1"/>
  <c r="M642" i="12"/>
  <c r="P642" i="12" s="1"/>
  <c r="L643" i="12"/>
  <c r="M643" i="12"/>
  <c r="N643" i="12"/>
  <c r="N642" i="12" s="1"/>
  <c r="O643" i="12"/>
  <c r="P643" i="12"/>
  <c r="Q643" i="12"/>
  <c r="T643" i="12" s="1"/>
  <c r="R643" i="12"/>
  <c r="S643" i="12"/>
  <c r="U643" i="12"/>
  <c r="L644" i="12"/>
  <c r="O644" i="12" s="1"/>
  <c r="M644" i="12"/>
  <c r="P644" i="12" s="1"/>
  <c r="N644" i="12"/>
  <c r="L645" i="12"/>
  <c r="O645" i="12" s="1"/>
  <c r="M645" i="12"/>
  <c r="P645" i="12" s="1"/>
  <c r="N645" i="12"/>
  <c r="O646" i="12"/>
  <c r="P646" i="12"/>
  <c r="T646" i="12"/>
  <c r="U646" i="12"/>
  <c r="O647" i="12"/>
  <c r="P647" i="12"/>
  <c r="Q647" i="12"/>
  <c r="R647" i="12"/>
  <c r="R645" i="12" s="1"/>
  <c r="U645" i="12" s="1"/>
  <c r="S647" i="12"/>
  <c r="S644" i="12" s="1"/>
  <c r="L648" i="12"/>
  <c r="O648" i="12" s="1"/>
  <c r="M648" i="12"/>
  <c r="P648" i="12" s="1"/>
  <c r="N648" i="12"/>
  <c r="Q648" i="12"/>
  <c r="T648" i="12" s="1"/>
  <c r="R648" i="12"/>
  <c r="U648" i="12" s="1"/>
  <c r="S648" i="12"/>
  <c r="O649" i="12"/>
  <c r="P649" i="12"/>
  <c r="T649" i="12"/>
  <c r="U649" i="12"/>
  <c r="O650" i="12"/>
  <c r="P650" i="12"/>
  <c r="T650" i="12"/>
  <c r="U650" i="12"/>
  <c r="I652" i="12"/>
  <c r="K652" i="12" s="1"/>
  <c r="J652" i="12"/>
  <c r="I653" i="12"/>
  <c r="K653" i="12" s="1"/>
  <c r="J653" i="12"/>
  <c r="I654" i="12"/>
  <c r="K654" i="12" s="1"/>
  <c r="J654" i="12"/>
  <c r="I657" i="12"/>
  <c r="I660" i="12"/>
  <c r="I661" i="12"/>
  <c r="K661" i="12" s="1"/>
  <c r="J661" i="12"/>
  <c r="J671" i="12"/>
  <c r="J672" i="12"/>
  <c r="I673" i="12"/>
  <c r="K673" i="12" s="1"/>
  <c r="J673" i="12"/>
  <c r="I674" i="12"/>
  <c r="K674" i="12" s="1"/>
  <c r="I675" i="12"/>
  <c r="K675" i="12" s="1"/>
  <c r="I676" i="12"/>
  <c r="K676" i="12" s="1"/>
  <c r="J676" i="12"/>
  <c r="J677" i="12"/>
  <c r="I678" i="12"/>
  <c r="K678" i="12" s="1"/>
  <c r="J678" i="12"/>
  <c r="I679" i="12"/>
  <c r="K679" i="12" s="1"/>
  <c r="J679" i="12"/>
  <c r="J680" i="12"/>
  <c r="I681" i="12"/>
  <c r="K681" i="12" s="1"/>
  <c r="J681" i="12"/>
  <c r="I682" i="12"/>
  <c r="K682" i="12" s="1"/>
  <c r="J682" i="12"/>
  <c r="L691" i="12"/>
  <c r="M691" i="12"/>
  <c r="N691" i="12"/>
  <c r="P691" i="12"/>
  <c r="Q691" i="12"/>
  <c r="T691" i="12" s="1"/>
  <c r="R691" i="12"/>
  <c r="U691" i="12" s="1"/>
  <c r="S691" i="12"/>
  <c r="L692" i="12"/>
  <c r="O692" i="12" s="1"/>
  <c r="M692" i="12"/>
  <c r="P692" i="12" s="1"/>
  <c r="N692" i="12"/>
  <c r="L693" i="12"/>
  <c r="O693" i="12" s="1"/>
  <c r="M693" i="12"/>
  <c r="P693" i="12" s="1"/>
  <c r="N693" i="12"/>
  <c r="O694" i="12"/>
  <c r="P694" i="12"/>
  <c r="T694" i="12"/>
  <c r="U694" i="12"/>
  <c r="O695" i="12"/>
  <c r="P695" i="12"/>
  <c r="Q695" i="12"/>
  <c r="R695" i="12"/>
  <c r="R693" i="12" s="1"/>
  <c r="S695" i="12"/>
  <c r="S692" i="12" s="1"/>
  <c r="S690" i="12" s="1"/>
  <c r="L696" i="12"/>
  <c r="O696" i="12" s="1"/>
  <c r="M696" i="12"/>
  <c r="P696" i="12" s="1"/>
  <c r="N696" i="12"/>
  <c r="Q696" i="12"/>
  <c r="T696" i="12" s="1"/>
  <c r="R696" i="12"/>
  <c r="U696" i="12" s="1"/>
  <c r="S696" i="12"/>
  <c r="O697" i="12"/>
  <c r="P697" i="12"/>
  <c r="T697" i="12"/>
  <c r="U697" i="12"/>
  <c r="O698" i="12"/>
  <c r="P698" i="12"/>
  <c r="T698" i="12"/>
  <c r="U698" i="12"/>
  <c r="I700" i="12"/>
  <c r="K700" i="12" s="1"/>
  <c r="K702" i="12"/>
  <c r="I703" i="12"/>
  <c r="K703" i="12" s="1"/>
  <c r="J703" i="12"/>
  <c r="J704" i="12"/>
  <c r="K704" i="12"/>
  <c r="I705" i="12"/>
  <c r="J705" i="12"/>
  <c r="J706" i="12"/>
  <c r="K706" i="12"/>
  <c r="I707" i="12"/>
  <c r="I689" i="12" s="1"/>
  <c r="K689" i="12" s="1"/>
  <c r="J707" i="12"/>
  <c r="J689" i="12" s="1"/>
  <c r="J708" i="12"/>
  <c r="K708" i="12"/>
  <c r="I709" i="12"/>
  <c r="J709" i="12"/>
  <c r="J710" i="12"/>
  <c r="K710" i="12"/>
  <c r="J712" i="12"/>
  <c r="K712" i="12"/>
  <c r="L715" i="12"/>
  <c r="M715" i="12"/>
  <c r="N715" i="12"/>
  <c r="N714" i="12" s="1"/>
  <c r="O715" i="12"/>
  <c r="P715" i="12"/>
  <c r="Q715" i="12"/>
  <c r="Q714" i="12" s="1"/>
  <c r="T714" i="12" s="1"/>
  <c r="R715" i="12"/>
  <c r="S715" i="12"/>
  <c r="U715" i="12"/>
  <c r="L716" i="12"/>
  <c r="O716" i="12" s="1"/>
  <c r="M716" i="12"/>
  <c r="P716" i="12" s="1"/>
  <c r="N716" i="12"/>
  <c r="Q716" i="12"/>
  <c r="T716" i="12" s="1"/>
  <c r="R716" i="12"/>
  <c r="U716" i="12" s="1"/>
  <c r="S716" i="12"/>
  <c r="L717" i="12"/>
  <c r="O717" i="12" s="1"/>
  <c r="M717" i="12"/>
  <c r="P717" i="12" s="1"/>
  <c r="N717" i="12"/>
  <c r="Q717" i="12"/>
  <c r="T717" i="12" s="1"/>
  <c r="R717" i="12"/>
  <c r="U717" i="12" s="1"/>
  <c r="S717" i="12"/>
  <c r="O718" i="12"/>
  <c r="P718" i="12"/>
  <c r="T718" i="12"/>
  <c r="U718" i="12"/>
  <c r="O719" i="12"/>
  <c r="P719" i="12"/>
  <c r="T719" i="12"/>
  <c r="U719" i="12"/>
  <c r="L720" i="12"/>
  <c r="O720" i="12" s="1"/>
  <c r="M720" i="12"/>
  <c r="P720" i="12" s="1"/>
  <c r="N720" i="12"/>
  <c r="Q720" i="12"/>
  <c r="T720" i="12" s="1"/>
  <c r="R720" i="12"/>
  <c r="U720" i="12" s="1"/>
  <c r="S720" i="12"/>
  <c r="O721" i="12"/>
  <c r="P721" i="12"/>
  <c r="T721" i="12"/>
  <c r="U721" i="12"/>
  <c r="O722" i="12"/>
  <c r="P722" i="12"/>
  <c r="T722" i="12"/>
  <c r="U722" i="12"/>
  <c r="I726" i="12"/>
  <c r="K726" i="12" s="1"/>
  <c r="J726" i="12"/>
  <c r="I727" i="12"/>
  <c r="K727" i="12" s="1"/>
  <c r="J727" i="12"/>
  <c r="L729" i="12"/>
  <c r="M729" i="12"/>
  <c r="P729" i="12" s="1"/>
  <c r="N729" i="12"/>
  <c r="Q729" i="12"/>
  <c r="R729" i="12"/>
  <c r="U729" i="12" s="1"/>
  <c r="S729" i="12"/>
  <c r="L730" i="12"/>
  <c r="O730" i="12" s="1"/>
  <c r="M730" i="12"/>
  <c r="N730" i="12"/>
  <c r="L731" i="12"/>
  <c r="M731" i="12"/>
  <c r="P731" i="12" s="1"/>
  <c r="N731" i="12"/>
  <c r="O731" i="12"/>
  <c r="O732" i="12"/>
  <c r="P732" i="12"/>
  <c r="T732" i="12"/>
  <c r="U732" i="12"/>
  <c r="O733" i="12"/>
  <c r="P733" i="12"/>
  <c r="Q733" i="12"/>
  <c r="Q730" i="12" s="1"/>
  <c r="R733" i="12"/>
  <c r="R730" i="12" s="1"/>
  <c r="S733" i="12"/>
  <c r="L734" i="12"/>
  <c r="O734" i="12" s="1"/>
  <c r="M734" i="12"/>
  <c r="P734" i="12" s="1"/>
  <c r="N734" i="12"/>
  <c r="Q734" i="12"/>
  <c r="T734" i="12" s="1"/>
  <c r="R734" i="12"/>
  <c r="U734" i="12" s="1"/>
  <c r="S734" i="12"/>
  <c r="O735" i="12"/>
  <c r="P735" i="12"/>
  <c r="T735" i="12"/>
  <c r="U735" i="12"/>
  <c r="O736" i="12"/>
  <c r="P736" i="12"/>
  <c r="T736" i="12"/>
  <c r="U736" i="12"/>
  <c r="I740" i="12"/>
  <c r="K740" i="12" s="1"/>
  <c r="I742" i="12"/>
  <c r="K742" i="12" s="1"/>
  <c r="I744" i="12"/>
  <c r="K744" i="12" s="1"/>
  <c r="I746" i="12"/>
  <c r="K746" i="12" s="1"/>
  <c r="I749" i="12"/>
  <c r="K749" i="12" s="1"/>
  <c r="I752" i="12"/>
  <c r="K752" i="12" s="1"/>
  <c r="I755" i="12"/>
  <c r="K755" i="12" s="1"/>
  <c r="J758" i="12"/>
  <c r="J759" i="12"/>
  <c r="L761" i="12"/>
  <c r="L760" i="12" s="1"/>
  <c r="O760" i="12" s="1"/>
  <c r="M761" i="12"/>
  <c r="P761" i="12" s="1"/>
  <c r="N761" i="12"/>
  <c r="N760" i="12" s="1"/>
  <c r="Q761" i="12"/>
  <c r="R761" i="12"/>
  <c r="U761" i="12" s="1"/>
  <c r="S761" i="12"/>
  <c r="L762" i="12"/>
  <c r="O762" i="12" s="1"/>
  <c r="M762" i="12"/>
  <c r="P762" i="12" s="1"/>
  <c r="N762" i="12"/>
  <c r="L763" i="12"/>
  <c r="O763" i="12" s="1"/>
  <c r="M763" i="12"/>
  <c r="P763" i="12" s="1"/>
  <c r="N763" i="12"/>
  <c r="O764" i="12"/>
  <c r="P764" i="12"/>
  <c r="T764" i="12"/>
  <c r="U764" i="12"/>
  <c r="O765" i="12"/>
  <c r="P765" i="12"/>
  <c r="Q765" i="12"/>
  <c r="Q763" i="12" s="1"/>
  <c r="R765" i="12"/>
  <c r="S765" i="12"/>
  <c r="S763" i="12" s="1"/>
  <c r="L766" i="12"/>
  <c r="M766" i="12"/>
  <c r="N766" i="12"/>
  <c r="O766" i="12"/>
  <c r="P766" i="12"/>
  <c r="Q766" i="12"/>
  <c r="T766" i="12" s="1"/>
  <c r="R766" i="12"/>
  <c r="S766" i="12"/>
  <c r="U766" i="12"/>
  <c r="O767" i="12"/>
  <c r="P767" i="12"/>
  <c r="T767" i="12"/>
  <c r="U767" i="12"/>
  <c r="O768" i="12"/>
  <c r="P768" i="12"/>
  <c r="T768" i="12"/>
  <c r="U768" i="12"/>
  <c r="I770" i="12"/>
  <c r="K770" i="12" s="1"/>
  <c r="I772" i="12"/>
  <c r="K772" i="12" s="1"/>
  <c r="I774" i="12"/>
  <c r="K774" i="12" s="1"/>
  <c r="I775" i="12"/>
  <c r="I776" i="12"/>
  <c r="H777" i="12"/>
  <c r="I778" i="12"/>
  <c r="J778" i="12"/>
  <c r="I779" i="12"/>
  <c r="J779" i="12"/>
  <c r="I780" i="12"/>
  <c r="J780" i="12"/>
  <c r="I781" i="12"/>
  <c r="J781" i="12"/>
  <c r="I782" i="12"/>
  <c r="K782" i="12" s="1"/>
  <c r="J782" i="12"/>
  <c r="I783" i="12"/>
  <c r="K783" i="12" s="1"/>
  <c r="J783" i="12"/>
  <c r="I784" i="12"/>
  <c r="J784" i="12"/>
  <c r="I785" i="12"/>
  <c r="J785" i="12"/>
  <c r="A788" i="12"/>
  <c r="A789" i="12"/>
  <c r="L22" i="11"/>
  <c r="M22" i="11"/>
  <c r="M19" i="11" s="1"/>
  <c r="N22" i="11"/>
  <c r="Q22" i="11"/>
  <c r="T22" i="11" s="1"/>
  <c r="R22" i="11"/>
  <c r="S22" i="11"/>
  <c r="L25" i="11"/>
  <c r="M25" i="11"/>
  <c r="N25" i="11"/>
  <c r="Q25" i="11"/>
  <c r="T25" i="11" s="1"/>
  <c r="R25" i="11"/>
  <c r="S25" i="11"/>
  <c r="Q44" i="11"/>
  <c r="T44" i="11" s="1"/>
  <c r="L45" i="11"/>
  <c r="O45" i="11" s="1"/>
  <c r="M45" i="11"/>
  <c r="N45" i="11"/>
  <c r="Q45" i="11"/>
  <c r="T45" i="11" s="1"/>
  <c r="R45" i="11"/>
  <c r="U45" i="11" s="1"/>
  <c r="S45" i="11"/>
  <c r="S44" i="11" s="1"/>
  <c r="Q46" i="11"/>
  <c r="R46" i="11"/>
  <c r="U46" i="11" s="1"/>
  <c r="S46" i="11"/>
  <c r="T46" i="11"/>
  <c r="Q47" i="11"/>
  <c r="T47" i="11" s="1"/>
  <c r="R47" i="11"/>
  <c r="U47" i="11" s="1"/>
  <c r="S47" i="11"/>
  <c r="O48" i="11"/>
  <c r="P48" i="11"/>
  <c r="T48" i="11"/>
  <c r="U48" i="11"/>
  <c r="L49" i="11"/>
  <c r="L47" i="11" s="1"/>
  <c r="M49" i="11"/>
  <c r="M47" i="11" s="1"/>
  <c r="N49" i="11"/>
  <c r="N47" i="11" s="1"/>
  <c r="T49" i="11"/>
  <c r="U49" i="11"/>
  <c r="Q50" i="11"/>
  <c r="R50" i="11"/>
  <c r="S50" i="11"/>
  <c r="T50" i="11"/>
  <c r="U50" i="11"/>
  <c r="O51" i="11"/>
  <c r="P51" i="11"/>
  <c r="T51" i="11"/>
  <c r="U51" i="11"/>
  <c r="L52" i="11"/>
  <c r="M52" i="11"/>
  <c r="N52" i="11"/>
  <c r="N50" i="11" s="1"/>
  <c r="T52" i="11"/>
  <c r="U52" i="11"/>
  <c r="R59" i="11"/>
  <c r="U59" i="11" s="1"/>
  <c r="L60" i="11"/>
  <c r="O60" i="11" s="1"/>
  <c r="M60" i="11"/>
  <c r="N60" i="11"/>
  <c r="Q60" i="11"/>
  <c r="Q59" i="11" s="1"/>
  <c r="T59" i="11" s="1"/>
  <c r="R60" i="11"/>
  <c r="U60" i="11" s="1"/>
  <c r="S60" i="11"/>
  <c r="S59" i="11" s="1"/>
  <c r="T60" i="11"/>
  <c r="Q61" i="11"/>
  <c r="T61" i="11" s="1"/>
  <c r="R61" i="11"/>
  <c r="S61" i="11"/>
  <c r="U61" i="11"/>
  <c r="Q62" i="11"/>
  <c r="T62" i="11" s="1"/>
  <c r="R62" i="11"/>
  <c r="U62" i="11" s="1"/>
  <c r="S62" i="11"/>
  <c r="O63" i="11"/>
  <c r="P63" i="11"/>
  <c r="T63" i="11"/>
  <c r="U63" i="11"/>
  <c r="L64" i="11"/>
  <c r="L62" i="11" s="1"/>
  <c r="M64" i="11"/>
  <c r="M62" i="11" s="1"/>
  <c r="N64" i="11"/>
  <c r="N62" i="11" s="1"/>
  <c r="T64" i="11"/>
  <c r="U64" i="11"/>
  <c r="Q65" i="11"/>
  <c r="T65" i="11" s="1"/>
  <c r="R65" i="11"/>
  <c r="U65" i="11" s="1"/>
  <c r="S65" i="11"/>
  <c r="O66" i="11"/>
  <c r="P66" i="11"/>
  <c r="T66" i="11"/>
  <c r="U66" i="11"/>
  <c r="L67" i="11"/>
  <c r="M67" i="11"/>
  <c r="N67" i="11"/>
  <c r="N65" i="11" s="1"/>
  <c r="T67" i="11"/>
  <c r="U67" i="11"/>
  <c r="L73" i="11"/>
  <c r="O73" i="11" s="1"/>
  <c r="M73" i="11"/>
  <c r="N73" i="11"/>
  <c r="Q73" i="11"/>
  <c r="T73" i="11" s="1"/>
  <c r="R73" i="11"/>
  <c r="U73" i="11" s="1"/>
  <c r="S73" i="11"/>
  <c r="O76" i="11"/>
  <c r="P76" i="11"/>
  <c r="T76" i="11"/>
  <c r="U76" i="11"/>
  <c r="L77" i="11"/>
  <c r="L75" i="11" s="1"/>
  <c r="O75" i="11" s="1"/>
  <c r="M77" i="11"/>
  <c r="N77" i="11"/>
  <c r="N75" i="11" s="1"/>
  <c r="Q77" i="11"/>
  <c r="T77" i="11" s="1"/>
  <c r="R77" i="11"/>
  <c r="U77" i="11" s="1"/>
  <c r="S77" i="11"/>
  <c r="O79" i="11"/>
  <c r="P79" i="11"/>
  <c r="T79" i="11"/>
  <c r="U79" i="11"/>
  <c r="L80" i="11"/>
  <c r="O80" i="11" s="1"/>
  <c r="M80" i="11"/>
  <c r="M78" i="11" s="1"/>
  <c r="P78" i="11" s="1"/>
  <c r="N80" i="11"/>
  <c r="N78" i="11" s="1"/>
  <c r="Q80" i="11"/>
  <c r="R80" i="11"/>
  <c r="R78" i="11" s="1"/>
  <c r="U78" i="11" s="1"/>
  <c r="S80" i="11"/>
  <c r="S78" i="11" s="1"/>
  <c r="J82" i="11"/>
  <c r="J70" i="11" s="1"/>
  <c r="J83" i="11"/>
  <c r="J71" i="11" s="1"/>
  <c r="I84" i="11"/>
  <c r="K84" i="11" s="1"/>
  <c r="I85" i="11"/>
  <c r="I86" i="11"/>
  <c r="K86" i="11" s="1"/>
  <c r="I87" i="11"/>
  <c r="K87" i="11" s="1"/>
  <c r="I88" i="11"/>
  <c r="K88" i="11" s="1"/>
  <c r="I89" i="11"/>
  <c r="K89" i="11" s="1"/>
  <c r="I90" i="11"/>
  <c r="K90" i="11" s="1"/>
  <c r="J92" i="11"/>
  <c r="J93" i="11"/>
  <c r="L95" i="11"/>
  <c r="M95" i="11"/>
  <c r="P95" i="11" s="1"/>
  <c r="N95" i="11"/>
  <c r="Q95" i="11"/>
  <c r="R95" i="11"/>
  <c r="S95" i="11"/>
  <c r="O98" i="11"/>
  <c r="P98" i="11"/>
  <c r="T98" i="11"/>
  <c r="U98" i="11"/>
  <c r="L99" i="11"/>
  <c r="O99" i="11" s="1"/>
  <c r="M99" i="11"/>
  <c r="N99" i="11"/>
  <c r="N97" i="11" s="1"/>
  <c r="Q99" i="11"/>
  <c r="Q96" i="11" s="1"/>
  <c r="T96" i="11" s="1"/>
  <c r="R99" i="11"/>
  <c r="U99" i="11" s="1"/>
  <c r="S99" i="11"/>
  <c r="Q100" i="11"/>
  <c r="T100" i="11" s="1"/>
  <c r="R100" i="11"/>
  <c r="U100" i="11" s="1"/>
  <c r="S100" i="11"/>
  <c r="O101" i="11"/>
  <c r="P101" i="11"/>
  <c r="T101" i="11"/>
  <c r="U101" i="11"/>
  <c r="L102" i="11"/>
  <c r="O102" i="11" s="1"/>
  <c r="M102" i="11"/>
  <c r="N102" i="11"/>
  <c r="N100" i="11" s="1"/>
  <c r="T102" i="11"/>
  <c r="U102" i="11"/>
  <c r="I108" i="11"/>
  <c r="I109" i="11"/>
  <c r="K109" i="11" s="1"/>
  <c r="I114" i="11"/>
  <c r="K114" i="11" s="1"/>
  <c r="J116" i="11"/>
  <c r="L118" i="11"/>
  <c r="M118" i="11"/>
  <c r="N118" i="11"/>
  <c r="P118" i="11"/>
  <c r="Q118" i="11"/>
  <c r="R118" i="11"/>
  <c r="S118" i="11"/>
  <c r="O121" i="11"/>
  <c r="P121" i="11"/>
  <c r="T121" i="11"/>
  <c r="U121" i="11"/>
  <c r="L122" i="11"/>
  <c r="O122" i="11" s="1"/>
  <c r="M122" i="11"/>
  <c r="N122" i="11"/>
  <c r="N120" i="11" s="1"/>
  <c r="Q122" i="11"/>
  <c r="Q120" i="11" s="1"/>
  <c r="R122" i="11"/>
  <c r="S122" i="11"/>
  <c r="O124" i="11"/>
  <c r="P124" i="11"/>
  <c r="T124" i="11"/>
  <c r="U124" i="11"/>
  <c r="L125" i="11"/>
  <c r="O125" i="11" s="1"/>
  <c r="M125" i="11"/>
  <c r="N125" i="11"/>
  <c r="N123" i="11" s="1"/>
  <c r="Q125" i="11"/>
  <c r="Q123" i="11" s="1"/>
  <c r="T123" i="11" s="1"/>
  <c r="R125" i="11"/>
  <c r="U125" i="11" s="1"/>
  <c r="S125" i="11"/>
  <c r="S123" i="11" s="1"/>
  <c r="I127" i="11"/>
  <c r="K127" i="11" s="1"/>
  <c r="I128" i="11"/>
  <c r="K128" i="11" s="1"/>
  <c r="I129" i="11"/>
  <c r="K129" i="11" s="1"/>
  <c r="I130" i="11"/>
  <c r="K130" i="11" s="1"/>
  <c r="J136" i="11"/>
  <c r="J137" i="11"/>
  <c r="J138" i="11"/>
  <c r="L140" i="11"/>
  <c r="M140" i="11"/>
  <c r="N140" i="11"/>
  <c r="Q140" i="11"/>
  <c r="T140" i="11" s="1"/>
  <c r="R140" i="11"/>
  <c r="S140" i="11"/>
  <c r="O143" i="11"/>
  <c r="P143" i="11"/>
  <c r="T143" i="11"/>
  <c r="U143" i="11"/>
  <c r="L144" i="11"/>
  <c r="L142" i="11" s="1"/>
  <c r="O142" i="11" s="1"/>
  <c r="M144" i="11"/>
  <c r="P144" i="11" s="1"/>
  <c r="N144" i="11"/>
  <c r="N142" i="11" s="1"/>
  <c r="Q144" i="11"/>
  <c r="T144" i="11" s="1"/>
  <c r="R144" i="11"/>
  <c r="R142" i="11" s="1"/>
  <c r="U142" i="11" s="1"/>
  <c r="S144" i="11"/>
  <c r="S142" i="11" s="1"/>
  <c r="O146" i="11"/>
  <c r="P146" i="11"/>
  <c r="T146" i="11"/>
  <c r="U146" i="11"/>
  <c r="L147" i="11"/>
  <c r="L145" i="11" s="1"/>
  <c r="O145" i="11" s="1"/>
  <c r="M147" i="11"/>
  <c r="P147" i="11" s="1"/>
  <c r="N147" i="11"/>
  <c r="N145" i="11" s="1"/>
  <c r="Q147" i="11"/>
  <c r="Q145" i="11" s="1"/>
  <c r="T145" i="11" s="1"/>
  <c r="R147" i="11"/>
  <c r="R145" i="11" s="1"/>
  <c r="U145" i="11" s="1"/>
  <c r="S147" i="11"/>
  <c r="S145" i="11" s="1"/>
  <c r="I150" i="11"/>
  <c r="K150" i="11" s="1"/>
  <c r="I151" i="11"/>
  <c r="K151" i="11" s="1"/>
  <c r="I152" i="11"/>
  <c r="I153" i="11"/>
  <c r="I138" i="11" s="1"/>
  <c r="K138" i="11" s="1"/>
  <c r="I154" i="11"/>
  <c r="K154" i="11" s="1"/>
  <c r="J156" i="11"/>
  <c r="L158" i="11"/>
  <c r="M158" i="11"/>
  <c r="P158" i="11" s="1"/>
  <c r="N158" i="11"/>
  <c r="Q158" i="11"/>
  <c r="R158" i="11"/>
  <c r="S158" i="11"/>
  <c r="O161" i="11"/>
  <c r="P161" i="11"/>
  <c r="T161" i="11"/>
  <c r="U161" i="11"/>
  <c r="L162" i="11"/>
  <c r="M162" i="11"/>
  <c r="N162" i="11"/>
  <c r="N160" i="11" s="1"/>
  <c r="Q162" i="11"/>
  <c r="Q160" i="11" s="1"/>
  <c r="T160" i="11" s="1"/>
  <c r="R162" i="11"/>
  <c r="S162" i="11"/>
  <c r="Q163" i="11"/>
  <c r="T163" i="11" s="1"/>
  <c r="R163" i="11"/>
  <c r="S163" i="11"/>
  <c r="U163" i="11"/>
  <c r="O164" i="11"/>
  <c r="P164" i="11"/>
  <c r="T164" i="11"/>
  <c r="U164" i="11"/>
  <c r="L165" i="11"/>
  <c r="M165" i="11"/>
  <c r="N165" i="11"/>
  <c r="N163" i="11" s="1"/>
  <c r="T165" i="11"/>
  <c r="U165" i="11"/>
  <c r="I167" i="11"/>
  <c r="K167" i="11" s="1"/>
  <c r="I168" i="11"/>
  <c r="K168" i="11" s="1"/>
  <c r="I169" i="11"/>
  <c r="K169" i="11" s="1"/>
  <c r="J172" i="11"/>
  <c r="L174" i="11"/>
  <c r="M174" i="11"/>
  <c r="N174" i="11"/>
  <c r="P174" i="11"/>
  <c r="Q174" i="11"/>
  <c r="R174" i="11"/>
  <c r="S174" i="11"/>
  <c r="O177" i="11"/>
  <c r="P177" i="11"/>
  <c r="T177" i="11"/>
  <c r="U177" i="11"/>
  <c r="L178" i="11"/>
  <c r="M178" i="11"/>
  <c r="M176" i="11" s="1"/>
  <c r="N178" i="11"/>
  <c r="Q178" i="11"/>
  <c r="R178" i="11"/>
  <c r="R175" i="11" s="1"/>
  <c r="U175" i="11" s="1"/>
  <c r="S178" i="11"/>
  <c r="S175" i="11" s="1"/>
  <c r="Q179" i="11"/>
  <c r="T179" i="11" s="1"/>
  <c r="R179" i="11"/>
  <c r="U179" i="11" s="1"/>
  <c r="S179" i="11"/>
  <c r="O180" i="11"/>
  <c r="P180" i="11"/>
  <c r="T180" i="11"/>
  <c r="U180" i="11"/>
  <c r="L181" i="11"/>
  <c r="L179" i="11" s="1"/>
  <c r="O179" i="11" s="1"/>
  <c r="M181" i="11"/>
  <c r="M179" i="11" s="1"/>
  <c r="P179" i="11" s="1"/>
  <c r="N181" i="11"/>
  <c r="N179" i="11" s="1"/>
  <c r="T181" i="11"/>
  <c r="U181" i="11"/>
  <c r="I183" i="11"/>
  <c r="I172" i="11" s="1"/>
  <c r="K172" i="11" s="1"/>
  <c r="K184" i="11"/>
  <c r="L187" i="11"/>
  <c r="M187" i="11"/>
  <c r="N187" i="11"/>
  <c r="P187" i="11"/>
  <c r="Q187" i="11"/>
  <c r="R187" i="11"/>
  <c r="S187" i="11"/>
  <c r="O190" i="11"/>
  <c r="P190" i="11"/>
  <c r="T190" i="11"/>
  <c r="U190" i="11"/>
  <c r="L191" i="11"/>
  <c r="M191" i="11"/>
  <c r="N191" i="11"/>
  <c r="N189" i="11" s="1"/>
  <c r="Q191" i="11"/>
  <c r="Q189" i="11" s="1"/>
  <c r="R191" i="11"/>
  <c r="S191" i="11"/>
  <c r="S189" i="11" s="1"/>
  <c r="O193" i="11"/>
  <c r="P193" i="11"/>
  <c r="T193" i="11"/>
  <c r="U193" i="11"/>
  <c r="L194" i="11"/>
  <c r="M194" i="11"/>
  <c r="N194" i="11"/>
  <c r="Q194" i="11"/>
  <c r="Q192" i="11" s="1"/>
  <c r="T192" i="11" s="1"/>
  <c r="R194" i="11"/>
  <c r="S194" i="11"/>
  <c r="S192" i="11" s="1"/>
  <c r="J195" i="11"/>
  <c r="L196" i="11"/>
  <c r="O196" i="11" s="1"/>
  <c r="P196" i="11"/>
  <c r="I198" i="11"/>
  <c r="I195" i="11" s="1"/>
  <c r="K195" i="11" s="1"/>
  <c r="J199" i="11"/>
  <c r="J202" i="11"/>
  <c r="N203" i="11"/>
  <c r="P203" i="11"/>
  <c r="S203" i="11"/>
  <c r="U203" i="11"/>
  <c r="L204" i="11"/>
  <c r="L205" i="11"/>
  <c r="L206" i="11"/>
  <c r="Q206" i="11"/>
  <c r="Q203" i="11" s="1"/>
  <c r="T203" i="11" s="1"/>
  <c r="L207" i="11"/>
  <c r="I209" i="11"/>
  <c r="I202" i="11" s="1"/>
  <c r="I211" i="11"/>
  <c r="K211" i="11" s="1"/>
  <c r="I212" i="11"/>
  <c r="K212" i="11" s="1"/>
  <c r="J213" i="11"/>
  <c r="N214" i="11"/>
  <c r="P214" i="11"/>
  <c r="S214" i="11"/>
  <c r="U214" i="11"/>
  <c r="L215" i="11"/>
  <c r="L216" i="11"/>
  <c r="L217" i="11"/>
  <c r="Q217" i="11"/>
  <c r="Q214" i="11" s="1"/>
  <c r="T214" i="11" s="1"/>
  <c r="I219" i="11"/>
  <c r="K219" i="11" s="1"/>
  <c r="I220" i="11"/>
  <c r="I213" i="11" s="1"/>
  <c r="K213" i="11" s="1"/>
  <c r="J221" i="11"/>
  <c r="N222" i="11"/>
  <c r="P222" i="11"/>
  <c r="L223" i="11"/>
  <c r="L224" i="11"/>
  <c r="L225" i="11"/>
  <c r="I228" i="11"/>
  <c r="K228" i="11" s="1"/>
  <c r="I229" i="11"/>
  <c r="I221" i="11" s="1"/>
  <c r="K221" i="11" s="1"/>
  <c r="I230" i="11"/>
  <c r="K230" i="11" s="1"/>
  <c r="N232" i="11"/>
  <c r="N233" i="11"/>
  <c r="N234" i="11"/>
  <c r="N235" i="11"/>
  <c r="N236" i="11"/>
  <c r="J238" i="11"/>
  <c r="I240" i="11"/>
  <c r="K240" i="11" s="1"/>
  <c r="J240" i="11"/>
  <c r="I241" i="11"/>
  <c r="J241" i="11"/>
  <c r="K241" i="11"/>
  <c r="J242" i="11"/>
  <c r="N243" i="11"/>
  <c r="P243" i="11"/>
  <c r="L244" i="11"/>
  <c r="L245" i="11"/>
  <c r="L246" i="11"/>
  <c r="L247" i="11"/>
  <c r="I249" i="11"/>
  <c r="K249" i="11" s="1"/>
  <c r="K251" i="11"/>
  <c r="K252" i="11"/>
  <c r="J253" i="11"/>
  <c r="N254" i="11"/>
  <c r="P254" i="11"/>
  <c r="L255" i="11"/>
  <c r="L256" i="11"/>
  <c r="L257" i="11"/>
  <c r="L258" i="11"/>
  <c r="I260" i="11"/>
  <c r="I253" i="11" s="1"/>
  <c r="K253" i="11" s="1"/>
  <c r="K262" i="11"/>
  <c r="K263" i="11"/>
  <c r="J265" i="11"/>
  <c r="L267" i="11"/>
  <c r="O267" i="11" s="1"/>
  <c r="M267" i="11"/>
  <c r="N267" i="11"/>
  <c r="P267" i="11"/>
  <c r="Q267" i="11"/>
  <c r="R267" i="11"/>
  <c r="U267" i="11" s="1"/>
  <c r="S267" i="11"/>
  <c r="O270" i="11"/>
  <c r="P270" i="11"/>
  <c r="T270" i="11"/>
  <c r="U270" i="11"/>
  <c r="L271" i="11"/>
  <c r="M271" i="11"/>
  <c r="N271" i="11"/>
  <c r="N269" i="11" s="1"/>
  <c r="Q271" i="11"/>
  <c r="R271" i="11"/>
  <c r="S271" i="11"/>
  <c r="S269" i="11" s="1"/>
  <c r="Q272" i="11"/>
  <c r="T272" i="11" s="1"/>
  <c r="R272" i="11"/>
  <c r="S272" i="11"/>
  <c r="U272" i="11"/>
  <c r="O273" i="11"/>
  <c r="P273" i="11"/>
  <c r="T273" i="11"/>
  <c r="U273" i="11"/>
  <c r="L274" i="11"/>
  <c r="M274" i="11"/>
  <c r="N274" i="11"/>
  <c r="N272" i="11" s="1"/>
  <c r="T274" i="11"/>
  <c r="U274" i="11"/>
  <c r="I276" i="11"/>
  <c r="K276" i="11" s="1"/>
  <c r="J281" i="11"/>
  <c r="L283" i="11"/>
  <c r="M283" i="11"/>
  <c r="N283" i="11"/>
  <c r="P283" i="11"/>
  <c r="Q283" i="11"/>
  <c r="R283" i="11"/>
  <c r="S283" i="11"/>
  <c r="Q284" i="11"/>
  <c r="R284" i="11"/>
  <c r="U284" i="11" s="1"/>
  <c r="S284" i="11"/>
  <c r="T284" i="11"/>
  <c r="Q285" i="11"/>
  <c r="R285" i="11"/>
  <c r="S285" i="11"/>
  <c r="T285" i="11"/>
  <c r="U285" i="11"/>
  <c r="O286" i="11"/>
  <c r="P286" i="11"/>
  <c r="T286" i="11"/>
  <c r="U286" i="11"/>
  <c r="L287" i="11"/>
  <c r="M287" i="11"/>
  <c r="N287" i="11"/>
  <c r="T287" i="11"/>
  <c r="U287" i="11"/>
  <c r="Q288" i="11"/>
  <c r="T288" i="11" s="1"/>
  <c r="R288" i="11"/>
  <c r="U288" i="11" s="1"/>
  <c r="S288" i="11"/>
  <c r="O289" i="11"/>
  <c r="P289" i="11"/>
  <c r="T289" i="11"/>
  <c r="U289" i="11"/>
  <c r="L290" i="11"/>
  <c r="L288" i="11" s="1"/>
  <c r="O288" i="11" s="1"/>
  <c r="M290" i="11"/>
  <c r="M288" i="11" s="1"/>
  <c r="P288" i="11" s="1"/>
  <c r="N290" i="11"/>
  <c r="N288" i="11" s="1"/>
  <c r="T290" i="11"/>
  <c r="U290" i="11"/>
  <c r="I292" i="11"/>
  <c r="K292" i="11" s="1"/>
  <c r="I293" i="11"/>
  <c r="J293" i="11"/>
  <c r="J280" i="11" s="1"/>
  <c r="I295" i="11"/>
  <c r="K295" i="11" s="1"/>
  <c r="I296" i="11"/>
  <c r="K296" i="11" s="1"/>
  <c r="J302" i="11"/>
  <c r="L304" i="11"/>
  <c r="M304" i="11"/>
  <c r="N304" i="11"/>
  <c r="P304" i="11"/>
  <c r="Q304" i="11"/>
  <c r="R304" i="11"/>
  <c r="S304" i="11"/>
  <c r="O307" i="11"/>
  <c r="P307" i="11"/>
  <c r="T307" i="11"/>
  <c r="U307" i="11"/>
  <c r="L308" i="11"/>
  <c r="M308" i="11"/>
  <c r="N308" i="11"/>
  <c r="N306" i="11" s="1"/>
  <c r="Q308" i="11"/>
  <c r="Q305" i="11" s="1"/>
  <c r="R308" i="11"/>
  <c r="S308" i="11"/>
  <c r="S306" i="11" s="1"/>
  <c r="Q309" i="11"/>
  <c r="R309" i="11"/>
  <c r="S309" i="11"/>
  <c r="T309" i="11"/>
  <c r="U309" i="11"/>
  <c r="O310" i="11"/>
  <c r="P310" i="11"/>
  <c r="T310" i="11"/>
  <c r="U310" i="11"/>
  <c r="L311" i="11"/>
  <c r="M311" i="11"/>
  <c r="N311" i="11"/>
  <c r="N309" i="11" s="1"/>
  <c r="T311" i="11"/>
  <c r="U311" i="11"/>
  <c r="I314" i="11"/>
  <c r="J319" i="11"/>
  <c r="L321" i="11"/>
  <c r="M321" i="11"/>
  <c r="N321" i="11"/>
  <c r="O321" i="11"/>
  <c r="P321" i="11"/>
  <c r="Q321" i="11"/>
  <c r="T321" i="11" s="1"/>
  <c r="R321" i="11"/>
  <c r="S321" i="11"/>
  <c r="S320" i="11" s="1"/>
  <c r="U321" i="11"/>
  <c r="Q322" i="11"/>
  <c r="T322" i="11" s="1"/>
  <c r="R322" i="11"/>
  <c r="S322" i="11"/>
  <c r="Q323" i="11"/>
  <c r="R323" i="11"/>
  <c r="U323" i="11" s="1"/>
  <c r="S323" i="11"/>
  <c r="T323" i="11"/>
  <c r="O324" i="11"/>
  <c r="P324" i="11"/>
  <c r="T324" i="11"/>
  <c r="U324" i="11"/>
  <c r="L325" i="11"/>
  <c r="O325" i="11" s="1"/>
  <c r="M325" i="11"/>
  <c r="M323" i="11" s="1"/>
  <c r="P323" i="11" s="1"/>
  <c r="N325" i="11"/>
  <c r="T325" i="11"/>
  <c r="U325" i="11"/>
  <c r="Q326" i="11"/>
  <c r="T326" i="11" s="1"/>
  <c r="R326" i="11"/>
  <c r="S326" i="11"/>
  <c r="U326" i="11"/>
  <c r="O327" i="11"/>
  <c r="P327" i="11"/>
  <c r="T327" i="11"/>
  <c r="U327" i="11"/>
  <c r="L328" i="11"/>
  <c r="L326" i="11" s="1"/>
  <c r="O326" i="11" s="1"/>
  <c r="M328" i="11"/>
  <c r="N328" i="11"/>
  <c r="N326" i="11" s="1"/>
  <c r="T328" i="11"/>
  <c r="U328" i="11"/>
  <c r="I330" i="11"/>
  <c r="L334" i="11"/>
  <c r="M334" i="11"/>
  <c r="P334" i="11" s="1"/>
  <c r="N334" i="11"/>
  <c r="O334" i="11"/>
  <c r="Q334" i="11"/>
  <c r="R334" i="11"/>
  <c r="S334" i="11"/>
  <c r="S333" i="11" s="1"/>
  <c r="Q335" i="11"/>
  <c r="T335" i="11" s="1"/>
  <c r="R335" i="11"/>
  <c r="U335" i="11" s="1"/>
  <c r="S335" i="11"/>
  <c r="Q336" i="11"/>
  <c r="R336" i="11"/>
  <c r="S336" i="11"/>
  <c r="T336" i="11"/>
  <c r="U336" i="11"/>
  <c r="O337" i="11"/>
  <c r="P337" i="11"/>
  <c r="T337" i="11"/>
  <c r="U337" i="11"/>
  <c r="L338" i="11"/>
  <c r="M338" i="11"/>
  <c r="N338" i="11"/>
  <c r="N336" i="11" s="1"/>
  <c r="T338" i="11"/>
  <c r="U338" i="11"/>
  <c r="Q339" i="11"/>
  <c r="T339" i="11" s="1"/>
  <c r="R339" i="11"/>
  <c r="U339" i="11" s="1"/>
  <c r="S339" i="11"/>
  <c r="O340" i="11"/>
  <c r="P340" i="11"/>
  <c r="T340" i="11"/>
  <c r="U340" i="11"/>
  <c r="L341" i="11"/>
  <c r="L339" i="11" s="1"/>
  <c r="O339" i="11" s="1"/>
  <c r="M341" i="11"/>
  <c r="M339" i="11" s="1"/>
  <c r="P339" i="11" s="1"/>
  <c r="N341" i="11"/>
  <c r="N339" i="11" s="1"/>
  <c r="T341" i="11"/>
  <c r="U341" i="11"/>
  <c r="I344" i="11"/>
  <c r="I332" i="11" s="1"/>
  <c r="J344" i="11"/>
  <c r="I346" i="11"/>
  <c r="J346" i="11"/>
  <c r="J347" i="11"/>
  <c r="J348" i="11"/>
  <c r="J349" i="11"/>
  <c r="D350" i="11"/>
  <c r="J352" i="11"/>
  <c r="J353" i="11"/>
  <c r="D354" i="11"/>
  <c r="R356" i="11"/>
  <c r="U356" i="11" s="1"/>
  <c r="L357" i="11"/>
  <c r="O357" i="11" s="1"/>
  <c r="M357" i="11"/>
  <c r="N357" i="11"/>
  <c r="Q357" i="11"/>
  <c r="T357" i="11" s="1"/>
  <c r="R357" i="11"/>
  <c r="U357" i="11" s="1"/>
  <c r="S357" i="11"/>
  <c r="Q358" i="11"/>
  <c r="R358" i="11"/>
  <c r="S358" i="11"/>
  <c r="T358" i="11"/>
  <c r="U358" i="11"/>
  <c r="Q359" i="11"/>
  <c r="T359" i="11" s="1"/>
  <c r="R359" i="11"/>
  <c r="S359" i="11"/>
  <c r="U359" i="11"/>
  <c r="O360" i="11"/>
  <c r="P360" i="11"/>
  <c r="T360" i="11"/>
  <c r="U360" i="11"/>
  <c r="L361" i="11"/>
  <c r="M361" i="11"/>
  <c r="M359" i="11" s="1"/>
  <c r="N361" i="11"/>
  <c r="N359" i="11" s="1"/>
  <c r="T361" i="11"/>
  <c r="U361" i="11"/>
  <c r="Q362" i="11"/>
  <c r="T362" i="11" s="1"/>
  <c r="R362" i="11"/>
  <c r="S362" i="11"/>
  <c r="U362" i="11"/>
  <c r="O363" i="11"/>
  <c r="P363" i="11"/>
  <c r="T363" i="11"/>
  <c r="U363" i="11"/>
  <c r="L364" i="11"/>
  <c r="O364" i="11" s="1"/>
  <c r="M364" i="11"/>
  <c r="M362" i="11" s="1"/>
  <c r="P362" i="11" s="1"/>
  <c r="N364" i="11"/>
  <c r="N362" i="11" s="1"/>
  <c r="T364" i="11"/>
  <c r="U364" i="11"/>
  <c r="J367" i="11"/>
  <c r="K367" i="11"/>
  <c r="I368" i="11"/>
  <c r="J368" i="11"/>
  <c r="I369" i="11"/>
  <c r="J369" i="11"/>
  <c r="J370" i="11"/>
  <c r="K370" i="11"/>
  <c r="I371" i="11"/>
  <c r="J371" i="11"/>
  <c r="J365" i="11" s="1"/>
  <c r="J372" i="11"/>
  <c r="K372" i="11"/>
  <c r="D373" i="11"/>
  <c r="L376" i="11"/>
  <c r="M376" i="11"/>
  <c r="N376" i="11"/>
  <c r="O376" i="11"/>
  <c r="P376" i="11"/>
  <c r="Q376" i="11"/>
  <c r="T376" i="11" s="1"/>
  <c r="R376" i="11"/>
  <c r="S376" i="11"/>
  <c r="U376" i="11"/>
  <c r="O379" i="11"/>
  <c r="P379" i="11"/>
  <c r="T379" i="11"/>
  <c r="U379" i="11"/>
  <c r="L380" i="11"/>
  <c r="L378" i="11" s="1"/>
  <c r="O378" i="11" s="1"/>
  <c r="M380" i="11"/>
  <c r="N380" i="11"/>
  <c r="Q380" i="11"/>
  <c r="R380" i="11"/>
  <c r="R378" i="11" s="1"/>
  <c r="S380" i="11"/>
  <c r="S377" i="11" s="1"/>
  <c r="S375" i="11" s="1"/>
  <c r="Q381" i="11"/>
  <c r="T381" i="11" s="1"/>
  <c r="R381" i="11"/>
  <c r="U381" i="11" s="1"/>
  <c r="S381" i="11"/>
  <c r="O382" i="11"/>
  <c r="P382" i="11"/>
  <c r="T382" i="11"/>
  <c r="U382" i="11"/>
  <c r="L383" i="11"/>
  <c r="L381" i="11" s="1"/>
  <c r="O381" i="11" s="1"/>
  <c r="M383" i="11"/>
  <c r="M381" i="11" s="1"/>
  <c r="P381" i="11" s="1"/>
  <c r="N383" i="11"/>
  <c r="N381" i="11" s="1"/>
  <c r="T383" i="11"/>
  <c r="U383" i="11"/>
  <c r="J385" i="11"/>
  <c r="K385" i="11"/>
  <c r="I386" i="11"/>
  <c r="J386" i="11"/>
  <c r="J387" i="11"/>
  <c r="K387" i="11"/>
  <c r="I388" i="11"/>
  <c r="K388" i="11" s="1"/>
  <c r="J388" i="11"/>
  <c r="I391" i="11"/>
  <c r="K391" i="11" s="1"/>
  <c r="J391" i="11"/>
  <c r="L393" i="11"/>
  <c r="L392" i="11" s="1"/>
  <c r="O392" i="11" s="1"/>
  <c r="M393" i="11"/>
  <c r="N393" i="11"/>
  <c r="P393" i="11"/>
  <c r="Q393" i="11"/>
  <c r="R393" i="11"/>
  <c r="S393" i="11"/>
  <c r="L394" i="11"/>
  <c r="O394" i="11" s="1"/>
  <c r="M394" i="11"/>
  <c r="P394" i="11" s="1"/>
  <c r="N394" i="11"/>
  <c r="N392" i="11" s="1"/>
  <c r="L395" i="11"/>
  <c r="O395" i="11" s="1"/>
  <c r="M395" i="11"/>
  <c r="P395" i="11" s="1"/>
  <c r="N395" i="11"/>
  <c r="O396" i="11"/>
  <c r="P396" i="11"/>
  <c r="T396" i="11"/>
  <c r="U396" i="11"/>
  <c r="O397" i="11"/>
  <c r="P397" i="11"/>
  <c r="Q397" i="11"/>
  <c r="R397" i="11"/>
  <c r="R395" i="11" s="1"/>
  <c r="U395" i="11" s="1"/>
  <c r="S397" i="11"/>
  <c r="S394" i="11" s="1"/>
  <c r="L398" i="11"/>
  <c r="O398" i="11" s="1"/>
  <c r="M398" i="11"/>
  <c r="P398" i="11" s="1"/>
  <c r="N398" i="11"/>
  <c r="Q398" i="11"/>
  <c r="T398" i="11" s="1"/>
  <c r="R398" i="11"/>
  <c r="U398" i="11" s="1"/>
  <c r="S398" i="11"/>
  <c r="O399" i="11"/>
  <c r="P399" i="11"/>
  <c r="T399" i="11"/>
  <c r="U399" i="11"/>
  <c r="O400" i="11"/>
  <c r="P400" i="11"/>
  <c r="T400" i="11"/>
  <c r="U400" i="11"/>
  <c r="L414" i="11"/>
  <c r="M414" i="11"/>
  <c r="P414" i="11" s="1"/>
  <c r="N414" i="11"/>
  <c r="Q414" i="11"/>
  <c r="R414" i="11"/>
  <c r="U414" i="11" s="1"/>
  <c r="S414" i="11"/>
  <c r="O417" i="11"/>
  <c r="P417" i="11"/>
  <c r="T417" i="11"/>
  <c r="U417" i="11"/>
  <c r="L418" i="11"/>
  <c r="M418" i="11"/>
  <c r="M416" i="11" s="1"/>
  <c r="N418" i="11"/>
  <c r="N416" i="11" s="1"/>
  <c r="Q418" i="11"/>
  <c r="Q416" i="11" s="1"/>
  <c r="R418" i="11"/>
  <c r="S418" i="11"/>
  <c r="S416" i="11" s="1"/>
  <c r="Q419" i="11"/>
  <c r="R419" i="11"/>
  <c r="U419" i="11" s="1"/>
  <c r="S419" i="11"/>
  <c r="T419" i="11"/>
  <c r="O420" i="11"/>
  <c r="P420" i="11"/>
  <c r="T420" i="11"/>
  <c r="U420" i="11"/>
  <c r="L421" i="11"/>
  <c r="O421" i="11" s="1"/>
  <c r="M421" i="11"/>
  <c r="P421" i="11" s="1"/>
  <c r="N421" i="11"/>
  <c r="N419" i="11" s="1"/>
  <c r="T421" i="11"/>
  <c r="U421" i="11"/>
  <c r="I424" i="11"/>
  <c r="K424" i="11" s="1"/>
  <c r="J424" i="11"/>
  <c r="I425" i="11"/>
  <c r="K425" i="11" s="1"/>
  <c r="J425" i="11"/>
  <c r="I432" i="11"/>
  <c r="K432" i="11" s="1"/>
  <c r="J432" i="11"/>
  <c r="I433" i="11"/>
  <c r="K433" i="11" s="1"/>
  <c r="J433" i="11"/>
  <c r="I440" i="11"/>
  <c r="I423" i="11" s="1"/>
  <c r="I441" i="11"/>
  <c r="K441" i="11" s="1"/>
  <c r="J446" i="11"/>
  <c r="J440" i="11" s="1"/>
  <c r="J423" i="11" s="1"/>
  <c r="J412" i="11" s="1"/>
  <c r="J447" i="11"/>
  <c r="J441" i="11" s="1"/>
  <c r="I457" i="11"/>
  <c r="I456" i="11" s="1"/>
  <c r="I458" i="11"/>
  <c r="K458" i="11" s="1"/>
  <c r="J459" i="11"/>
  <c r="J457" i="11" s="1"/>
  <c r="J460" i="11"/>
  <c r="J458" i="11" s="1"/>
  <c r="J467" i="11"/>
  <c r="J468" i="11"/>
  <c r="J475" i="11"/>
  <c r="K475" i="11"/>
  <c r="J476" i="11"/>
  <c r="K476" i="11"/>
  <c r="J477" i="11"/>
  <c r="K477" i="11"/>
  <c r="J482" i="11"/>
  <c r="J483" i="11"/>
  <c r="I484" i="11"/>
  <c r="K484" i="11" s="1"/>
  <c r="J484" i="11"/>
  <c r="I485" i="11"/>
  <c r="J485" i="11"/>
  <c r="K485" i="11"/>
  <c r="L494" i="11"/>
  <c r="M494" i="11"/>
  <c r="P494" i="11" s="1"/>
  <c r="N494" i="11"/>
  <c r="O494" i="11"/>
  <c r="Q494" i="11"/>
  <c r="T494" i="11" s="1"/>
  <c r="R494" i="11"/>
  <c r="S494" i="11"/>
  <c r="U494" i="11"/>
  <c r="O497" i="11"/>
  <c r="P497" i="11"/>
  <c r="T497" i="11"/>
  <c r="U497" i="11"/>
  <c r="L498" i="11"/>
  <c r="O498" i="11" s="1"/>
  <c r="M498" i="11"/>
  <c r="P498" i="11" s="1"/>
  <c r="N498" i="11"/>
  <c r="Q498" i="11"/>
  <c r="T498" i="11" s="1"/>
  <c r="R498" i="11"/>
  <c r="S498" i="11"/>
  <c r="S495" i="11" s="1"/>
  <c r="S493" i="11" s="1"/>
  <c r="Q499" i="11"/>
  <c r="T499" i="11" s="1"/>
  <c r="R499" i="11"/>
  <c r="U499" i="11" s="1"/>
  <c r="S499" i="11"/>
  <c r="O500" i="11"/>
  <c r="P500" i="11"/>
  <c r="T500" i="11"/>
  <c r="U500" i="11"/>
  <c r="L501" i="11"/>
  <c r="O501" i="11" s="1"/>
  <c r="M501" i="11"/>
  <c r="M499" i="11" s="1"/>
  <c r="P499" i="11" s="1"/>
  <c r="N501" i="11"/>
  <c r="N499" i="11" s="1"/>
  <c r="T501" i="11"/>
  <c r="U501" i="11"/>
  <c r="I503" i="11"/>
  <c r="I492" i="11" s="1"/>
  <c r="K492" i="11" s="1"/>
  <c r="I504" i="11"/>
  <c r="K504" i="11" s="1"/>
  <c r="I505" i="11"/>
  <c r="K505" i="11" s="1"/>
  <c r="I506" i="11"/>
  <c r="K506" i="11" s="1"/>
  <c r="I507" i="11"/>
  <c r="K507" i="11" s="1"/>
  <c r="K508" i="11"/>
  <c r="I509" i="11"/>
  <c r="K509" i="11" s="1"/>
  <c r="I512" i="11"/>
  <c r="K512" i="11" s="1"/>
  <c r="J512" i="11"/>
  <c r="L514" i="11"/>
  <c r="O514" i="11" s="1"/>
  <c r="M514" i="11"/>
  <c r="N514" i="11"/>
  <c r="Q514" i="11"/>
  <c r="R514" i="11"/>
  <c r="U514" i="11" s="1"/>
  <c r="S514" i="11"/>
  <c r="Q515" i="11"/>
  <c r="T515" i="11" s="1"/>
  <c r="R515" i="11"/>
  <c r="U515" i="11" s="1"/>
  <c r="S515" i="11"/>
  <c r="Q516" i="11"/>
  <c r="R516" i="11"/>
  <c r="U516" i="11" s="1"/>
  <c r="S516" i="11"/>
  <c r="T516" i="11"/>
  <c r="O517" i="11"/>
  <c r="P517" i="11"/>
  <c r="T517" i="11"/>
  <c r="U517" i="11"/>
  <c r="L518" i="11"/>
  <c r="O518" i="11" s="1"/>
  <c r="M518" i="11"/>
  <c r="P518" i="11" s="1"/>
  <c r="N518" i="11"/>
  <c r="N516" i="11" s="1"/>
  <c r="T518" i="11"/>
  <c r="U518" i="11"/>
  <c r="Q519" i="11"/>
  <c r="T519" i="11" s="1"/>
  <c r="R519" i="11"/>
  <c r="U519" i="11" s="1"/>
  <c r="S519" i="11"/>
  <c r="O520" i="11"/>
  <c r="P520" i="11"/>
  <c r="T520" i="11"/>
  <c r="U520" i="11"/>
  <c r="L521" i="11"/>
  <c r="L519" i="11" s="1"/>
  <c r="O519" i="11" s="1"/>
  <c r="M521" i="11"/>
  <c r="M519" i="11" s="1"/>
  <c r="P519" i="11" s="1"/>
  <c r="N521" i="11"/>
  <c r="N519" i="11" s="1"/>
  <c r="T521" i="11"/>
  <c r="U521" i="11"/>
  <c r="K523" i="11"/>
  <c r="K524" i="11"/>
  <c r="I533" i="11"/>
  <c r="J533" i="11"/>
  <c r="K533" i="11"/>
  <c r="L535" i="11"/>
  <c r="M535" i="11"/>
  <c r="N535" i="11"/>
  <c r="Q535" i="11"/>
  <c r="T535" i="11" s="1"/>
  <c r="R535" i="11"/>
  <c r="S535" i="11"/>
  <c r="S534" i="11" s="1"/>
  <c r="Q536" i="11"/>
  <c r="R536" i="11"/>
  <c r="S536" i="11"/>
  <c r="T536" i="11"/>
  <c r="U536" i="11"/>
  <c r="Q537" i="11"/>
  <c r="R537" i="11"/>
  <c r="S537" i="11"/>
  <c r="T537" i="11"/>
  <c r="U537" i="11"/>
  <c r="O538" i="11"/>
  <c r="P538" i="11"/>
  <c r="T538" i="11"/>
  <c r="U538" i="11"/>
  <c r="L539" i="11"/>
  <c r="L537" i="11" s="1"/>
  <c r="O537" i="11" s="1"/>
  <c r="M539" i="11"/>
  <c r="P539" i="11" s="1"/>
  <c r="N539" i="11"/>
  <c r="T539" i="11"/>
  <c r="U539" i="11"/>
  <c r="Q540" i="11"/>
  <c r="T540" i="11" s="1"/>
  <c r="R540" i="11"/>
  <c r="U540" i="11" s="1"/>
  <c r="S540" i="11"/>
  <c r="O541" i="11"/>
  <c r="P541" i="11"/>
  <c r="T541" i="11"/>
  <c r="U541" i="11"/>
  <c r="L542" i="11"/>
  <c r="L540" i="11" s="1"/>
  <c r="O540" i="11" s="1"/>
  <c r="M542" i="11"/>
  <c r="M540" i="11" s="1"/>
  <c r="P540" i="11" s="1"/>
  <c r="N542" i="11"/>
  <c r="N540" i="11" s="1"/>
  <c r="T542" i="11"/>
  <c r="U542" i="11"/>
  <c r="I554" i="11"/>
  <c r="J554" i="11"/>
  <c r="K554" i="11"/>
  <c r="L556" i="11"/>
  <c r="M556" i="11"/>
  <c r="N556" i="11"/>
  <c r="O556" i="11"/>
  <c r="Q556" i="11"/>
  <c r="T556" i="11" s="1"/>
  <c r="R556" i="11"/>
  <c r="U556" i="11" s="1"/>
  <c r="S556" i="11"/>
  <c r="Q557" i="11"/>
  <c r="T557" i="11" s="1"/>
  <c r="R557" i="11"/>
  <c r="R555" i="11" s="1"/>
  <c r="U555" i="11" s="1"/>
  <c r="S557" i="11"/>
  <c r="Q558" i="11"/>
  <c r="R558" i="11"/>
  <c r="U558" i="11" s="1"/>
  <c r="S558" i="11"/>
  <c r="T558" i="11"/>
  <c r="O559" i="11"/>
  <c r="P559" i="11"/>
  <c r="T559" i="11"/>
  <c r="U559" i="11"/>
  <c r="L560" i="11"/>
  <c r="L558" i="11" s="1"/>
  <c r="O558" i="11" s="1"/>
  <c r="M560" i="11"/>
  <c r="M558" i="11" s="1"/>
  <c r="P558" i="11" s="1"/>
  <c r="N560" i="11"/>
  <c r="N558" i="11" s="1"/>
  <c r="T560" i="11"/>
  <c r="U560" i="11"/>
  <c r="Q561" i="11"/>
  <c r="T561" i="11" s="1"/>
  <c r="R561" i="11"/>
  <c r="S561" i="11"/>
  <c r="U561" i="11"/>
  <c r="O562" i="11"/>
  <c r="P562" i="11"/>
  <c r="T562" i="11"/>
  <c r="U562" i="11"/>
  <c r="L563" i="11"/>
  <c r="L561" i="11" s="1"/>
  <c r="O561" i="11" s="1"/>
  <c r="M563" i="11"/>
  <c r="P563" i="11" s="1"/>
  <c r="N563" i="11"/>
  <c r="N561" i="11" s="1"/>
  <c r="T563" i="11"/>
  <c r="U563" i="11"/>
  <c r="I575" i="11"/>
  <c r="J575" i="11"/>
  <c r="K575" i="11"/>
  <c r="L577" i="11"/>
  <c r="M577" i="11"/>
  <c r="N577" i="11"/>
  <c r="Q577" i="11"/>
  <c r="T577" i="11" s="1"/>
  <c r="R577" i="11"/>
  <c r="S577" i="11"/>
  <c r="Q578" i="11"/>
  <c r="R578" i="11"/>
  <c r="S578" i="11"/>
  <c r="T578" i="11"/>
  <c r="U578" i="11"/>
  <c r="Q579" i="11"/>
  <c r="R579" i="11"/>
  <c r="S579" i="11"/>
  <c r="T579" i="11"/>
  <c r="U579" i="11"/>
  <c r="O580" i="11"/>
  <c r="P580" i="11"/>
  <c r="T580" i="11"/>
  <c r="U580" i="11"/>
  <c r="L581" i="11"/>
  <c r="L579" i="11" s="1"/>
  <c r="O579" i="11" s="1"/>
  <c r="M581" i="11"/>
  <c r="P581" i="11" s="1"/>
  <c r="N581" i="11"/>
  <c r="T581" i="11"/>
  <c r="U581" i="11"/>
  <c r="Q582" i="11"/>
  <c r="T582" i="11" s="1"/>
  <c r="R582" i="11"/>
  <c r="U582" i="11" s="1"/>
  <c r="S582" i="11"/>
  <c r="O583" i="11"/>
  <c r="P583" i="11"/>
  <c r="T583" i="11"/>
  <c r="U583" i="11"/>
  <c r="L584" i="11"/>
  <c r="L582" i="11" s="1"/>
  <c r="O582" i="11" s="1"/>
  <c r="M584" i="11"/>
  <c r="M582" i="11" s="1"/>
  <c r="P582" i="11" s="1"/>
  <c r="N584" i="11"/>
  <c r="N582" i="11" s="1"/>
  <c r="T584" i="11"/>
  <c r="U584" i="11"/>
  <c r="L600" i="11"/>
  <c r="M600" i="11"/>
  <c r="P600" i="11" s="1"/>
  <c r="N600" i="11"/>
  <c r="Q600" i="11"/>
  <c r="T600" i="11" s="1"/>
  <c r="R600" i="11"/>
  <c r="S600" i="11"/>
  <c r="O603" i="11"/>
  <c r="P603" i="11"/>
  <c r="T603" i="11"/>
  <c r="U603" i="11"/>
  <c r="L604" i="11"/>
  <c r="L602" i="11" s="1"/>
  <c r="O602" i="11" s="1"/>
  <c r="M604" i="11"/>
  <c r="P604" i="11" s="1"/>
  <c r="N604" i="11"/>
  <c r="Q604" i="11"/>
  <c r="R604" i="11"/>
  <c r="R602" i="11" s="1"/>
  <c r="U602" i="11" s="1"/>
  <c r="S604" i="11"/>
  <c r="S602" i="11" s="1"/>
  <c r="O606" i="11"/>
  <c r="P606" i="11"/>
  <c r="T606" i="11"/>
  <c r="U606" i="11"/>
  <c r="L607" i="11"/>
  <c r="L605" i="11" s="1"/>
  <c r="O605" i="11" s="1"/>
  <c r="M607" i="11"/>
  <c r="P607" i="11" s="1"/>
  <c r="N607" i="11"/>
  <c r="N605" i="11" s="1"/>
  <c r="Q607" i="11"/>
  <c r="Q605" i="11" s="1"/>
  <c r="T605" i="11" s="1"/>
  <c r="R607" i="11"/>
  <c r="R605" i="11" s="1"/>
  <c r="U605" i="11" s="1"/>
  <c r="S607" i="11"/>
  <c r="S605" i="11" s="1"/>
  <c r="L617" i="11"/>
  <c r="M617" i="11"/>
  <c r="N617" i="11"/>
  <c r="N616" i="11" s="1"/>
  <c r="O617" i="11"/>
  <c r="Q617" i="11"/>
  <c r="R617" i="11"/>
  <c r="S617" i="11"/>
  <c r="T617" i="11"/>
  <c r="U617" i="11"/>
  <c r="L618" i="11"/>
  <c r="L616" i="11" s="1"/>
  <c r="O616" i="11" s="1"/>
  <c r="M618" i="11"/>
  <c r="N618" i="11"/>
  <c r="P618" i="11"/>
  <c r="L619" i="11"/>
  <c r="O619" i="11" s="1"/>
  <c r="M619" i="11"/>
  <c r="P619" i="11" s="1"/>
  <c r="N619" i="11"/>
  <c r="O620" i="11"/>
  <c r="P620" i="11"/>
  <c r="T620" i="11"/>
  <c r="U620" i="11"/>
  <c r="O621" i="11"/>
  <c r="P621" i="11"/>
  <c r="Q621" i="11"/>
  <c r="R621" i="11"/>
  <c r="R619" i="11" s="1"/>
  <c r="S621" i="11"/>
  <c r="S618" i="11" s="1"/>
  <c r="L622" i="11"/>
  <c r="M622" i="11"/>
  <c r="N622" i="11"/>
  <c r="O622" i="11"/>
  <c r="P622" i="11"/>
  <c r="Q622" i="11"/>
  <c r="R622" i="11"/>
  <c r="S622" i="11"/>
  <c r="T622" i="11"/>
  <c r="U622" i="11"/>
  <c r="O623" i="11"/>
  <c r="P623" i="11"/>
  <c r="T623" i="11"/>
  <c r="U623" i="11"/>
  <c r="O624" i="11"/>
  <c r="P624" i="11"/>
  <c r="T624" i="11"/>
  <c r="U624" i="11"/>
  <c r="I626" i="11"/>
  <c r="K632" i="11" s="1"/>
  <c r="I627" i="11"/>
  <c r="K627" i="11" s="1"/>
  <c r="I628" i="11"/>
  <c r="K628" i="11" s="1"/>
  <c r="J632" i="11"/>
  <c r="J626" i="11" s="1"/>
  <c r="J615" i="11" s="1"/>
  <c r="I635" i="11"/>
  <c r="K635" i="11" s="1"/>
  <c r="J636" i="11"/>
  <c r="J635" i="11" s="1"/>
  <c r="L643" i="11"/>
  <c r="L642" i="11" s="1"/>
  <c r="O642" i="11" s="1"/>
  <c r="M643" i="11"/>
  <c r="P643" i="11" s="1"/>
  <c r="N643" i="11"/>
  <c r="N642" i="11" s="1"/>
  <c r="Q643" i="11"/>
  <c r="R643" i="11"/>
  <c r="S643" i="11"/>
  <c r="T643" i="11"/>
  <c r="U643" i="11"/>
  <c r="L644" i="11"/>
  <c r="M644" i="11"/>
  <c r="N644" i="11"/>
  <c r="O644" i="11"/>
  <c r="P644" i="11"/>
  <c r="L645" i="11"/>
  <c r="O645" i="11" s="1"/>
  <c r="M645" i="11"/>
  <c r="P645" i="11" s="1"/>
  <c r="N645" i="11"/>
  <c r="O646" i="11"/>
  <c r="P646" i="11"/>
  <c r="T646" i="11"/>
  <c r="U646" i="11"/>
  <c r="O647" i="11"/>
  <c r="P647" i="11"/>
  <c r="Q647" i="11"/>
  <c r="Q645" i="11" s="1"/>
  <c r="T645" i="11" s="1"/>
  <c r="R647" i="11"/>
  <c r="R644" i="11" s="1"/>
  <c r="U644" i="11" s="1"/>
  <c r="S647" i="11"/>
  <c r="S644" i="11" s="1"/>
  <c r="S642" i="11" s="1"/>
  <c r="L648" i="11"/>
  <c r="M648" i="11"/>
  <c r="P648" i="11" s="1"/>
  <c r="N648" i="11"/>
  <c r="O648" i="11"/>
  <c r="Q648" i="11"/>
  <c r="T648" i="11" s="1"/>
  <c r="R648" i="11"/>
  <c r="S648" i="11"/>
  <c r="U648" i="11"/>
  <c r="O649" i="11"/>
  <c r="P649" i="11"/>
  <c r="T649" i="11"/>
  <c r="U649" i="11"/>
  <c r="O650" i="11"/>
  <c r="P650" i="11"/>
  <c r="T650" i="11"/>
  <c r="U650" i="11"/>
  <c r="I652" i="11"/>
  <c r="K652" i="11" s="1"/>
  <c r="J652" i="11"/>
  <c r="I653" i="11"/>
  <c r="K653" i="11" s="1"/>
  <c r="J653" i="11"/>
  <c r="I654" i="11"/>
  <c r="K654" i="11" s="1"/>
  <c r="J654" i="11"/>
  <c r="I657" i="11"/>
  <c r="I660" i="11"/>
  <c r="I661" i="11"/>
  <c r="K661" i="11" s="1"/>
  <c r="J661" i="11"/>
  <c r="J671" i="11"/>
  <c r="J672" i="11"/>
  <c r="I673" i="11"/>
  <c r="K673" i="11" s="1"/>
  <c r="J673" i="11"/>
  <c r="I674" i="11"/>
  <c r="K674" i="11" s="1"/>
  <c r="I675" i="11"/>
  <c r="K675" i="11" s="1"/>
  <c r="I676" i="11"/>
  <c r="K676" i="11" s="1"/>
  <c r="J676" i="11"/>
  <c r="J677" i="11"/>
  <c r="I678" i="11"/>
  <c r="K678" i="11" s="1"/>
  <c r="J678" i="11"/>
  <c r="I679" i="11"/>
  <c r="K679" i="11" s="1"/>
  <c r="J679" i="11"/>
  <c r="J680" i="11"/>
  <c r="I681" i="11"/>
  <c r="K681" i="11" s="1"/>
  <c r="J681" i="11"/>
  <c r="I682" i="11"/>
  <c r="K682" i="11" s="1"/>
  <c r="J682" i="11"/>
  <c r="L691" i="11"/>
  <c r="M691" i="11"/>
  <c r="P691" i="11" s="1"/>
  <c r="N691" i="11"/>
  <c r="O691" i="11"/>
  <c r="Q691" i="11"/>
  <c r="R691" i="11"/>
  <c r="U691" i="11" s="1"/>
  <c r="S691" i="11"/>
  <c r="T691" i="11"/>
  <c r="L692" i="11"/>
  <c r="O692" i="11" s="1"/>
  <c r="M692" i="11"/>
  <c r="P692" i="11" s="1"/>
  <c r="N692" i="11"/>
  <c r="L693" i="11"/>
  <c r="O693" i="11" s="1"/>
  <c r="M693" i="11"/>
  <c r="P693" i="11" s="1"/>
  <c r="N693" i="11"/>
  <c r="O694" i="11"/>
  <c r="P694" i="11"/>
  <c r="T694" i="11"/>
  <c r="U694" i="11"/>
  <c r="O695" i="11"/>
  <c r="P695" i="11"/>
  <c r="Q695" i="11"/>
  <c r="Q693" i="11" s="1"/>
  <c r="R695" i="11"/>
  <c r="R692" i="11" s="1"/>
  <c r="S695" i="11"/>
  <c r="S692" i="11" s="1"/>
  <c r="L696" i="11"/>
  <c r="M696" i="11"/>
  <c r="P696" i="11" s="1"/>
  <c r="N696" i="11"/>
  <c r="O696" i="11"/>
  <c r="Q696" i="11"/>
  <c r="T696" i="11" s="1"/>
  <c r="R696" i="11"/>
  <c r="U696" i="11" s="1"/>
  <c r="S696" i="11"/>
  <c r="O697" i="11"/>
  <c r="P697" i="11"/>
  <c r="T697" i="11"/>
  <c r="U697" i="11"/>
  <c r="O698" i="11"/>
  <c r="P698" i="11"/>
  <c r="T698" i="11"/>
  <c r="U698" i="11"/>
  <c r="I700" i="11"/>
  <c r="K700" i="11" s="1"/>
  <c r="K702" i="11"/>
  <c r="I703" i="11"/>
  <c r="J703" i="11"/>
  <c r="J704" i="11"/>
  <c r="K704" i="11"/>
  <c r="I705" i="11"/>
  <c r="J705" i="11"/>
  <c r="J706" i="11"/>
  <c r="K706" i="11"/>
  <c r="I707" i="11"/>
  <c r="I689" i="11" s="1"/>
  <c r="J707" i="11"/>
  <c r="J689" i="11" s="1"/>
  <c r="J708" i="11"/>
  <c r="K708" i="11"/>
  <c r="I709" i="11"/>
  <c r="J709" i="11"/>
  <c r="J710" i="11"/>
  <c r="K710" i="11"/>
  <c r="J712" i="11"/>
  <c r="K712" i="11"/>
  <c r="L715" i="11"/>
  <c r="M715" i="11"/>
  <c r="N715" i="11"/>
  <c r="P715" i="11"/>
  <c r="Q715" i="11"/>
  <c r="T715" i="11" s="1"/>
  <c r="R715" i="11"/>
  <c r="S715" i="11"/>
  <c r="L716" i="11"/>
  <c r="M716" i="11"/>
  <c r="P716" i="11" s="1"/>
  <c r="N716" i="11"/>
  <c r="N714" i="11" s="1"/>
  <c r="O716" i="11"/>
  <c r="Q716" i="11"/>
  <c r="T716" i="11" s="1"/>
  <c r="R716" i="11"/>
  <c r="S716" i="11"/>
  <c r="U716" i="11"/>
  <c r="L717" i="11"/>
  <c r="O717" i="11" s="1"/>
  <c r="M717" i="11"/>
  <c r="N717" i="11"/>
  <c r="P717" i="11"/>
  <c r="Q717" i="11"/>
  <c r="T717" i="11" s="1"/>
  <c r="R717" i="11"/>
  <c r="U717" i="11" s="1"/>
  <c r="S717" i="11"/>
  <c r="O718" i="11"/>
  <c r="P718" i="11"/>
  <c r="T718" i="11"/>
  <c r="U718" i="11"/>
  <c r="O719" i="11"/>
  <c r="P719" i="11"/>
  <c r="T719" i="11"/>
  <c r="U719" i="11"/>
  <c r="L720" i="11"/>
  <c r="O720" i="11" s="1"/>
  <c r="M720" i="11"/>
  <c r="N720" i="11"/>
  <c r="P720" i="11"/>
  <c r="Q720" i="11"/>
  <c r="T720" i="11" s="1"/>
  <c r="R720" i="11"/>
  <c r="U720" i="11" s="1"/>
  <c r="S720" i="11"/>
  <c r="O721" i="11"/>
  <c r="P721" i="11"/>
  <c r="T721" i="11"/>
  <c r="U721" i="11"/>
  <c r="O722" i="11"/>
  <c r="P722" i="11"/>
  <c r="T722" i="11"/>
  <c r="U722" i="11"/>
  <c r="I726" i="11"/>
  <c r="K726" i="11" s="1"/>
  <c r="J726" i="11"/>
  <c r="I727" i="11"/>
  <c r="J727" i="11"/>
  <c r="L729" i="11"/>
  <c r="M729" i="11"/>
  <c r="N729" i="11"/>
  <c r="N728" i="11" s="1"/>
  <c r="Q729" i="11"/>
  <c r="T729" i="11" s="1"/>
  <c r="R729" i="11"/>
  <c r="S729" i="11"/>
  <c r="L730" i="11"/>
  <c r="O730" i="11" s="1"/>
  <c r="M730" i="11"/>
  <c r="P730" i="11" s="1"/>
  <c r="N730" i="11"/>
  <c r="L731" i="11"/>
  <c r="M731" i="11"/>
  <c r="P731" i="11" s="1"/>
  <c r="N731" i="11"/>
  <c r="O731" i="11"/>
  <c r="O732" i="11"/>
  <c r="P732" i="11"/>
  <c r="T732" i="11"/>
  <c r="U732" i="11"/>
  <c r="O733" i="11"/>
  <c r="P733" i="11"/>
  <c r="Q733" i="11"/>
  <c r="Q731" i="11" s="1"/>
  <c r="R733" i="11"/>
  <c r="R731" i="11" s="1"/>
  <c r="S733" i="11"/>
  <c r="S730" i="11" s="1"/>
  <c r="L734" i="11"/>
  <c r="O734" i="11" s="1"/>
  <c r="M734" i="11"/>
  <c r="P734" i="11" s="1"/>
  <c r="N734" i="11"/>
  <c r="Q734" i="11"/>
  <c r="T734" i="11" s="1"/>
  <c r="R734" i="11"/>
  <c r="U734" i="11" s="1"/>
  <c r="S734" i="11"/>
  <c r="O735" i="11"/>
  <c r="P735" i="11"/>
  <c r="T735" i="11"/>
  <c r="U735" i="11"/>
  <c r="O736" i="11"/>
  <c r="P736" i="11"/>
  <c r="T736" i="11"/>
  <c r="U736" i="11"/>
  <c r="I740" i="11"/>
  <c r="K740" i="11" s="1"/>
  <c r="I742" i="11"/>
  <c r="K742" i="11" s="1"/>
  <c r="I744" i="11"/>
  <c r="K744" i="11" s="1"/>
  <c r="I746" i="11"/>
  <c r="K746" i="11" s="1"/>
  <c r="I749" i="11"/>
  <c r="K749" i="11" s="1"/>
  <c r="I752" i="11"/>
  <c r="K752" i="11" s="1"/>
  <c r="I755" i="11"/>
  <c r="K755" i="11" s="1"/>
  <c r="J758" i="11"/>
  <c r="J759" i="11"/>
  <c r="L761" i="11"/>
  <c r="O761" i="11" s="1"/>
  <c r="M761" i="11"/>
  <c r="N761" i="11"/>
  <c r="Q761" i="11"/>
  <c r="T761" i="11" s="1"/>
  <c r="R761" i="11"/>
  <c r="U761" i="11" s="1"/>
  <c r="S761" i="11"/>
  <c r="L762" i="11"/>
  <c r="M762" i="11"/>
  <c r="P762" i="11" s="1"/>
  <c r="N762" i="11"/>
  <c r="O762" i="11"/>
  <c r="L763" i="11"/>
  <c r="O763" i="11" s="1"/>
  <c r="M763" i="11"/>
  <c r="P763" i="11" s="1"/>
  <c r="N763" i="11"/>
  <c r="O764" i="11"/>
  <c r="P764" i="11"/>
  <c r="T764" i="11"/>
  <c r="U764" i="11"/>
  <c r="O765" i="11"/>
  <c r="P765" i="11"/>
  <c r="Q765" i="11"/>
  <c r="Q762" i="11" s="1"/>
  <c r="T762" i="11" s="1"/>
  <c r="R765" i="11"/>
  <c r="R763" i="11" s="1"/>
  <c r="U763" i="11" s="1"/>
  <c r="S765" i="11"/>
  <c r="S763" i="11" s="1"/>
  <c r="L766" i="11"/>
  <c r="M766" i="11"/>
  <c r="P766" i="11" s="1"/>
  <c r="N766" i="11"/>
  <c r="O766" i="11"/>
  <c r="Q766" i="11"/>
  <c r="R766" i="11"/>
  <c r="U766" i="11" s="1"/>
  <c r="S766" i="11"/>
  <c r="T766" i="11"/>
  <c r="O767" i="11"/>
  <c r="P767" i="11"/>
  <c r="T767" i="11"/>
  <c r="U767" i="11"/>
  <c r="O768" i="11"/>
  <c r="P768" i="11"/>
  <c r="T768" i="11"/>
  <c r="U768" i="11"/>
  <c r="I770" i="11"/>
  <c r="K770" i="11" s="1"/>
  <c r="I772" i="11"/>
  <c r="I758" i="11" s="1"/>
  <c r="K758" i="11" s="1"/>
  <c r="I774" i="11"/>
  <c r="I759" i="11" s="1"/>
  <c r="K759" i="11" s="1"/>
  <c r="I775" i="11"/>
  <c r="I776" i="11"/>
  <c r="H777" i="11"/>
  <c r="I778" i="11"/>
  <c r="J778" i="11"/>
  <c r="I779" i="11"/>
  <c r="J779" i="11"/>
  <c r="I780" i="11"/>
  <c r="J780" i="11"/>
  <c r="I781" i="11"/>
  <c r="J781" i="11"/>
  <c r="I782" i="11"/>
  <c r="J782" i="11"/>
  <c r="I783" i="11"/>
  <c r="J783" i="11"/>
  <c r="I784" i="11"/>
  <c r="J784" i="11"/>
  <c r="I785" i="11"/>
  <c r="J785" i="11"/>
  <c r="A788" i="11"/>
  <c r="A789" i="11"/>
  <c r="L22" i="10"/>
  <c r="M22" i="10"/>
  <c r="M19" i="10" s="1"/>
  <c r="N22" i="10"/>
  <c r="Q22" i="10"/>
  <c r="T22" i="10" s="1"/>
  <c r="R22" i="10"/>
  <c r="S22" i="10"/>
  <c r="L25" i="10"/>
  <c r="M25" i="10"/>
  <c r="N25" i="10"/>
  <c r="Q25" i="10"/>
  <c r="T25" i="10" s="1"/>
  <c r="R25" i="10"/>
  <c r="S25" i="10"/>
  <c r="Q44" i="10"/>
  <c r="T44" i="10" s="1"/>
  <c r="L45" i="10"/>
  <c r="M45" i="10"/>
  <c r="N45" i="10"/>
  <c r="Q45" i="10"/>
  <c r="R45" i="10"/>
  <c r="U45" i="10" s="1"/>
  <c r="S45" i="10"/>
  <c r="S44" i="10" s="1"/>
  <c r="T45" i="10"/>
  <c r="Q46" i="10"/>
  <c r="R46" i="10"/>
  <c r="S46" i="10"/>
  <c r="T46" i="10"/>
  <c r="Q47" i="10"/>
  <c r="T47" i="10" s="1"/>
  <c r="R47" i="10"/>
  <c r="U47" i="10" s="1"/>
  <c r="S47" i="10"/>
  <c r="O48" i="10"/>
  <c r="P48" i="10"/>
  <c r="T48" i="10"/>
  <c r="U48" i="10"/>
  <c r="L49" i="10"/>
  <c r="M49" i="10"/>
  <c r="M47" i="10" s="1"/>
  <c r="N49" i="10"/>
  <c r="N47" i="10" s="1"/>
  <c r="T49" i="10"/>
  <c r="U49" i="10"/>
  <c r="Q50" i="10"/>
  <c r="R50" i="10"/>
  <c r="U50" i="10" s="1"/>
  <c r="S50" i="10"/>
  <c r="T50" i="10"/>
  <c r="O51" i="10"/>
  <c r="P51" i="10"/>
  <c r="T51" i="10"/>
  <c r="U51" i="10"/>
  <c r="L52" i="10"/>
  <c r="M52" i="10"/>
  <c r="P52" i="10" s="1"/>
  <c r="N52" i="10"/>
  <c r="N50" i="10" s="1"/>
  <c r="T52" i="10"/>
  <c r="U52" i="10"/>
  <c r="L60" i="10"/>
  <c r="O60" i="10" s="1"/>
  <c r="M60" i="10"/>
  <c r="N60" i="10"/>
  <c r="Q60" i="10"/>
  <c r="R60" i="10"/>
  <c r="U60" i="10" s="1"/>
  <c r="S60" i="10"/>
  <c r="S59" i="10" s="1"/>
  <c r="T60" i="10"/>
  <c r="Q61" i="10"/>
  <c r="T61" i="10" s="1"/>
  <c r="R61" i="10"/>
  <c r="U61" i="10" s="1"/>
  <c r="S61" i="10"/>
  <c r="Q62" i="10"/>
  <c r="T62" i="10" s="1"/>
  <c r="R62" i="10"/>
  <c r="U62" i="10" s="1"/>
  <c r="S62" i="10"/>
  <c r="O63" i="10"/>
  <c r="P63" i="10"/>
  <c r="T63" i="10"/>
  <c r="U63" i="10"/>
  <c r="L64" i="10"/>
  <c r="L62" i="10" s="1"/>
  <c r="M64" i="10"/>
  <c r="M62" i="10" s="1"/>
  <c r="N64" i="10"/>
  <c r="T64" i="10"/>
  <c r="U64" i="10"/>
  <c r="Q65" i="10"/>
  <c r="T65" i="10" s="1"/>
  <c r="R65" i="10"/>
  <c r="S65" i="10"/>
  <c r="U65" i="10"/>
  <c r="O66" i="10"/>
  <c r="P66" i="10"/>
  <c r="T66" i="10"/>
  <c r="U66" i="10"/>
  <c r="L67" i="10"/>
  <c r="M67" i="10"/>
  <c r="N67" i="10"/>
  <c r="N65" i="10" s="1"/>
  <c r="T67" i="10"/>
  <c r="U67" i="10"/>
  <c r="L73" i="10"/>
  <c r="O73" i="10" s="1"/>
  <c r="M73" i="10"/>
  <c r="N73" i="10"/>
  <c r="Q73" i="10"/>
  <c r="T73" i="10" s="1"/>
  <c r="R73" i="10"/>
  <c r="U73" i="10" s="1"/>
  <c r="S73" i="10"/>
  <c r="O76" i="10"/>
  <c r="P76" i="10"/>
  <c r="T76" i="10"/>
  <c r="U76" i="10"/>
  <c r="L77" i="10"/>
  <c r="L75" i="10" s="1"/>
  <c r="O75" i="10" s="1"/>
  <c r="M77" i="10"/>
  <c r="M75" i="10" s="1"/>
  <c r="P75" i="10" s="1"/>
  <c r="N77" i="10"/>
  <c r="N75" i="10" s="1"/>
  <c r="Q77" i="10"/>
  <c r="R77" i="10"/>
  <c r="R75" i="10" s="1"/>
  <c r="U75" i="10" s="1"/>
  <c r="S77" i="10"/>
  <c r="S75" i="10" s="1"/>
  <c r="O79" i="10"/>
  <c r="P79" i="10"/>
  <c r="T79" i="10"/>
  <c r="U79" i="10"/>
  <c r="L80" i="10"/>
  <c r="O80" i="10" s="1"/>
  <c r="M80" i="10"/>
  <c r="M78" i="10" s="1"/>
  <c r="P78" i="10" s="1"/>
  <c r="N80" i="10"/>
  <c r="N78" i="10" s="1"/>
  <c r="Q80" i="10"/>
  <c r="R80" i="10"/>
  <c r="S80" i="10"/>
  <c r="S78" i="10" s="1"/>
  <c r="J82" i="10"/>
  <c r="J70" i="10" s="1"/>
  <c r="J83" i="10"/>
  <c r="J71" i="10" s="1"/>
  <c r="I84" i="10"/>
  <c r="K84" i="10" s="1"/>
  <c r="I85" i="10"/>
  <c r="I86" i="10"/>
  <c r="K86" i="10" s="1"/>
  <c r="I87" i="10"/>
  <c r="K87" i="10" s="1"/>
  <c r="I88" i="10"/>
  <c r="K88" i="10" s="1"/>
  <c r="I89" i="10"/>
  <c r="K89" i="10" s="1"/>
  <c r="I90" i="10"/>
  <c r="K90" i="10" s="1"/>
  <c r="J92" i="10"/>
  <c r="J93" i="10"/>
  <c r="L95" i="10"/>
  <c r="M95" i="10"/>
  <c r="N95" i="10"/>
  <c r="P95" i="10"/>
  <c r="Q95" i="10"/>
  <c r="R95" i="10"/>
  <c r="S95" i="10"/>
  <c r="O98" i="10"/>
  <c r="P98" i="10"/>
  <c r="T98" i="10"/>
  <c r="U98" i="10"/>
  <c r="L99" i="10"/>
  <c r="M99" i="10"/>
  <c r="N99" i="10"/>
  <c r="N97" i="10" s="1"/>
  <c r="Q99" i="10"/>
  <c r="Q97" i="10" s="1"/>
  <c r="T97" i="10" s="1"/>
  <c r="R99" i="10"/>
  <c r="S99" i="10"/>
  <c r="Q100" i="10"/>
  <c r="T100" i="10" s="1"/>
  <c r="R100" i="10"/>
  <c r="U100" i="10" s="1"/>
  <c r="S100" i="10"/>
  <c r="O101" i="10"/>
  <c r="P101" i="10"/>
  <c r="T101" i="10"/>
  <c r="U101" i="10"/>
  <c r="L102" i="10"/>
  <c r="M102" i="10"/>
  <c r="N102" i="10"/>
  <c r="N100" i="10" s="1"/>
  <c r="T102" i="10"/>
  <c r="U102" i="10"/>
  <c r="I108" i="10"/>
  <c r="I92" i="10" s="1"/>
  <c r="K92" i="10" s="1"/>
  <c r="I109" i="10"/>
  <c r="K109" i="10" s="1"/>
  <c r="I114" i="10"/>
  <c r="K114" i="10" s="1"/>
  <c r="J116" i="10"/>
  <c r="L118" i="10"/>
  <c r="M118" i="10"/>
  <c r="N118" i="10"/>
  <c r="P118" i="10"/>
  <c r="Q118" i="10"/>
  <c r="R118" i="10"/>
  <c r="S118" i="10"/>
  <c r="O121" i="10"/>
  <c r="P121" i="10"/>
  <c r="T121" i="10"/>
  <c r="U121" i="10"/>
  <c r="L122" i="10"/>
  <c r="M122" i="10"/>
  <c r="N122" i="10"/>
  <c r="N120" i="10" s="1"/>
  <c r="Q122" i="10"/>
  <c r="R122" i="10"/>
  <c r="S122" i="10"/>
  <c r="S120" i="10" s="1"/>
  <c r="O124" i="10"/>
  <c r="P124" i="10"/>
  <c r="T124" i="10"/>
  <c r="U124" i="10"/>
  <c r="L125" i="10"/>
  <c r="M125" i="10"/>
  <c r="N125" i="10"/>
  <c r="Q125" i="10"/>
  <c r="Q123" i="10" s="1"/>
  <c r="T123" i="10" s="1"/>
  <c r="R125" i="10"/>
  <c r="S125" i="10"/>
  <c r="S123" i="10" s="1"/>
  <c r="I127" i="10"/>
  <c r="I116" i="10" s="1"/>
  <c r="I128" i="10"/>
  <c r="K128" i="10" s="1"/>
  <c r="I129" i="10"/>
  <c r="K129" i="10" s="1"/>
  <c r="I130" i="10"/>
  <c r="K130" i="10" s="1"/>
  <c r="J136" i="10"/>
  <c r="J137" i="10"/>
  <c r="J138" i="10"/>
  <c r="L140" i="10"/>
  <c r="M140" i="10"/>
  <c r="N140" i="10"/>
  <c r="Q140" i="10"/>
  <c r="T140" i="10" s="1"/>
  <c r="R140" i="10"/>
  <c r="S140" i="10"/>
  <c r="O143" i="10"/>
  <c r="P143" i="10"/>
  <c r="T143" i="10"/>
  <c r="U143" i="10"/>
  <c r="L144" i="10"/>
  <c r="L142" i="10" s="1"/>
  <c r="O142" i="10" s="1"/>
  <c r="M144" i="10"/>
  <c r="N144" i="10"/>
  <c r="N142" i="10" s="1"/>
  <c r="Q144" i="10"/>
  <c r="Q142" i="10" s="1"/>
  <c r="T142" i="10" s="1"/>
  <c r="R144" i="10"/>
  <c r="S144" i="10"/>
  <c r="S142" i="10" s="1"/>
  <c r="O146" i="10"/>
  <c r="P146" i="10"/>
  <c r="T146" i="10"/>
  <c r="U146" i="10"/>
  <c r="L147" i="10"/>
  <c r="M147" i="10"/>
  <c r="N147" i="10"/>
  <c r="N145" i="10" s="1"/>
  <c r="Q147" i="10"/>
  <c r="R147" i="10"/>
  <c r="R145" i="10" s="1"/>
  <c r="U145" i="10" s="1"/>
  <c r="S147" i="10"/>
  <c r="S145" i="10" s="1"/>
  <c r="I150" i="10"/>
  <c r="K150" i="10" s="1"/>
  <c r="I151" i="10"/>
  <c r="K151" i="10" s="1"/>
  <c r="I152" i="10"/>
  <c r="I137" i="10" s="1"/>
  <c r="K137" i="10" s="1"/>
  <c r="I153" i="10"/>
  <c r="I154" i="10"/>
  <c r="J156" i="10"/>
  <c r="L158" i="10"/>
  <c r="O158" i="10" s="1"/>
  <c r="M158" i="10"/>
  <c r="P158" i="10" s="1"/>
  <c r="N158" i="10"/>
  <c r="Q158" i="10"/>
  <c r="T158" i="10" s="1"/>
  <c r="R158" i="10"/>
  <c r="S158" i="10"/>
  <c r="U158" i="10"/>
  <c r="O161" i="10"/>
  <c r="P161" i="10"/>
  <c r="T161" i="10"/>
  <c r="U161" i="10"/>
  <c r="L162" i="10"/>
  <c r="M162" i="10"/>
  <c r="M160" i="10" s="1"/>
  <c r="P160" i="10" s="1"/>
  <c r="N162" i="10"/>
  <c r="Q162" i="10"/>
  <c r="Q160" i="10" s="1"/>
  <c r="T160" i="10" s="1"/>
  <c r="R162" i="10"/>
  <c r="U162" i="10" s="1"/>
  <c r="S162" i="10"/>
  <c r="Q163" i="10"/>
  <c r="R163" i="10"/>
  <c r="U163" i="10" s="1"/>
  <c r="S163" i="10"/>
  <c r="T163" i="10"/>
  <c r="O164" i="10"/>
  <c r="P164" i="10"/>
  <c r="T164" i="10"/>
  <c r="U164" i="10"/>
  <c r="L165" i="10"/>
  <c r="O165" i="10" s="1"/>
  <c r="M165" i="10"/>
  <c r="N165" i="10"/>
  <c r="N163" i="10" s="1"/>
  <c r="T165" i="10"/>
  <c r="U165" i="10"/>
  <c r="I167" i="10"/>
  <c r="K167" i="10" s="1"/>
  <c r="I168" i="10"/>
  <c r="K168" i="10" s="1"/>
  <c r="I169" i="10"/>
  <c r="I156" i="10" s="1"/>
  <c r="K156" i="10" s="1"/>
  <c r="J172" i="10"/>
  <c r="L174" i="10"/>
  <c r="M174" i="10"/>
  <c r="P174" i="10" s="1"/>
  <c r="N174" i="10"/>
  <c r="Q174" i="10"/>
  <c r="R174" i="10"/>
  <c r="S174" i="10"/>
  <c r="O177" i="10"/>
  <c r="P177" i="10"/>
  <c r="T177" i="10"/>
  <c r="U177" i="10"/>
  <c r="L178" i="10"/>
  <c r="O178" i="10" s="1"/>
  <c r="M178" i="10"/>
  <c r="N178" i="10"/>
  <c r="N176" i="10" s="1"/>
  <c r="Q178" i="10"/>
  <c r="R178" i="10"/>
  <c r="S178" i="10"/>
  <c r="S175" i="10" s="1"/>
  <c r="Q179" i="10"/>
  <c r="R179" i="10"/>
  <c r="U179" i="10" s="1"/>
  <c r="S179" i="10"/>
  <c r="T179" i="10"/>
  <c r="O180" i="10"/>
  <c r="P180" i="10"/>
  <c r="T180" i="10"/>
  <c r="U180" i="10"/>
  <c r="L181" i="10"/>
  <c r="M181" i="10"/>
  <c r="N181" i="10"/>
  <c r="N179" i="10" s="1"/>
  <c r="T181" i="10"/>
  <c r="U181" i="10"/>
  <c r="I183" i="10"/>
  <c r="I172" i="10" s="1"/>
  <c r="K172" i="10" s="1"/>
  <c r="K184" i="10"/>
  <c r="L187" i="10"/>
  <c r="M187" i="10"/>
  <c r="P187" i="10" s="1"/>
  <c r="N187" i="10"/>
  <c r="O187" i="10"/>
  <c r="Q187" i="10"/>
  <c r="R187" i="10"/>
  <c r="S187" i="10"/>
  <c r="T187" i="10"/>
  <c r="U187" i="10"/>
  <c r="O190" i="10"/>
  <c r="P190" i="10"/>
  <c r="T190" i="10"/>
  <c r="U190" i="10"/>
  <c r="L191" i="10"/>
  <c r="M191" i="10"/>
  <c r="N191" i="10"/>
  <c r="Q191" i="10"/>
  <c r="R191" i="10"/>
  <c r="S191" i="10"/>
  <c r="S189" i="10" s="1"/>
  <c r="O193" i="10"/>
  <c r="P193" i="10"/>
  <c r="T193" i="10"/>
  <c r="U193" i="10"/>
  <c r="L194" i="10"/>
  <c r="M194" i="10"/>
  <c r="M192" i="10" s="1"/>
  <c r="P192" i="10" s="1"/>
  <c r="N194" i="10"/>
  <c r="N192" i="10" s="1"/>
  <c r="Q194" i="10"/>
  <c r="R194" i="10"/>
  <c r="U194" i="10" s="1"/>
  <c r="S194" i="10"/>
  <c r="S192" i="10" s="1"/>
  <c r="J195" i="10"/>
  <c r="L196" i="10"/>
  <c r="O196" i="10" s="1"/>
  <c r="P196" i="10"/>
  <c r="I198" i="10"/>
  <c r="K198" i="10" s="1"/>
  <c r="J199" i="10"/>
  <c r="J202" i="10"/>
  <c r="N203" i="10"/>
  <c r="P203" i="10"/>
  <c r="S203" i="10"/>
  <c r="U203" i="10"/>
  <c r="L204" i="10"/>
  <c r="L205" i="10"/>
  <c r="L206" i="10"/>
  <c r="Q206" i="10"/>
  <c r="Q203" i="10" s="1"/>
  <c r="T203" i="10" s="1"/>
  <c r="L207" i="10"/>
  <c r="I209" i="10"/>
  <c r="I202" i="10" s="1"/>
  <c r="K202" i="10" s="1"/>
  <c r="I211" i="10"/>
  <c r="K211" i="10" s="1"/>
  <c r="I212" i="10"/>
  <c r="K212" i="10" s="1"/>
  <c r="J213" i="10"/>
  <c r="N214" i="10"/>
  <c r="P214" i="10"/>
  <c r="S214" i="10"/>
  <c r="U214" i="10"/>
  <c r="L215" i="10"/>
  <c r="L216" i="10"/>
  <c r="L217" i="10"/>
  <c r="Q217" i="10"/>
  <c r="Q214" i="10" s="1"/>
  <c r="T214" i="10" s="1"/>
  <c r="I219" i="10"/>
  <c r="K219" i="10" s="1"/>
  <c r="I220" i="10"/>
  <c r="K220" i="10" s="1"/>
  <c r="J221" i="10"/>
  <c r="N222" i="10"/>
  <c r="P222" i="10"/>
  <c r="L223" i="10"/>
  <c r="L224" i="10"/>
  <c r="L225" i="10"/>
  <c r="I228" i="10"/>
  <c r="K228" i="10" s="1"/>
  <c r="I229" i="10"/>
  <c r="I230" i="10"/>
  <c r="N233" i="10"/>
  <c r="N234" i="10"/>
  <c r="N235" i="10"/>
  <c r="N236" i="10"/>
  <c r="J238" i="10"/>
  <c r="I240" i="10"/>
  <c r="K240" i="10" s="1"/>
  <c r="J240" i="10"/>
  <c r="I241" i="10"/>
  <c r="K241" i="10" s="1"/>
  <c r="J241" i="10"/>
  <c r="J242" i="10"/>
  <c r="N243" i="10"/>
  <c r="P243" i="10"/>
  <c r="L244" i="10"/>
  <c r="L245" i="10"/>
  <c r="L246" i="10"/>
  <c r="L247" i="10"/>
  <c r="I249" i="10"/>
  <c r="K249" i="10" s="1"/>
  <c r="K251" i="10"/>
  <c r="K252" i="10"/>
  <c r="J253" i="10"/>
  <c r="J231" i="10" s="1"/>
  <c r="J185" i="10" s="1"/>
  <c r="N254" i="10"/>
  <c r="P254" i="10"/>
  <c r="L255" i="10"/>
  <c r="L256" i="10"/>
  <c r="L257" i="10"/>
  <c r="L258" i="10"/>
  <c r="I260" i="10"/>
  <c r="I253" i="10" s="1"/>
  <c r="K253" i="10" s="1"/>
  <c r="K262" i="10"/>
  <c r="K263" i="10"/>
  <c r="J265" i="10"/>
  <c r="L267" i="10"/>
  <c r="M267" i="10"/>
  <c r="P267" i="10" s="1"/>
  <c r="N267" i="10"/>
  <c r="O267" i="10"/>
  <c r="Q267" i="10"/>
  <c r="T267" i="10" s="1"/>
  <c r="R267" i="10"/>
  <c r="S267" i="10"/>
  <c r="U267" i="10"/>
  <c r="O270" i="10"/>
  <c r="P270" i="10"/>
  <c r="T270" i="10"/>
  <c r="U270" i="10"/>
  <c r="L271" i="10"/>
  <c r="M271" i="10"/>
  <c r="N271" i="10"/>
  <c r="Q271" i="10"/>
  <c r="Q269" i="10" s="1"/>
  <c r="R271" i="10"/>
  <c r="R269" i="10" s="1"/>
  <c r="S271" i="10"/>
  <c r="S268" i="10" s="1"/>
  <c r="Q272" i="10"/>
  <c r="T272" i="10" s="1"/>
  <c r="R272" i="10"/>
  <c r="U272" i="10" s="1"/>
  <c r="S272" i="10"/>
  <c r="O273" i="10"/>
  <c r="P273" i="10"/>
  <c r="T273" i="10"/>
  <c r="U273" i="10"/>
  <c r="L274" i="10"/>
  <c r="O274" i="10" s="1"/>
  <c r="M274" i="10"/>
  <c r="M272" i="10" s="1"/>
  <c r="P272" i="10" s="1"/>
  <c r="N274" i="10"/>
  <c r="N272" i="10" s="1"/>
  <c r="T274" i="10"/>
  <c r="U274" i="10"/>
  <c r="I276" i="10"/>
  <c r="K276" i="10" s="1"/>
  <c r="J281" i="10"/>
  <c r="L283" i="10"/>
  <c r="M283" i="10"/>
  <c r="N283" i="10"/>
  <c r="P283" i="10"/>
  <c r="Q283" i="10"/>
  <c r="Q282" i="10" s="1"/>
  <c r="T282" i="10" s="1"/>
  <c r="R283" i="10"/>
  <c r="R282" i="10" s="1"/>
  <c r="U282" i="10" s="1"/>
  <c r="S283" i="10"/>
  <c r="U283" i="10"/>
  <c r="Q284" i="10"/>
  <c r="T284" i="10" s="1"/>
  <c r="R284" i="10"/>
  <c r="U284" i="10" s="1"/>
  <c r="S284" i="10"/>
  <c r="S282" i="10" s="1"/>
  <c r="Q285" i="10"/>
  <c r="R285" i="10"/>
  <c r="U285" i="10" s="1"/>
  <c r="S285" i="10"/>
  <c r="T285" i="10"/>
  <c r="O286" i="10"/>
  <c r="P286" i="10"/>
  <c r="T286" i="10"/>
  <c r="U286" i="10"/>
  <c r="L287" i="10"/>
  <c r="O287" i="10" s="1"/>
  <c r="M287" i="10"/>
  <c r="N287" i="10"/>
  <c r="N285" i="10" s="1"/>
  <c r="T287" i="10"/>
  <c r="U287" i="10"/>
  <c r="Q288" i="10"/>
  <c r="T288" i="10" s="1"/>
  <c r="R288" i="10"/>
  <c r="U288" i="10" s="1"/>
  <c r="S288" i="10"/>
  <c r="O289" i="10"/>
  <c r="P289" i="10"/>
  <c r="T289" i="10"/>
  <c r="U289" i="10"/>
  <c r="L290" i="10"/>
  <c r="M290" i="10"/>
  <c r="P290" i="10" s="1"/>
  <c r="N290" i="10"/>
  <c r="N288" i="10" s="1"/>
  <c r="T290" i="10"/>
  <c r="U290" i="10"/>
  <c r="I292" i="10"/>
  <c r="I281" i="10" s="1"/>
  <c r="K281" i="10" s="1"/>
  <c r="I293" i="10"/>
  <c r="I280" i="10" s="1"/>
  <c r="K280" i="10" s="1"/>
  <c r="J293" i="10"/>
  <c r="J280" i="10" s="1"/>
  <c r="I295" i="10"/>
  <c r="K295" i="10" s="1"/>
  <c r="I296" i="10"/>
  <c r="K296" i="10" s="1"/>
  <c r="J302" i="10"/>
  <c r="L304" i="10"/>
  <c r="M304" i="10"/>
  <c r="N304" i="10"/>
  <c r="P304" i="10"/>
  <c r="Q304" i="10"/>
  <c r="R304" i="10"/>
  <c r="U304" i="10" s="1"/>
  <c r="S304" i="10"/>
  <c r="O307" i="10"/>
  <c r="P307" i="10"/>
  <c r="T307" i="10"/>
  <c r="U307" i="10"/>
  <c r="L308" i="10"/>
  <c r="M308" i="10"/>
  <c r="M306" i="10" s="1"/>
  <c r="P306" i="10" s="1"/>
  <c r="N308" i="10"/>
  <c r="N306" i="10" s="1"/>
  <c r="Q308" i="10"/>
  <c r="R308" i="10"/>
  <c r="U308" i="10" s="1"/>
  <c r="S308" i="10"/>
  <c r="S306" i="10" s="1"/>
  <c r="Q309" i="10"/>
  <c r="T309" i="10" s="1"/>
  <c r="R309" i="10"/>
  <c r="U309" i="10" s="1"/>
  <c r="S309" i="10"/>
  <c r="O310" i="10"/>
  <c r="P310" i="10"/>
  <c r="T310" i="10"/>
  <c r="U310" i="10"/>
  <c r="L311" i="10"/>
  <c r="M311" i="10"/>
  <c r="M309" i="10" s="1"/>
  <c r="P309" i="10" s="1"/>
  <c r="N311" i="10"/>
  <c r="T311" i="10"/>
  <c r="U311" i="10"/>
  <c r="I314" i="10"/>
  <c r="K314" i="10" s="1"/>
  <c r="J319" i="10"/>
  <c r="L321" i="10"/>
  <c r="M321" i="10"/>
  <c r="N321" i="10"/>
  <c r="P321" i="10"/>
  <c r="Q321" i="10"/>
  <c r="T321" i="10" s="1"/>
  <c r="R321" i="10"/>
  <c r="U321" i="10" s="1"/>
  <c r="S321" i="10"/>
  <c r="Q322" i="10"/>
  <c r="R322" i="10"/>
  <c r="S322" i="10"/>
  <c r="T322" i="10"/>
  <c r="Q323" i="10"/>
  <c r="T323" i="10" s="1"/>
  <c r="R323" i="10"/>
  <c r="U323" i="10" s="1"/>
  <c r="S323" i="10"/>
  <c r="O324" i="10"/>
  <c r="P324" i="10"/>
  <c r="T324" i="10"/>
  <c r="U324" i="10"/>
  <c r="L325" i="10"/>
  <c r="M325" i="10"/>
  <c r="M323" i="10" s="1"/>
  <c r="P323" i="10" s="1"/>
  <c r="N325" i="10"/>
  <c r="N323" i="10" s="1"/>
  <c r="T325" i="10"/>
  <c r="U325" i="10"/>
  <c r="Q326" i="10"/>
  <c r="T326" i="10" s="1"/>
  <c r="R326" i="10"/>
  <c r="U326" i="10" s="1"/>
  <c r="S326" i="10"/>
  <c r="O327" i="10"/>
  <c r="P327" i="10"/>
  <c r="T327" i="10"/>
  <c r="U327" i="10"/>
  <c r="L328" i="10"/>
  <c r="L326" i="10" s="1"/>
  <c r="O326" i="10" s="1"/>
  <c r="M328" i="10"/>
  <c r="M326" i="10" s="1"/>
  <c r="P326" i="10" s="1"/>
  <c r="N328" i="10"/>
  <c r="N326" i="10" s="1"/>
  <c r="T328" i="10"/>
  <c r="U328" i="10"/>
  <c r="I330" i="10"/>
  <c r="L334" i="10"/>
  <c r="O334" i="10" s="1"/>
  <c r="M334" i="10"/>
  <c r="P334" i="10" s="1"/>
  <c r="N334" i="10"/>
  <c r="Q334" i="10"/>
  <c r="R334" i="10"/>
  <c r="R333" i="10" s="1"/>
  <c r="U333" i="10" s="1"/>
  <c r="S334" i="10"/>
  <c r="Q335" i="10"/>
  <c r="T335" i="10" s="1"/>
  <c r="R335" i="10"/>
  <c r="S335" i="10"/>
  <c r="U335" i="10"/>
  <c r="Q336" i="10"/>
  <c r="T336" i="10" s="1"/>
  <c r="R336" i="10"/>
  <c r="S336" i="10"/>
  <c r="U336" i="10"/>
  <c r="O337" i="10"/>
  <c r="P337" i="10"/>
  <c r="T337" i="10"/>
  <c r="U337" i="10"/>
  <c r="L338" i="10"/>
  <c r="L336" i="10" s="1"/>
  <c r="M338" i="10"/>
  <c r="N338" i="10"/>
  <c r="T338" i="10"/>
  <c r="U338" i="10"/>
  <c r="Q339" i="10"/>
  <c r="T339" i="10" s="1"/>
  <c r="R339" i="10"/>
  <c r="U339" i="10" s="1"/>
  <c r="S339" i="10"/>
  <c r="O340" i="10"/>
  <c r="P340" i="10"/>
  <c r="T340" i="10"/>
  <c r="U340" i="10"/>
  <c r="L341" i="10"/>
  <c r="M341" i="10"/>
  <c r="M339" i="10" s="1"/>
  <c r="P339" i="10" s="1"/>
  <c r="N341" i="10"/>
  <c r="N339" i="10" s="1"/>
  <c r="T341" i="10"/>
  <c r="U341" i="10"/>
  <c r="I344" i="10"/>
  <c r="J344" i="10"/>
  <c r="I346" i="10"/>
  <c r="J346" i="10"/>
  <c r="J347" i="10"/>
  <c r="J348" i="10"/>
  <c r="J349" i="10"/>
  <c r="D350" i="10"/>
  <c r="J352" i="10"/>
  <c r="J353" i="10"/>
  <c r="D354" i="10"/>
  <c r="L357" i="10"/>
  <c r="O357" i="10" s="1"/>
  <c r="M357" i="10"/>
  <c r="N357" i="10"/>
  <c r="P357" i="10"/>
  <c r="Q357" i="10"/>
  <c r="T357" i="10" s="1"/>
  <c r="R357" i="10"/>
  <c r="U357" i="10" s="1"/>
  <c r="S357" i="10"/>
  <c r="Q358" i="10"/>
  <c r="T358" i="10" s="1"/>
  <c r="R358" i="10"/>
  <c r="U358" i="10" s="1"/>
  <c r="S358" i="10"/>
  <c r="S356" i="10" s="1"/>
  <c r="Q359" i="10"/>
  <c r="R359" i="10"/>
  <c r="S359" i="10"/>
  <c r="T359" i="10"/>
  <c r="U359" i="10"/>
  <c r="O360" i="10"/>
  <c r="P360" i="10"/>
  <c r="T360" i="10"/>
  <c r="U360" i="10"/>
  <c r="L361" i="10"/>
  <c r="L359" i="10" s="1"/>
  <c r="M361" i="10"/>
  <c r="M359" i="10" s="1"/>
  <c r="N361" i="10"/>
  <c r="N359" i="10" s="1"/>
  <c r="T361" i="10"/>
  <c r="U361" i="10"/>
  <c r="Q362" i="10"/>
  <c r="T362" i="10" s="1"/>
  <c r="R362" i="10"/>
  <c r="U362" i="10" s="1"/>
  <c r="S362" i="10"/>
  <c r="O363" i="10"/>
  <c r="P363" i="10"/>
  <c r="T363" i="10"/>
  <c r="U363" i="10"/>
  <c r="L364" i="10"/>
  <c r="O364" i="10" s="1"/>
  <c r="M364" i="10"/>
  <c r="P364" i="10" s="1"/>
  <c r="N364" i="10"/>
  <c r="N362" i="10" s="1"/>
  <c r="T364" i="10"/>
  <c r="U364" i="10"/>
  <c r="J367" i="10"/>
  <c r="K367" i="10"/>
  <c r="I368" i="10"/>
  <c r="J368" i="10"/>
  <c r="I369" i="10"/>
  <c r="J369" i="10"/>
  <c r="J370" i="10"/>
  <c r="K370" i="10"/>
  <c r="I371" i="10"/>
  <c r="I365" i="10" s="1"/>
  <c r="J371" i="10"/>
  <c r="J365" i="10" s="1"/>
  <c r="J372" i="10"/>
  <c r="K372" i="10"/>
  <c r="D373" i="10"/>
  <c r="L376" i="10"/>
  <c r="O376" i="10" s="1"/>
  <c r="M376" i="10"/>
  <c r="P376" i="10" s="1"/>
  <c r="N376" i="10"/>
  <c r="Q376" i="10"/>
  <c r="T376" i="10" s="1"/>
  <c r="R376" i="10"/>
  <c r="U376" i="10" s="1"/>
  <c r="S376" i="10"/>
  <c r="O379" i="10"/>
  <c r="P379" i="10"/>
  <c r="T379" i="10"/>
  <c r="U379" i="10"/>
  <c r="L380" i="10"/>
  <c r="M380" i="10"/>
  <c r="N380" i="10"/>
  <c r="N378" i="10" s="1"/>
  <c r="Q380" i="10"/>
  <c r="Q377" i="10" s="1"/>
  <c r="R380" i="10"/>
  <c r="R377" i="10" s="1"/>
  <c r="R375" i="10" s="1"/>
  <c r="S380" i="10"/>
  <c r="Q381" i="10"/>
  <c r="R381" i="10"/>
  <c r="U381" i="10" s="1"/>
  <c r="S381" i="10"/>
  <c r="T381" i="10"/>
  <c r="O382" i="10"/>
  <c r="P382" i="10"/>
  <c r="T382" i="10"/>
  <c r="U382" i="10"/>
  <c r="L383" i="10"/>
  <c r="O383" i="10" s="1"/>
  <c r="M383" i="10"/>
  <c r="N383" i="10"/>
  <c r="N381" i="10" s="1"/>
  <c r="T383" i="10"/>
  <c r="U383" i="10"/>
  <c r="J385" i="10"/>
  <c r="K385" i="10"/>
  <c r="I386" i="10"/>
  <c r="J386" i="10"/>
  <c r="J387" i="10"/>
  <c r="K387" i="10"/>
  <c r="I388" i="10"/>
  <c r="K388" i="10" s="1"/>
  <c r="J388" i="10"/>
  <c r="I391" i="10"/>
  <c r="J391" i="10"/>
  <c r="K391" i="10"/>
  <c r="L393" i="10"/>
  <c r="O393" i="10" s="1"/>
  <c r="M393" i="10"/>
  <c r="N393" i="10"/>
  <c r="Q393" i="10"/>
  <c r="R393" i="10"/>
  <c r="U393" i="10" s="1"/>
  <c r="S393" i="10"/>
  <c r="T393" i="10"/>
  <c r="L394" i="10"/>
  <c r="M394" i="10"/>
  <c r="N394" i="10"/>
  <c r="O394" i="10"/>
  <c r="P394" i="10"/>
  <c r="L395" i="10"/>
  <c r="O395" i="10" s="1"/>
  <c r="M395" i="10"/>
  <c r="P395" i="10" s="1"/>
  <c r="N395" i="10"/>
  <c r="O396" i="10"/>
  <c r="P396" i="10"/>
  <c r="T396" i="10"/>
  <c r="U396" i="10"/>
  <c r="O397" i="10"/>
  <c r="P397" i="10"/>
  <c r="Q397" i="10"/>
  <c r="Q395" i="10" s="1"/>
  <c r="T395" i="10" s="1"/>
  <c r="R397" i="10"/>
  <c r="S397" i="10"/>
  <c r="L398" i="10"/>
  <c r="O398" i="10" s="1"/>
  <c r="M398" i="10"/>
  <c r="N398" i="10"/>
  <c r="P398" i="10"/>
  <c r="Q398" i="10"/>
  <c r="T398" i="10" s="1"/>
  <c r="R398" i="10"/>
  <c r="S398" i="10"/>
  <c r="U398" i="10"/>
  <c r="O399" i="10"/>
  <c r="P399" i="10"/>
  <c r="T399" i="10"/>
  <c r="U399" i="10"/>
  <c r="O400" i="10"/>
  <c r="P400" i="10"/>
  <c r="T400" i="10"/>
  <c r="U400" i="10"/>
  <c r="L414" i="10"/>
  <c r="M414" i="10"/>
  <c r="N414" i="10"/>
  <c r="P414" i="10"/>
  <c r="Q414" i="10"/>
  <c r="T414" i="10" s="1"/>
  <c r="R414" i="10"/>
  <c r="S414" i="10"/>
  <c r="O417" i="10"/>
  <c r="P417" i="10"/>
  <c r="T417" i="10"/>
  <c r="U417" i="10"/>
  <c r="L418" i="10"/>
  <c r="L416" i="10" s="1"/>
  <c r="O416" i="10" s="1"/>
  <c r="M418" i="10"/>
  <c r="M416" i="10" s="1"/>
  <c r="P416" i="10" s="1"/>
  <c r="N418" i="10"/>
  <c r="Q418" i="10"/>
  <c r="R418" i="10"/>
  <c r="R416" i="10" s="1"/>
  <c r="U416" i="10" s="1"/>
  <c r="S418" i="10"/>
  <c r="S415" i="10" s="1"/>
  <c r="Q419" i="10"/>
  <c r="T419" i="10" s="1"/>
  <c r="R419" i="10"/>
  <c r="U419" i="10" s="1"/>
  <c r="S419" i="10"/>
  <c r="O420" i="10"/>
  <c r="P420" i="10"/>
  <c r="T420" i="10"/>
  <c r="U420" i="10"/>
  <c r="L421" i="10"/>
  <c r="L419" i="10" s="1"/>
  <c r="O419" i="10" s="1"/>
  <c r="M421" i="10"/>
  <c r="M419" i="10" s="1"/>
  <c r="P419" i="10" s="1"/>
  <c r="N421" i="10"/>
  <c r="N419" i="10" s="1"/>
  <c r="T421" i="10"/>
  <c r="U421" i="10"/>
  <c r="I424" i="10"/>
  <c r="K424" i="10" s="1"/>
  <c r="J424" i="10"/>
  <c r="I425" i="10"/>
  <c r="K425" i="10" s="1"/>
  <c r="J425" i="10"/>
  <c r="I432" i="10"/>
  <c r="K432" i="10" s="1"/>
  <c r="J432" i="10"/>
  <c r="I433" i="10"/>
  <c r="K433" i="10" s="1"/>
  <c r="J433" i="10"/>
  <c r="I440" i="10"/>
  <c r="I423" i="10" s="1"/>
  <c r="I412" i="10" s="1"/>
  <c r="K412" i="10" s="1"/>
  <c r="J440" i="10"/>
  <c r="J423" i="10" s="1"/>
  <c r="J412" i="10" s="1"/>
  <c r="I441" i="10"/>
  <c r="K441" i="10" s="1"/>
  <c r="J446" i="10"/>
  <c r="J447" i="10"/>
  <c r="J441" i="10" s="1"/>
  <c r="I457" i="10"/>
  <c r="K457" i="10" s="1"/>
  <c r="I458" i="10"/>
  <c r="K458" i="10" s="1"/>
  <c r="J459" i="10"/>
  <c r="J460" i="10"/>
  <c r="J467" i="10"/>
  <c r="J457" i="10" s="1"/>
  <c r="J456" i="10" s="1"/>
  <c r="J468" i="10"/>
  <c r="J475" i="10"/>
  <c r="K475" i="10"/>
  <c r="J476" i="10"/>
  <c r="K476" i="10"/>
  <c r="J477" i="10"/>
  <c r="K477" i="10"/>
  <c r="J482" i="10"/>
  <c r="J483" i="10"/>
  <c r="I484" i="10"/>
  <c r="J484" i="10"/>
  <c r="K484" i="10"/>
  <c r="I485" i="10"/>
  <c r="K485" i="10" s="1"/>
  <c r="J485" i="10"/>
  <c r="L494" i="10"/>
  <c r="O494" i="10" s="1"/>
  <c r="M494" i="10"/>
  <c r="N494" i="10"/>
  <c r="P494" i="10"/>
  <c r="Q494" i="10"/>
  <c r="T494" i="10" s="1"/>
  <c r="R494" i="10"/>
  <c r="S494" i="10"/>
  <c r="O497" i="10"/>
  <c r="P497" i="10"/>
  <c r="T497" i="10"/>
  <c r="U497" i="10"/>
  <c r="L498" i="10"/>
  <c r="O498" i="10" s="1"/>
  <c r="M498" i="10"/>
  <c r="P498" i="10" s="1"/>
  <c r="N498" i="10"/>
  <c r="Q498" i="10"/>
  <c r="Q496" i="10" s="1"/>
  <c r="T496" i="10" s="1"/>
  <c r="R498" i="10"/>
  <c r="U498" i="10" s="1"/>
  <c r="S498" i="10"/>
  <c r="S495" i="10" s="1"/>
  <c r="S493" i="10" s="1"/>
  <c r="Q499" i="10"/>
  <c r="T499" i="10" s="1"/>
  <c r="R499" i="10"/>
  <c r="U499" i="10" s="1"/>
  <c r="S499" i="10"/>
  <c r="O500" i="10"/>
  <c r="P500" i="10"/>
  <c r="T500" i="10"/>
  <c r="U500" i="10"/>
  <c r="L501" i="10"/>
  <c r="O501" i="10" s="1"/>
  <c r="M501" i="10"/>
  <c r="M499" i="10" s="1"/>
  <c r="P499" i="10" s="1"/>
  <c r="N501" i="10"/>
  <c r="N499" i="10" s="1"/>
  <c r="T501" i="10"/>
  <c r="U501" i="10"/>
  <c r="I503" i="10"/>
  <c r="K503" i="10" s="1"/>
  <c r="I504" i="10"/>
  <c r="K504" i="10" s="1"/>
  <c r="I505" i="10"/>
  <c r="K505" i="10" s="1"/>
  <c r="I506" i="10"/>
  <c r="K506" i="10" s="1"/>
  <c r="I507" i="10"/>
  <c r="K507" i="10" s="1"/>
  <c r="K508" i="10"/>
  <c r="I509" i="10"/>
  <c r="K509" i="10" s="1"/>
  <c r="I512" i="10"/>
  <c r="J512" i="10"/>
  <c r="K512" i="10"/>
  <c r="S513" i="10"/>
  <c r="L514" i="10"/>
  <c r="M514" i="10"/>
  <c r="N514" i="10"/>
  <c r="O514" i="10"/>
  <c r="P514" i="10"/>
  <c r="Q514" i="10"/>
  <c r="T514" i="10" s="1"/>
  <c r="R514" i="10"/>
  <c r="S514" i="10"/>
  <c r="U514" i="10"/>
  <c r="Q515" i="10"/>
  <c r="R515" i="10"/>
  <c r="U515" i="10" s="1"/>
  <c r="S515" i="10"/>
  <c r="Q516" i="10"/>
  <c r="T516" i="10" s="1"/>
  <c r="R516" i="10"/>
  <c r="U516" i="10" s="1"/>
  <c r="S516" i="10"/>
  <c r="O517" i="10"/>
  <c r="P517" i="10"/>
  <c r="T517" i="10"/>
  <c r="U517" i="10"/>
  <c r="L518" i="10"/>
  <c r="L516" i="10" s="1"/>
  <c r="O516" i="10" s="1"/>
  <c r="M518" i="10"/>
  <c r="N518" i="10"/>
  <c r="N516" i="10" s="1"/>
  <c r="T518" i="10"/>
  <c r="U518" i="10"/>
  <c r="Q519" i="10"/>
  <c r="R519" i="10"/>
  <c r="S519" i="10"/>
  <c r="T519" i="10"/>
  <c r="U519" i="10"/>
  <c r="O520" i="10"/>
  <c r="P520" i="10"/>
  <c r="T520" i="10"/>
  <c r="U520" i="10"/>
  <c r="L521" i="10"/>
  <c r="L519" i="10" s="1"/>
  <c r="O519" i="10" s="1"/>
  <c r="M521" i="10"/>
  <c r="P521" i="10" s="1"/>
  <c r="N521" i="10"/>
  <c r="T521" i="10"/>
  <c r="U521" i="10"/>
  <c r="K523" i="10"/>
  <c r="K524" i="10"/>
  <c r="I533" i="10"/>
  <c r="K533" i="10" s="1"/>
  <c r="J533" i="10"/>
  <c r="L535" i="10"/>
  <c r="O535" i="10" s="1"/>
  <c r="M535" i="10"/>
  <c r="P535" i="10" s="1"/>
  <c r="N535" i="10"/>
  <c r="Q535" i="10"/>
  <c r="T535" i="10" s="1"/>
  <c r="R535" i="10"/>
  <c r="U535" i="10" s="1"/>
  <c r="S535" i="10"/>
  <c r="S534" i="10" s="1"/>
  <c r="Q536" i="10"/>
  <c r="T536" i="10" s="1"/>
  <c r="R536" i="10"/>
  <c r="S536" i="10"/>
  <c r="Q537" i="10"/>
  <c r="T537" i="10" s="1"/>
  <c r="R537" i="10"/>
  <c r="U537" i="10" s="1"/>
  <c r="S537" i="10"/>
  <c r="O538" i="10"/>
  <c r="P538" i="10"/>
  <c r="T538" i="10"/>
  <c r="U538" i="10"/>
  <c r="L539" i="10"/>
  <c r="L537" i="10" s="1"/>
  <c r="O537" i="10" s="1"/>
  <c r="M539" i="10"/>
  <c r="P539" i="10" s="1"/>
  <c r="N539" i="10"/>
  <c r="T539" i="10"/>
  <c r="U539" i="10"/>
  <c r="Q540" i="10"/>
  <c r="T540" i="10" s="1"/>
  <c r="R540" i="10"/>
  <c r="U540" i="10" s="1"/>
  <c r="S540" i="10"/>
  <c r="O541" i="10"/>
  <c r="P541" i="10"/>
  <c r="T541" i="10"/>
  <c r="U541" i="10"/>
  <c r="L542" i="10"/>
  <c r="L540" i="10" s="1"/>
  <c r="O540" i="10" s="1"/>
  <c r="M542" i="10"/>
  <c r="M540" i="10" s="1"/>
  <c r="P540" i="10" s="1"/>
  <c r="N542" i="10"/>
  <c r="N540" i="10" s="1"/>
  <c r="T542" i="10"/>
  <c r="U542" i="10"/>
  <c r="I554" i="10"/>
  <c r="K554" i="10" s="1"/>
  <c r="J554" i="10"/>
  <c r="L556" i="10"/>
  <c r="O556" i="10" s="1"/>
  <c r="M556" i="10"/>
  <c r="P556" i="10" s="1"/>
  <c r="N556" i="10"/>
  <c r="Q556" i="10"/>
  <c r="R556" i="10"/>
  <c r="U556" i="10" s="1"/>
  <c r="S556" i="10"/>
  <c r="T556" i="10"/>
  <c r="Q557" i="10"/>
  <c r="T557" i="10" s="1"/>
  <c r="R557" i="10"/>
  <c r="U557" i="10" s="1"/>
  <c r="S557" i="10"/>
  <c r="Q558" i="10"/>
  <c r="R558" i="10"/>
  <c r="S558" i="10"/>
  <c r="T558" i="10"/>
  <c r="U558" i="10"/>
  <c r="O559" i="10"/>
  <c r="P559" i="10"/>
  <c r="T559" i="10"/>
  <c r="U559" i="10"/>
  <c r="L560" i="10"/>
  <c r="O560" i="10" s="1"/>
  <c r="M560" i="10"/>
  <c r="N560" i="10"/>
  <c r="T560" i="10"/>
  <c r="U560" i="10"/>
  <c r="Q561" i="10"/>
  <c r="T561" i="10" s="1"/>
  <c r="R561" i="10"/>
  <c r="U561" i="10" s="1"/>
  <c r="S561" i="10"/>
  <c r="O562" i="10"/>
  <c r="P562" i="10"/>
  <c r="T562" i="10"/>
  <c r="U562" i="10"/>
  <c r="L563" i="10"/>
  <c r="O563" i="10" s="1"/>
  <c r="M563" i="10"/>
  <c r="M561" i="10" s="1"/>
  <c r="P561" i="10" s="1"/>
  <c r="N563" i="10"/>
  <c r="N561" i="10" s="1"/>
  <c r="T563" i="10"/>
  <c r="U563" i="10"/>
  <c r="I575" i="10"/>
  <c r="K575" i="10" s="1"/>
  <c r="J575" i="10"/>
  <c r="R576" i="10"/>
  <c r="U576" i="10" s="1"/>
  <c r="L577" i="10"/>
  <c r="M577" i="10"/>
  <c r="P577" i="10" s="1"/>
  <c r="N577" i="10"/>
  <c r="O577" i="10"/>
  <c r="Q577" i="10"/>
  <c r="R577" i="10"/>
  <c r="S577" i="10"/>
  <c r="S576" i="10" s="1"/>
  <c r="U577" i="10"/>
  <c r="Q578" i="10"/>
  <c r="T578" i="10" s="1"/>
  <c r="R578" i="10"/>
  <c r="U578" i="10" s="1"/>
  <c r="S578" i="10"/>
  <c r="Q579" i="10"/>
  <c r="T579" i="10" s="1"/>
  <c r="R579" i="10"/>
  <c r="U579" i="10" s="1"/>
  <c r="S579" i="10"/>
  <c r="O580" i="10"/>
  <c r="P580" i="10"/>
  <c r="T580" i="10"/>
  <c r="U580" i="10"/>
  <c r="L581" i="10"/>
  <c r="L579" i="10" s="1"/>
  <c r="O579" i="10" s="1"/>
  <c r="M581" i="10"/>
  <c r="P581" i="10" s="1"/>
  <c r="N581" i="10"/>
  <c r="N579" i="10" s="1"/>
  <c r="T581" i="10"/>
  <c r="U581" i="10"/>
  <c r="Q582" i="10"/>
  <c r="R582" i="10"/>
  <c r="U582" i="10" s="1"/>
  <c r="S582" i="10"/>
  <c r="T582" i="10"/>
  <c r="O583" i="10"/>
  <c r="P583" i="10"/>
  <c r="T583" i="10"/>
  <c r="U583" i="10"/>
  <c r="L584" i="10"/>
  <c r="O584" i="10" s="1"/>
  <c r="M584" i="10"/>
  <c r="N584" i="10"/>
  <c r="N582" i="10" s="1"/>
  <c r="T584" i="10"/>
  <c r="U584" i="10"/>
  <c r="L600" i="10"/>
  <c r="O600" i="10" s="1"/>
  <c r="M600" i="10"/>
  <c r="N600" i="10"/>
  <c r="Q600" i="10"/>
  <c r="T600" i="10" s="1"/>
  <c r="R600" i="10"/>
  <c r="U600" i="10" s="1"/>
  <c r="S600" i="10"/>
  <c r="O603" i="10"/>
  <c r="P603" i="10"/>
  <c r="T603" i="10"/>
  <c r="U603" i="10"/>
  <c r="L604" i="10"/>
  <c r="L602" i="10" s="1"/>
  <c r="M604" i="10"/>
  <c r="N604" i="10"/>
  <c r="N602" i="10" s="1"/>
  <c r="Q604" i="10"/>
  <c r="Q602" i="10" s="1"/>
  <c r="T602" i="10" s="1"/>
  <c r="R604" i="10"/>
  <c r="R602" i="10" s="1"/>
  <c r="U602" i="10" s="1"/>
  <c r="S604" i="10"/>
  <c r="S602" i="10" s="1"/>
  <c r="O606" i="10"/>
  <c r="P606" i="10"/>
  <c r="T606" i="10"/>
  <c r="U606" i="10"/>
  <c r="L607" i="10"/>
  <c r="L605" i="10" s="1"/>
  <c r="O605" i="10" s="1"/>
  <c r="M607" i="10"/>
  <c r="P607" i="10" s="1"/>
  <c r="N607" i="10"/>
  <c r="N605" i="10" s="1"/>
  <c r="Q607" i="10"/>
  <c r="R607" i="10"/>
  <c r="R605" i="10" s="1"/>
  <c r="U605" i="10" s="1"/>
  <c r="S607" i="10"/>
  <c r="S605" i="10" s="1"/>
  <c r="L617" i="10"/>
  <c r="O617" i="10" s="1"/>
  <c r="M617" i="10"/>
  <c r="N617" i="10"/>
  <c r="P617" i="10"/>
  <c r="Q617" i="10"/>
  <c r="T617" i="10" s="1"/>
  <c r="R617" i="10"/>
  <c r="S617" i="10"/>
  <c r="U617" i="10"/>
  <c r="L618" i="10"/>
  <c r="O618" i="10" s="1"/>
  <c r="M618" i="10"/>
  <c r="P618" i="10" s="1"/>
  <c r="N618" i="10"/>
  <c r="N616" i="10" s="1"/>
  <c r="L619" i="10"/>
  <c r="O619" i="10" s="1"/>
  <c r="M619" i="10"/>
  <c r="P619" i="10" s="1"/>
  <c r="N619" i="10"/>
  <c r="O620" i="10"/>
  <c r="P620" i="10"/>
  <c r="T620" i="10"/>
  <c r="U620" i="10"/>
  <c r="O621" i="10"/>
  <c r="P621" i="10"/>
  <c r="Q621" i="10"/>
  <c r="Q619" i="10" s="1"/>
  <c r="R621" i="10"/>
  <c r="R619" i="10" s="1"/>
  <c r="S621" i="10"/>
  <c r="S618" i="10" s="1"/>
  <c r="L622" i="10"/>
  <c r="M622" i="10"/>
  <c r="N622" i="10"/>
  <c r="O622" i="10"/>
  <c r="P622" i="10"/>
  <c r="Q622" i="10"/>
  <c r="T622" i="10" s="1"/>
  <c r="R622" i="10"/>
  <c r="S622" i="10"/>
  <c r="U622" i="10"/>
  <c r="O623" i="10"/>
  <c r="P623" i="10"/>
  <c r="T623" i="10"/>
  <c r="U623" i="10"/>
  <c r="O624" i="10"/>
  <c r="P624" i="10"/>
  <c r="T624" i="10"/>
  <c r="U624" i="10"/>
  <c r="I626" i="10"/>
  <c r="I627" i="10"/>
  <c r="K627" i="10" s="1"/>
  <c r="I628" i="10"/>
  <c r="K628" i="10" s="1"/>
  <c r="J632" i="10"/>
  <c r="J626" i="10" s="1"/>
  <c r="J615" i="10" s="1"/>
  <c r="I635" i="10"/>
  <c r="K635" i="10" s="1"/>
  <c r="J636" i="10"/>
  <c r="J635" i="10" s="1"/>
  <c r="L643" i="10"/>
  <c r="M643" i="10"/>
  <c r="P643" i="10" s="1"/>
  <c r="N643" i="10"/>
  <c r="Q643" i="10"/>
  <c r="T643" i="10" s="1"/>
  <c r="R643" i="10"/>
  <c r="S643" i="10"/>
  <c r="U643" i="10"/>
  <c r="L644" i="10"/>
  <c r="M644" i="10"/>
  <c r="N644" i="10"/>
  <c r="N642" i="10" s="1"/>
  <c r="O644" i="10"/>
  <c r="P644" i="10"/>
  <c r="L645" i="10"/>
  <c r="O645" i="10" s="1"/>
  <c r="M645" i="10"/>
  <c r="P645" i="10" s="1"/>
  <c r="N645" i="10"/>
  <c r="O646" i="10"/>
  <c r="P646" i="10"/>
  <c r="T646" i="10"/>
  <c r="U646" i="10"/>
  <c r="O647" i="10"/>
  <c r="P647" i="10"/>
  <c r="Q647" i="10"/>
  <c r="Q645" i="10" s="1"/>
  <c r="T645" i="10" s="1"/>
  <c r="R647" i="10"/>
  <c r="R644" i="10" s="1"/>
  <c r="U644" i="10" s="1"/>
  <c r="S647" i="10"/>
  <c r="S644" i="10" s="1"/>
  <c r="L648" i="10"/>
  <c r="M648" i="10"/>
  <c r="P648" i="10" s="1"/>
  <c r="N648" i="10"/>
  <c r="O648" i="10"/>
  <c r="Q648" i="10"/>
  <c r="R648" i="10"/>
  <c r="S648" i="10"/>
  <c r="T648" i="10"/>
  <c r="U648" i="10"/>
  <c r="O649" i="10"/>
  <c r="P649" i="10"/>
  <c r="T649" i="10"/>
  <c r="U649" i="10"/>
  <c r="O650" i="10"/>
  <c r="P650" i="10"/>
  <c r="T650" i="10"/>
  <c r="U650" i="10"/>
  <c r="I652" i="10"/>
  <c r="K652" i="10" s="1"/>
  <c r="J652" i="10"/>
  <c r="I653" i="10"/>
  <c r="K653" i="10" s="1"/>
  <c r="J653" i="10"/>
  <c r="I654" i="10"/>
  <c r="K654" i="10" s="1"/>
  <c r="J654" i="10"/>
  <c r="I657" i="10"/>
  <c r="I660" i="10"/>
  <c r="I661" i="10"/>
  <c r="K661" i="10" s="1"/>
  <c r="J661" i="10"/>
  <c r="J671" i="10"/>
  <c r="J672" i="10"/>
  <c r="I673" i="10"/>
  <c r="K673" i="10" s="1"/>
  <c r="J673" i="10"/>
  <c r="I674" i="10"/>
  <c r="K674" i="10" s="1"/>
  <c r="I675" i="10"/>
  <c r="K675" i="10" s="1"/>
  <c r="I676" i="10"/>
  <c r="K676" i="10" s="1"/>
  <c r="J676" i="10"/>
  <c r="J677" i="10"/>
  <c r="I678" i="10"/>
  <c r="K678" i="10" s="1"/>
  <c r="J678" i="10"/>
  <c r="I679" i="10"/>
  <c r="K679" i="10" s="1"/>
  <c r="J679" i="10"/>
  <c r="J680" i="10"/>
  <c r="I681" i="10"/>
  <c r="K681" i="10" s="1"/>
  <c r="J681" i="10"/>
  <c r="I682" i="10"/>
  <c r="K682" i="10" s="1"/>
  <c r="J682" i="10"/>
  <c r="M690" i="10"/>
  <c r="P690" i="10" s="1"/>
  <c r="L691" i="10"/>
  <c r="O691" i="10" s="1"/>
  <c r="M691" i="10"/>
  <c r="P691" i="10" s="1"/>
  <c r="N691" i="10"/>
  <c r="Q691" i="10"/>
  <c r="R691" i="10"/>
  <c r="S691" i="10"/>
  <c r="T691" i="10"/>
  <c r="L692" i="10"/>
  <c r="M692" i="10"/>
  <c r="N692" i="10"/>
  <c r="N690" i="10" s="1"/>
  <c r="O692" i="10"/>
  <c r="P692" i="10"/>
  <c r="L693" i="10"/>
  <c r="O693" i="10" s="1"/>
  <c r="M693" i="10"/>
  <c r="P693" i="10" s="1"/>
  <c r="N693" i="10"/>
  <c r="O694" i="10"/>
  <c r="P694" i="10"/>
  <c r="T694" i="10"/>
  <c r="U694" i="10"/>
  <c r="O695" i="10"/>
  <c r="P695" i="10"/>
  <c r="Q695" i="10"/>
  <c r="Q693" i="10" s="1"/>
  <c r="T693" i="10" s="1"/>
  <c r="R695" i="10"/>
  <c r="R692" i="10" s="1"/>
  <c r="U692" i="10" s="1"/>
  <c r="S695" i="10"/>
  <c r="S692" i="10" s="1"/>
  <c r="S690" i="10" s="1"/>
  <c r="L696" i="10"/>
  <c r="O696" i="10" s="1"/>
  <c r="M696" i="10"/>
  <c r="N696" i="10"/>
  <c r="P696" i="10"/>
  <c r="Q696" i="10"/>
  <c r="R696" i="10"/>
  <c r="U696" i="10" s="1"/>
  <c r="S696" i="10"/>
  <c r="T696" i="10"/>
  <c r="O697" i="10"/>
  <c r="P697" i="10"/>
  <c r="T697" i="10"/>
  <c r="U697" i="10"/>
  <c r="O698" i="10"/>
  <c r="P698" i="10"/>
  <c r="T698" i="10"/>
  <c r="U698" i="10"/>
  <c r="I700" i="10"/>
  <c r="K700" i="10" s="1"/>
  <c r="K702" i="10"/>
  <c r="I703" i="10"/>
  <c r="J703" i="10"/>
  <c r="J704" i="10"/>
  <c r="K704" i="10"/>
  <c r="I705" i="10"/>
  <c r="K705" i="10" s="1"/>
  <c r="J705" i="10"/>
  <c r="J706" i="10"/>
  <c r="K706" i="10"/>
  <c r="I707" i="10"/>
  <c r="J707" i="10"/>
  <c r="J689" i="10" s="1"/>
  <c r="J708" i="10"/>
  <c r="K708" i="10"/>
  <c r="I709" i="10"/>
  <c r="K709" i="10" s="1"/>
  <c r="J709" i="10"/>
  <c r="J710" i="10"/>
  <c r="K710" i="10"/>
  <c r="J712" i="10"/>
  <c r="K712" i="10"/>
  <c r="Q714" i="10"/>
  <c r="T714" i="10" s="1"/>
  <c r="L715" i="10"/>
  <c r="O715" i="10" s="1"/>
  <c r="M715" i="10"/>
  <c r="N715" i="10"/>
  <c r="N714" i="10" s="1"/>
  <c r="Q715" i="10"/>
  <c r="T715" i="10" s="1"/>
  <c r="R715" i="10"/>
  <c r="U715" i="10" s="1"/>
  <c r="S715" i="10"/>
  <c r="S714" i="10" s="1"/>
  <c r="L716" i="10"/>
  <c r="L714" i="10" s="1"/>
  <c r="O714" i="10" s="1"/>
  <c r="M716" i="10"/>
  <c r="P716" i="10" s="1"/>
  <c r="N716" i="10"/>
  <c r="O716" i="10"/>
  <c r="Q716" i="10"/>
  <c r="R716" i="10"/>
  <c r="S716" i="10"/>
  <c r="T716" i="10"/>
  <c r="L717" i="10"/>
  <c r="O717" i="10" s="1"/>
  <c r="M717" i="10"/>
  <c r="N717" i="10"/>
  <c r="P717" i="10"/>
  <c r="Q717" i="10"/>
  <c r="T717" i="10" s="1"/>
  <c r="R717" i="10"/>
  <c r="S717" i="10"/>
  <c r="U717" i="10"/>
  <c r="O718" i="10"/>
  <c r="P718" i="10"/>
  <c r="T718" i="10"/>
  <c r="U718" i="10"/>
  <c r="O719" i="10"/>
  <c r="P719" i="10"/>
  <c r="T719" i="10"/>
  <c r="U719" i="10"/>
  <c r="L720" i="10"/>
  <c r="M720" i="10"/>
  <c r="P720" i="10" s="1"/>
  <c r="N720" i="10"/>
  <c r="O720" i="10"/>
  <c r="Q720" i="10"/>
  <c r="T720" i="10" s="1"/>
  <c r="R720" i="10"/>
  <c r="U720" i="10" s="1"/>
  <c r="S720" i="10"/>
  <c r="O721" i="10"/>
  <c r="P721" i="10"/>
  <c r="T721" i="10"/>
  <c r="U721" i="10"/>
  <c r="O722" i="10"/>
  <c r="P722" i="10"/>
  <c r="T722" i="10"/>
  <c r="U722" i="10"/>
  <c r="I726" i="10"/>
  <c r="J726" i="10"/>
  <c r="I727" i="10"/>
  <c r="J727" i="10"/>
  <c r="L729" i="10"/>
  <c r="O729" i="10" s="1"/>
  <c r="M729" i="10"/>
  <c r="N729" i="10"/>
  <c r="N728" i="10" s="1"/>
  <c r="Q729" i="10"/>
  <c r="T729" i="10" s="1"/>
  <c r="R729" i="10"/>
  <c r="U729" i="10" s="1"/>
  <c r="S729" i="10"/>
  <c r="L730" i="10"/>
  <c r="L728" i="10" s="1"/>
  <c r="O728" i="10" s="1"/>
  <c r="M730" i="10"/>
  <c r="P730" i="10" s="1"/>
  <c r="N730" i="10"/>
  <c r="O730" i="10"/>
  <c r="L731" i="10"/>
  <c r="O731" i="10" s="1"/>
  <c r="M731" i="10"/>
  <c r="N731" i="10"/>
  <c r="P731" i="10"/>
  <c r="O732" i="10"/>
  <c r="P732" i="10"/>
  <c r="T732" i="10"/>
  <c r="U732" i="10"/>
  <c r="O733" i="10"/>
  <c r="P733" i="10"/>
  <c r="Q733" i="10"/>
  <c r="Q730" i="10" s="1"/>
  <c r="R733" i="10"/>
  <c r="R731" i="10" s="1"/>
  <c r="S733" i="10"/>
  <c r="S731" i="10" s="1"/>
  <c r="L734" i="10"/>
  <c r="O734" i="10" s="1"/>
  <c r="M734" i="10"/>
  <c r="P734" i="10" s="1"/>
  <c r="N734" i="10"/>
  <c r="Q734" i="10"/>
  <c r="R734" i="10"/>
  <c r="U734" i="10" s="1"/>
  <c r="S734" i="10"/>
  <c r="T734" i="10"/>
  <c r="O735" i="10"/>
  <c r="P735" i="10"/>
  <c r="T735" i="10"/>
  <c r="U735" i="10"/>
  <c r="O736" i="10"/>
  <c r="P736" i="10"/>
  <c r="T736" i="10"/>
  <c r="U736" i="10"/>
  <c r="I740" i="10"/>
  <c r="K740" i="10" s="1"/>
  <c r="I742" i="10"/>
  <c r="K742" i="10" s="1"/>
  <c r="I744" i="10"/>
  <c r="K744" i="10" s="1"/>
  <c r="I746" i="10"/>
  <c r="K746" i="10" s="1"/>
  <c r="I749" i="10"/>
  <c r="K749" i="10" s="1"/>
  <c r="I752" i="10"/>
  <c r="K752" i="10" s="1"/>
  <c r="I755" i="10"/>
  <c r="K755" i="10" s="1"/>
  <c r="J758" i="10"/>
  <c r="J759" i="10"/>
  <c r="L761" i="10"/>
  <c r="O761" i="10" s="1"/>
  <c r="M761" i="10"/>
  <c r="P761" i="10" s="1"/>
  <c r="N761" i="10"/>
  <c r="N760" i="10" s="1"/>
  <c r="Q761" i="10"/>
  <c r="R761" i="10"/>
  <c r="U761" i="10" s="1"/>
  <c r="S761" i="10"/>
  <c r="T761" i="10"/>
  <c r="L762" i="10"/>
  <c r="O762" i="10" s="1"/>
  <c r="M762" i="10"/>
  <c r="N762" i="10"/>
  <c r="L763" i="10"/>
  <c r="O763" i="10" s="1"/>
  <c r="M763" i="10"/>
  <c r="N763" i="10"/>
  <c r="P763" i="10"/>
  <c r="O764" i="10"/>
  <c r="P764" i="10"/>
  <c r="T764" i="10"/>
  <c r="U764" i="10"/>
  <c r="O765" i="10"/>
  <c r="P765" i="10"/>
  <c r="Q765" i="10"/>
  <c r="Q762" i="10" s="1"/>
  <c r="R765" i="10"/>
  <c r="R762" i="10" s="1"/>
  <c r="S765" i="10"/>
  <c r="S763" i="10" s="1"/>
  <c r="L766" i="10"/>
  <c r="O766" i="10" s="1"/>
  <c r="M766" i="10"/>
  <c r="P766" i="10" s="1"/>
  <c r="N766" i="10"/>
  <c r="Q766" i="10"/>
  <c r="T766" i="10" s="1"/>
  <c r="R766" i="10"/>
  <c r="U766" i="10" s="1"/>
  <c r="S766" i="10"/>
  <c r="O767" i="10"/>
  <c r="P767" i="10"/>
  <c r="T767" i="10"/>
  <c r="U767" i="10"/>
  <c r="O768" i="10"/>
  <c r="P768" i="10"/>
  <c r="T768" i="10"/>
  <c r="U768" i="10"/>
  <c r="I770" i="10"/>
  <c r="K770" i="10" s="1"/>
  <c r="I772" i="10"/>
  <c r="I774" i="10"/>
  <c r="K774" i="10" s="1"/>
  <c r="I775" i="10"/>
  <c r="I776" i="10"/>
  <c r="H777" i="10"/>
  <c r="I778" i="10"/>
  <c r="J778" i="10"/>
  <c r="I779" i="10"/>
  <c r="J779" i="10"/>
  <c r="I780" i="10"/>
  <c r="J780" i="10"/>
  <c r="I781" i="10"/>
  <c r="J781" i="10"/>
  <c r="I782" i="10"/>
  <c r="K782" i="10" s="1"/>
  <c r="J782" i="10"/>
  <c r="I783" i="10"/>
  <c r="K783" i="10" s="1"/>
  <c r="J783" i="10"/>
  <c r="I784" i="10"/>
  <c r="J784" i="10"/>
  <c r="I785" i="10"/>
  <c r="J785" i="10"/>
  <c r="A788" i="10"/>
  <c r="A789" i="10"/>
  <c r="L22" i="9"/>
  <c r="M22" i="9"/>
  <c r="N22" i="9"/>
  <c r="Q22" i="9"/>
  <c r="R22" i="9"/>
  <c r="S22" i="9"/>
  <c r="T22" i="9"/>
  <c r="L25" i="9"/>
  <c r="L19" i="9" s="1"/>
  <c r="M25" i="9"/>
  <c r="N25" i="9"/>
  <c r="Q25" i="9"/>
  <c r="T25" i="9" s="1"/>
  <c r="R25" i="9"/>
  <c r="S25" i="9"/>
  <c r="L45" i="9"/>
  <c r="O45" i="9" s="1"/>
  <c r="M45" i="9"/>
  <c r="N45" i="9"/>
  <c r="Q45" i="9"/>
  <c r="Q44" i="9" s="1"/>
  <c r="T44" i="9" s="1"/>
  <c r="R45" i="9"/>
  <c r="R44" i="9" s="1"/>
  <c r="U44" i="9" s="1"/>
  <c r="S45" i="9"/>
  <c r="T45" i="9"/>
  <c r="U45" i="9"/>
  <c r="Q46" i="9"/>
  <c r="T46" i="9" s="1"/>
  <c r="R46" i="9"/>
  <c r="S46" i="9"/>
  <c r="U46" i="9"/>
  <c r="Q47" i="9"/>
  <c r="T47" i="9" s="1"/>
  <c r="R47" i="9"/>
  <c r="U47" i="9" s="1"/>
  <c r="S47" i="9"/>
  <c r="O48" i="9"/>
  <c r="P48" i="9"/>
  <c r="T48" i="9"/>
  <c r="U48" i="9"/>
  <c r="L49" i="9"/>
  <c r="L47" i="9" s="1"/>
  <c r="M49" i="9"/>
  <c r="M47" i="9" s="1"/>
  <c r="N49" i="9"/>
  <c r="T49" i="9"/>
  <c r="U49" i="9"/>
  <c r="Q50" i="9"/>
  <c r="T50" i="9" s="1"/>
  <c r="R50" i="9"/>
  <c r="U50" i="9" s="1"/>
  <c r="S50" i="9"/>
  <c r="O51" i="9"/>
  <c r="P51" i="9"/>
  <c r="T51" i="9"/>
  <c r="U51" i="9"/>
  <c r="L52" i="9"/>
  <c r="M52" i="9"/>
  <c r="N52" i="9"/>
  <c r="N50" i="9" s="1"/>
  <c r="T52" i="9"/>
  <c r="U52" i="9"/>
  <c r="L60" i="9"/>
  <c r="M60" i="9"/>
  <c r="N60" i="9"/>
  <c r="O60" i="9"/>
  <c r="Q60" i="9"/>
  <c r="Q59" i="9" s="1"/>
  <c r="T59" i="9" s="1"/>
  <c r="R60" i="9"/>
  <c r="R59" i="9" s="1"/>
  <c r="U59" i="9" s="1"/>
  <c r="S60" i="9"/>
  <c r="S59" i="9" s="1"/>
  <c r="T60" i="9"/>
  <c r="U60" i="9"/>
  <c r="Q61" i="9"/>
  <c r="T61" i="9" s="1"/>
  <c r="R61" i="9"/>
  <c r="S61" i="9"/>
  <c r="U61" i="9"/>
  <c r="Q62" i="9"/>
  <c r="T62" i="9" s="1"/>
  <c r="R62" i="9"/>
  <c r="U62" i="9" s="1"/>
  <c r="S62" i="9"/>
  <c r="O63" i="9"/>
  <c r="P63" i="9"/>
  <c r="T63" i="9"/>
  <c r="U63" i="9"/>
  <c r="L64" i="9"/>
  <c r="L62" i="9" s="1"/>
  <c r="M64" i="9"/>
  <c r="M62" i="9" s="1"/>
  <c r="N64" i="9"/>
  <c r="T64" i="9"/>
  <c r="U64" i="9"/>
  <c r="Q65" i="9"/>
  <c r="R65" i="9"/>
  <c r="U65" i="9" s="1"/>
  <c r="S65" i="9"/>
  <c r="T65" i="9"/>
  <c r="O66" i="9"/>
  <c r="P66" i="9"/>
  <c r="T66" i="9"/>
  <c r="U66" i="9"/>
  <c r="L67" i="9"/>
  <c r="M67" i="9"/>
  <c r="N67" i="9"/>
  <c r="N65" i="9" s="1"/>
  <c r="T67" i="9"/>
  <c r="U67" i="9"/>
  <c r="L73" i="9"/>
  <c r="O73" i="9" s="1"/>
  <c r="M73" i="9"/>
  <c r="N73" i="9"/>
  <c r="Q73" i="9"/>
  <c r="T73" i="9" s="1"/>
  <c r="R73" i="9"/>
  <c r="S73" i="9"/>
  <c r="U73" i="9"/>
  <c r="O76" i="9"/>
  <c r="P76" i="9"/>
  <c r="T76" i="9"/>
  <c r="U76" i="9"/>
  <c r="L77" i="9"/>
  <c r="M77" i="9"/>
  <c r="N77" i="9"/>
  <c r="N75" i="9" s="1"/>
  <c r="Q77" i="9"/>
  <c r="Q75" i="9" s="1"/>
  <c r="R77" i="9"/>
  <c r="R75" i="9" s="1"/>
  <c r="S77" i="9"/>
  <c r="S75" i="9" s="1"/>
  <c r="O79" i="9"/>
  <c r="P79" i="9"/>
  <c r="T79" i="9"/>
  <c r="U79" i="9"/>
  <c r="L80" i="9"/>
  <c r="O80" i="9" s="1"/>
  <c r="M80" i="9"/>
  <c r="M78" i="9" s="1"/>
  <c r="P78" i="9" s="1"/>
  <c r="N80" i="9"/>
  <c r="N78" i="9" s="1"/>
  <c r="Q80" i="9"/>
  <c r="Q78" i="9" s="1"/>
  <c r="T78" i="9" s="1"/>
  <c r="R80" i="9"/>
  <c r="R78" i="9" s="1"/>
  <c r="U78" i="9" s="1"/>
  <c r="S80" i="9"/>
  <c r="S78" i="9" s="1"/>
  <c r="J82" i="9"/>
  <c r="J70" i="9" s="1"/>
  <c r="J83" i="9"/>
  <c r="J71" i="9" s="1"/>
  <c r="I84" i="9"/>
  <c r="K84" i="9" s="1"/>
  <c r="I85" i="9"/>
  <c r="I86" i="9"/>
  <c r="K86" i="9" s="1"/>
  <c r="I87" i="9"/>
  <c r="K87" i="9" s="1"/>
  <c r="I88" i="9"/>
  <c r="K88" i="9" s="1"/>
  <c r="I89" i="9"/>
  <c r="K89" i="9" s="1"/>
  <c r="I90" i="9"/>
  <c r="K90" i="9" s="1"/>
  <c r="J92" i="9"/>
  <c r="J93" i="9"/>
  <c r="L95" i="9"/>
  <c r="M95" i="9"/>
  <c r="P95" i="9" s="1"/>
  <c r="N95" i="9"/>
  <c r="Q95" i="9"/>
  <c r="R95" i="9"/>
  <c r="S95" i="9"/>
  <c r="O98" i="9"/>
  <c r="P98" i="9"/>
  <c r="T98" i="9"/>
  <c r="U98" i="9"/>
  <c r="L99" i="9"/>
  <c r="M99" i="9"/>
  <c r="N99" i="9"/>
  <c r="N97" i="9" s="1"/>
  <c r="Q99" i="9"/>
  <c r="Q97" i="9" s="1"/>
  <c r="R99" i="9"/>
  <c r="R96" i="9" s="1"/>
  <c r="S99" i="9"/>
  <c r="S96" i="9" s="1"/>
  <c r="S94" i="9" s="1"/>
  <c r="Q100" i="9"/>
  <c r="T100" i="9" s="1"/>
  <c r="R100" i="9"/>
  <c r="U100" i="9" s="1"/>
  <c r="S100" i="9"/>
  <c r="O101" i="9"/>
  <c r="P101" i="9"/>
  <c r="T101" i="9"/>
  <c r="U101" i="9"/>
  <c r="L102" i="9"/>
  <c r="M102" i="9"/>
  <c r="N102" i="9"/>
  <c r="N100" i="9" s="1"/>
  <c r="T102" i="9"/>
  <c r="U102" i="9"/>
  <c r="I108" i="9"/>
  <c r="I109" i="9"/>
  <c r="I93" i="9" s="1"/>
  <c r="I113" i="9"/>
  <c r="K113" i="9" s="1"/>
  <c r="I114" i="9"/>
  <c r="K114" i="9" s="1"/>
  <c r="J116" i="9"/>
  <c r="L118" i="9"/>
  <c r="M118" i="9"/>
  <c r="N118" i="9"/>
  <c r="O118" i="9"/>
  <c r="P118" i="9"/>
  <c r="Q118" i="9"/>
  <c r="T118" i="9" s="1"/>
  <c r="R118" i="9"/>
  <c r="S118" i="9"/>
  <c r="U118" i="9"/>
  <c r="O121" i="9"/>
  <c r="P121" i="9"/>
  <c r="T121" i="9"/>
  <c r="U121" i="9"/>
  <c r="L122" i="9"/>
  <c r="M122" i="9"/>
  <c r="M120" i="9" s="1"/>
  <c r="P120" i="9" s="1"/>
  <c r="N122" i="9"/>
  <c r="Q122" i="9"/>
  <c r="R122" i="9"/>
  <c r="S122" i="9"/>
  <c r="O124" i="9"/>
  <c r="P124" i="9"/>
  <c r="T124" i="9"/>
  <c r="U124" i="9"/>
  <c r="L125" i="9"/>
  <c r="M125" i="9"/>
  <c r="P125" i="9" s="1"/>
  <c r="N125" i="9"/>
  <c r="N123" i="9" s="1"/>
  <c r="Q125" i="9"/>
  <c r="R125" i="9"/>
  <c r="S125" i="9"/>
  <c r="S123" i="9" s="1"/>
  <c r="I127" i="9"/>
  <c r="K127" i="9" s="1"/>
  <c r="I128" i="9"/>
  <c r="K128" i="9" s="1"/>
  <c r="I129" i="9"/>
  <c r="K129" i="9" s="1"/>
  <c r="I130" i="9"/>
  <c r="K130" i="9" s="1"/>
  <c r="J136" i="9"/>
  <c r="J137" i="9"/>
  <c r="J138" i="9"/>
  <c r="L140" i="9"/>
  <c r="O140" i="9" s="1"/>
  <c r="M140" i="9"/>
  <c r="N140" i="9"/>
  <c r="Q140" i="9"/>
  <c r="R140" i="9"/>
  <c r="U140" i="9" s="1"/>
  <c r="S140" i="9"/>
  <c r="O143" i="9"/>
  <c r="P143" i="9"/>
  <c r="T143" i="9"/>
  <c r="U143" i="9"/>
  <c r="L144" i="9"/>
  <c r="M144" i="9"/>
  <c r="N144" i="9"/>
  <c r="Q144" i="9"/>
  <c r="Q142" i="9" s="1"/>
  <c r="R144" i="9"/>
  <c r="S144" i="9"/>
  <c r="O146" i="9"/>
  <c r="P146" i="9"/>
  <c r="T146" i="9"/>
  <c r="U146" i="9"/>
  <c r="L147" i="9"/>
  <c r="L145" i="9" s="1"/>
  <c r="O145" i="9" s="1"/>
  <c r="M147" i="9"/>
  <c r="M145" i="9" s="1"/>
  <c r="P145" i="9" s="1"/>
  <c r="N147" i="9"/>
  <c r="N145" i="9" s="1"/>
  <c r="Q147" i="9"/>
  <c r="Q145" i="9" s="1"/>
  <c r="T145" i="9" s="1"/>
  <c r="R147" i="9"/>
  <c r="R145" i="9" s="1"/>
  <c r="U145" i="9" s="1"/>
  <c r="S147" i="9"/>
  <c r="S145" i="9" s="1"/>
  <c r="I150" i="9"/>
  <c r="K150" i="9" s="1"/>
  <c r="I151" i="9"/>
  <c r="K151" i="9" s="1"/>
  <c r="I152" i="9"/>
  <c r="I137" i="9" s="1"/>
  <c r="I153" i="9"/>
  <c r="I154" i="9"/>
  <c r="K154" i="9" s="1"/>
  <c r="J156" i="9"/>
  <c r="L158" i="9"/>
  <c r="M158" i="9"/>
  <c r="P158" i="9" s="1"/>
  <c r="N158" i="9"/>
  <c r="Q158" i="9"/>
  <c r="T158" i="9" s="1"/>
  <c r="R158" i="9"/>
  <c r="S158" i="9"/>
  <c r="U158" i="9"/>
  <c r="O161" i="9"/>
  <c r="P161" i="9"/>
  <c r="T161" i="9"/>
  <c r="U161" i="9"/>
  <c r="L162" i="9"/>
  <c r="M162" i="9"/>
  <c r="M160" i="9" s="1"/>
  <c r="P160" i="9" s="1"/>
  <c r="N162" i="9"/>
  <c r="N160" i="9" s="1"/>
  <c r="Q162" i="9"/>
  <c r="T162" i="9" s="1"/>
  <c r="R162" i="9"/>
  <c r="S162" i="9"/>
  <c r="S159" i="9" s="1"/>
  <c r="Q163" i="9"/>
  <c r="T163" i="9" s="1"/>
  <c r="R163" i="9"/>
  <c r="S163" i="9"/>
  <c r="U163" i="9"/>
  <c r="O164" i="9"/>
  <c r="P164" i="9"/>
  <c r="T164" i="9"/>
  <c r="U164" i="9"/>
  <c r="L165" i="9"/>
  <c r="M165" i="9"/>
  <c r="P165" i="9" s="1"/>
  <c r="N165" i="9"/>
  <c r="N163" i="9" s="1"/>
  <c r="T165" i="9"/>
  <c r="U165" i="9"/>
  <c r="I167" i="9"/>
  <c r="K167" i="9" s="1"/>
  <c r="I168" i="9"/>
  <c r="K168" i="9" s="1"/>
  <c r="I169" i="9"/>
  <c r="J172" i="9"/>
  <c r="L174" i="9"/>
  <c r="M174" i="9"/>
  <c r="P174" i="9" s="1"/>
  <c r="N174" i="9"/>
  <c r="Q174" i="9"/>
  <c r="T174" i="9" s="1"/>
  <c r="R174" i="9"/>
  <c r="S174" i="9"/>
  <c r="O177" i="9"/>
  <c r="P177" i="9"/>
  <c r="T177" i="9"/>
  <c r="U177" i="9"/>
  <c r="L178" i="9"/>
  <c r="M178" i="9"/>
  <c r="N178" i="9"/>
  <c r="N176" i="9" s="1"/>
  <c r="Q178" i="9"/>
  <c r="Q176" i="9" s="1"/>
  <c r="T176" i="9" s="1"/>
  <c r="R178" i="9"/>
  <c r="S178" i="9"/>
  <c r="Q179" i="9"/>
  <c r="T179" i="9" s="1"/>
  <c r="R179" i="9"/>
  <c r="U179" i="9" s="1"/>
  <c r="S179" i="9"/>
  <c r="O180" i="9"/>
  <c r="P180" i="9"/>
  <c r="T180" i="9"/>
  <c r="U180" i="9"/>
  <c r="L181" i="9"/>
  <c r="L179" i="9" s="1"/>
  <c r="O179" i="9" s="1"/>
  <c r="M181" i="9"/>
  <c r="P181" i="9" s="1"/>
  <c r="N181" i="9"/>
  <c r="N179" i="9" s="1"/>
  <c r="T181" i="9"/>
  <c r="U181" i="9"/>
  <c r="I183" i="9"/>
  <c r="I172" i="9" s="1"/>
  <c r="K172" i="9" s="1"/>
  <c r="K184" i="9"/>
  <c r="L187" i="9"/>
  <c r="M187" i="9"/>
  <c r="N187" i="9"/>
  <c r="Q187" i="9"/>
  <c r="T187" i="9" s="1"/>
  <c r="R187" i="9"/>
  <c r="S187" i="9"/>
  <c r="O190" i="9"/>
  <c r="P190" i="9"/>
  <c r="T190" i="9"/>
  <c r="U190" i="9"/>
  <c r="L191" i="9"/>
  <c r="M191" i="9"/>
  <c r="M189" i="9" s="1"/>
  <c r="N191" i="9"/>
  <c r="N189" i="9" s="1"/>
  <c r="Q191" i="9"/>
  <c r="Q189" i="9" s="1"/>
  <c r="R191" i="9"/>
  <c r="R189" i="9" s="1"/>
  <c r="S191" i="9"/>
  <c r="O193" i="9"/>
  <c r="P193" i="9"/>
  <c r="T193" i="9"/>
  <c r="U193" i="9"/>
  <c r="L194" i="9"/>
  <c r="M194" i="9"/>
  <c r="M192" i="9" s="1"/>
  <c r="P192" i="9" s="1"/>
  <c r="N194" i="9"/>
  <c r="N192" i="9" s="1"/>
  <c r="Q194" i="9"/>
  <c r="Q192" i="9" s="1"/>
  <c r="T192" i="9" s="1"/>
  <c r="R194" i="9"/>
  <c r="U194" i="9" s="1"/>
  <c r="S194" i="9"/>
  <c r="S192" i="9" s="1"/>
  <c r="J195" i="9"/>
  <c r="L196" i="9"/>
  <c r="O196" i="9" s="1"/>
  <c r="P196" i="9"/>
  <c r="I198" i="9"/>
  <c r="K198" i="9" s="1"/>
  <c r="J199" i="9"/>
  <c r="J202" i="9"/>
  <c r="N203" i="9"/>
  <c r="P203" i="9"/>
  <c r="S203" i="9"/>
  <c r="U203" i="9"/>
  <c r="L204" i="9"/>
  <c r="L205" i="9"/>
  <c r="L206" i="9"/>
  <c r="Q206" i="9"/>
  <c r="Q203" i="9" s="1"/>
  <c r="T203" i="9" s="1"/>
  <c r="L207" i="9"/>
  <c r="I209" i="9"/>
  <c r="K209" i="9" s="1"/>
  <c r="I211" i="9"/>
  <c r="K211" i="9" s="1"/>
  <c r="I212" i="9"/>
  <c r="K212" i="9" s="1"/>
  <c r="J213" i="9"/>
  <c r="N214" i="9"/>
  <c r="P214" i="9"/>
  <c r="S214" i="9"/>
  <c r="U214" i="9"/>
  <c r="L215" i="9"/>
  <c r="L216" i="9"/>
  <c r="L217" i="9"/>
  <c r="Q217" i="9"/>
  <c r="Q214" i="9" s="1"/>
  <c r="T214" i="9" s="1"/>
  <c r="I219" i="9"/>
  <c r="K219" i="9" s="1"/>
  <c r="I220" i="9"/>
  <c r="J221" i="9"/>
  <c r="N222" i="9"/>
  <c r="P222" i="9"/>
  <c r="L223" i="9"/>
  <c r="L224" i="9"/>
  <c r="L225" i="9"/>
  <c r="I228" i="9"/>
  <c r="K228" i="9" s="1"/>
  <c r="I229" i="9"/>
  <c r="I221" i="9" s="1"/>
  <c r="K221" i="9" s="1"/>
  <c r="I230" i="9"/>
  <c r="K230" i="9" s="1"/>
  <c r="N233" i="9"/>
  <c r="N234" i="9"/>
  <c r="N235" i="9"/>
  <c r="N236" i="9"/>
  <c r="J238" i="9"/>
  <c r="I240" i="9"/>
  <c r="K240" i="9" s="1"/>
  <c r="J240" i="9"/>
  <c r="I241" i="9"/>
  <c r="K241" i="9" s="1"/>
  <c r="J241" i="9"/>
  <c r="J242" i="9"/>
  <c r="J231" i="9" s="1"/>
  <c r="J185" i="9" s="1"/>
  <c r="N243" i="9"/>
  <c r="N232" i="9" s="1"/>
  <c r="P243" i="9"/>
  <c r="L244" i="9"/>
  <c r="L245" i="9"/>
  <c r="L246" i="9"/>
  <c r="L247" i="9"/>
  <c r="I249" i="9"/>
  <c r="I242" i="9" s="1"/>
  <c r="K242" i="9" s="1"/>
  <c r="K251" i="9"/>
  <c r="K252" i="9"/>
  <c r="J253" i="9"/>
  <c r="N254" i="9"/>
  <c r="P254" i="9"/>
  <c r="L255" i="9"/>
  <c r="L256" i="9"/>
  <c r="L257" i="9"/>
  <c r="L258" i="9"/>
  <c r="I260" i="9"/>
  <c r="K262" i="9"/>
  <c r="K263" i="9"/>
  <c r="J265" i="9"/>
  <c r="L267" i="9"/>
  <c r="M267" i="9"/>
  <c r="N267" i="9"/>
  <c r="Q267" i="9"/>
  <c r="T267" i="9" s="1"/>
  <c r="R267" i="9"/>
  <c r="S267" i="9"/>
  <c r="O270" i="9"/>
  <c r="P270" i="9"/>
  <c r="T270" i="9"/>
  <c r="U270" i="9"/>
  <c r="L271" i="9"/>
  <c r="M271" i="9"/>
  <c r="N271" i="9"/>
  <c r="N269" i="9" s="1"/>
  <c r="Q271" i="9"/>
  <c r="R271" i="9"/>
  <c r="R268" i="9" s="1"/>
  <c r="S271" i="9"/>
  <c r="S269" i="9" s="1"/>
  <c r="Q272" i="9"/>
  <c r="T272" i="9" s="1"/>
  <c r="R272" i="9"/>
  <c r="U272" i="9" s="1"/>
  <c r="S272" i="9"/>
  <c r="O273" i="9"/>
  <c r="P273" i="9"/>
  <c r="T273" i="9"/>
  <c r="U273" i="9"/>
  <c r="L274" i="9"/>
  <c r="L272" i="9" s="1"/>
  <c r="O272" i="9" s="1"/>
  <c r="M274" i="9"/>
  <c r="N274" i="9"/>
  <c r="N272" i="9" s="1"/>
  <c r="T274" i="9"/>
  <c r="U274" i="9"/>
  <c r="I276" i="9"/>
  <c r="I265" i="9" s="1"/>
  <c r="K265" i="9" s="1"/>
  <c r="J281" i="9"/>
  <c r="L283" i="9"/>
  <c r="O283" i="9" s="1"/>
  <c r="M283" i="9"/>
  <c r="N283" i="9"/>
  <c r="Q283" i="9"/>
  <c r="Q282" i="9" s="1"/>
  <c r="T282" i="9" s="1"/>
  <c r="R283" i="9"/>
  <c r="S283" i="9"/>
  <c r="T283" i="9"/>
  <c r="Q284" i="9"/>
  <c r="R284" i="9"/>
  <c r="S284" i="9"/>
  <c r="T284" i="9"/>
  <c r="U284" i="9"/>
  <c r="Q285" i="9"/>
  <c r="T285" i="9" s="1"/>
  <c r="R285" i="9"/>
  <c r="U285" i="9" s="1"/>
  <c r="S285" i="9"/>
  <c r="O286" i="9"/>
  <c r="P286" i="9"/>
  <c r="T286" i="9"/>
  <c r="U286" i="9"/>
  <c r="L287" i="9"/>
  <c r="L285" i="9" s="1"/>
  <c r="O285" i="9" s="1"/>
  <c r="M287" i="9"/>
  <c r="N287" i="9"/>
  <c r="N285" i="9" s="1"/>
  <c r="T287" i="9"/>
  <c r="U287" i="9"/>
  <c r="Q288" i="9"/>
  <c r="T288" i="9" s="1"/>
  <c r="R288" i="9"/>
  <c r="U288" i="9" s="1"/>
  <c r="S288" i="9"/>
  <c r="O289" i="9"/>
  <c r="P289" i="9"/>
  <c r="T289" i="9"/>
  <c r="U289" i="9"/>
  <c r="L290" i="9"/>
  <c r="M290" i="9"/>
  <c r="N290" i="9"/>
  <c r="N288" i="9" s="1"/>
  <c r="T290" i="9"/>
  <c r="U290" i="9"/>
  <c r="I292" i="9"/>
  <c r="I281" i="9" s="1"/>
  <c r="K281" i="9" s="1"/>
  <c r="I293" i="9"/>
  <c r="I280" i="9" s="1"/>
  <c r="K280" i="9" s="1"/>
  <c r="J293" i="9"/>
  <c r="J280" i="9" s="1"/>
  <c r="I295" i="9"/>
  <c r="K295" i="9" s="1"/>
  <c r="I296" i="9"/>
  <c r="K296" i="9" s="1"/>
  <c r="J302" i="9"/>
  <c r="L304" i="9"/>
  <c r="M304" i="9"/>
  <c r="P304" i="9" s="1"/>
  <c r="N304" i="9"/>
  <c r="Q304" i="9"/>
  <c r="T304" i="9" s="1"/>
  <c r="R304" i="9"/>
  <c r="S304" i="9"/>
  <c r="U304" i="9"/>
  <c r="O307" i="9"/>
  <c r="P307" i="9"/>
  <c r="T307" i="9"/>
  <c r="U307" i="9"/>
  <c r="L308" i="9"/>
  <c r="L306" i="9" s="1"/>
  <c r="M308" i="9"/>
  <c r="N308" i="9"/>
  <c r="N306" i="9" s="1"/>
  <c r="Q308" i="9"/>
  <c r="Q305" i="9" s="1"/>
  <c r="R308" i="9"/>
  <c r="R305" i="9" s="1"/>
  <c r="S308" i="9"/>
  <c r="S305" i="9" s="1"/>
  <c r="Q309" i="9"/>
  <c r="T309" i="9" s="1"/>
  <c r="R309" i="9"/>
  <c r="U309" i="9" s="1"/>
  <c r="S309" i="9"/>
  <c r="O310" i="9"/>
  <c r="P310" i="9"/>
  <c r="T310" i="9"/>
  <c r="U310" i="9"/>
  <c r="L311" i="9"/>
  <c r="L309" i="9" s="1"/>
  <c r="O309" i="9" s="1"/>
  <c r="M311" i="9"/>
  <c r="P311" i="9" s="1"/>
  <c r="N311" i="9"/>
  <c r="N309" i="9" s="1"/>
  <c r="T311" i="9"/>
  <c r="U311" i="9"/>
  <c r="I314" i="9"/>
  <c r="I302" i="9" s="1"/>
  <c r="J319" i="9"/>
  <c r="L321" i="9"/>
  <c r="M321" i="9"/>
  <c r="N321" i="9"/>
  <c r="Q321" i="9"/>
  <c r="T321" i="9" s="1"/>
  <c r="R321" i="9"/>
  <c r="S321" i="9"/>
  <c r="Q322" i="9"/>
  <c r="R322" i="9"/>
  <c r="S322" i="9"/>
  <c r="T322" i="9"/>
  <c r="U322" i="9"/>
  <c r="Q323" i="9"/>
  <c r="T323" i="9" s="1"/>
  <c r="R323" i="9"/>
  <c r="S323" i="9"/>
  <c r="U323" i="9"/>
  <c r="O324" i="9"/>
  <c r="P324" i="9"/>
  <c r="T324" i="9"/>
  <c r="U324" i="9"/>
  <c r="L325" i="9"/>
  <c r="M325" i="9"/>
  <c r="N325" i="9"/>
  <c r="T325" i="9"/>
  <c r="U325" i="9"/>
  <c r="Q326" i="9"/>
  <c r="T326" i="9" s="1"/>
  <c r="R326" i="9"/>
  <c r="U326" i="9" s="1"/>
  <c r="S326" i="9"/>
  <c r="O327" i="9"/>
  <c r="P327" i="9"/>
  <c r="T327" i="9"/>
  <c r="U327" i="9"/>
  <c r="L328" i="9"/>
  <c r="L326" i="9" s="1"/>
  <c r="O326" i="9" s="1"/>
  <c r="M328" i="9"/>
  <c r="M326" i="9" s="1"/>
  <c r="P326" i="9" s="1"/>
  <c r="N328" i="9"/>
  <c r="N326" i="9" s="1"/>
  <c r="T328" i="9"/>
  <c r="U328" i="9"/>
  <c r="I330" i="9"/>
  <c r="K330" i="9" s="1"/>
  <c r="L334" i="9"/>
  <c r="O334" i="9" s="1"/>
  <c r="M334" i="9"/>
  <c r="N334" i="9"/>
  <c r="Q334" i="9"/>
  <c r="R334" i="9"/>
  <c r="U334" i="9" s="1"/>
  <c r="S334" i="9"/>
  <c r="T334" i="9"/>
  <c r="Q335" i="9"/>
  <c r="R335" i="9"/>
  <c r="U335" i="9" s="1"/>
  <c r="S335" i="9"/>
  <c r="T335" i="9"/>
  <c r="Q336" i="9"/>
  <c r="T336" i="9" s="1"/>
  <c r="R336" i="9"/>
  <c r="S336" i="9"/>
  <c r="U336" i="9"/>
  <c r="O337" i="9"/>
  <c r="P337" i="9"/>
  <c r="T337" i="9"/>
  <c r="U337" i="9"/>
  <c r="L338" i="9"/>
  <c r="L336" i="9" s="1"/>
  <c r="M338" i="9"/>
  <c r="N338" i="9"/>
  <c r="N336" i="9" s="1"/>
  <c r="T338" i="9"/>
  <c r="U338" i="9"/>
  <c r="Q339" i="9"/>
  <c r="T339" i="9" s="1"/>
  <c r="R339" i="9"/>
  <c r="S339" i="9"/>
  <c r="U339" i="9"/>
  <c r="O340" i="9"/>
  <c r="P340" i="9"/>
  <c r="T340" i="9"/>
  <c r="U340" i="9"/>
  <c r="L341" i="9"/>
  <c r="O341" i="9" s="1"/>
  <c r="M341" i="9"/>
  <c r="M339" i="9" s="1"/>
  <c r="P339" i="9" s="1"/>
  <c r="N341" i="9"/>
  <c r="N339" i="9" s="1"/>
  <c r="T341" i="9"/>
  <c r="U341" i="9"/>
  <c r="I344" i="9"/>
  <c r="I332" i="9" s="1"/>
  <c r="J344" i="9"/>
  <c r="I346" i="9"/>
  <c r="J346" i="9"/>
  <c r="J347" i="9"/>
  <c r="J348" i="9"/>
  <c r="J349" i="9"/>
  <c r="D350" i="9"/>
  <c r="J352" i="9"/>
  <c r="J353" i="9"/>
  <c r="D354" i="9"/>
  <c r="L357" i="9"/>
  <c r="O357" i="9" s="1"/>
  <c r="M357" i="9"/>
  <c r="P357" i="9" s="1"/>
  <c r="N357" i="9"/>
  <c r="Q357" i="9"/>
  <c r="R357" i="9"/>
  <c r="S357" i="9"/>
  <c r="T357" i="9"/>
  <c r="U357" i="9"/>
  <c r="Q358" i="9"/>
  <c r="T358" i="9" s="1"/>
  <c r="R358" i="9"/>
  <c r="U358" i="9" s="1"/>
  <c r="S358" i="9"/>
  <c r="Q359" i="9"/>
  <c r="R359" i="9"/>
  <c r="S359" i="9"/>
  <c r="T359" i="9"/>
  <c r="U359" i="9"/>
  <c r="O360" i="9"/>
  <c r="P360" i="9"/>
  <c r="T360" i="9"/>
  <c r="U360" i="9"/>
  <c r="L361" i="9"/>
  <c r="L359" i="9" s="1"/>
  <c r="M361" i="9"/>
  <c r="N361" i="9"/>
  <c r="N359" i="9" s="1"/>
  <c r="T361" i="9"/>
  <c r="U361" i="9"/>
  <c r="Q362" i="9"/>
  <c r="T362" i="9" s="1"/>
  <c r="R362" i="9"/>
  <c r="U362" i="9" s="1"/>
  <c r="S362" i="9"/>
  <c r="O363" i="9"/>
  <c r="P363" i="9"/>
  <c r="T363" i="9"/>
  <c r="U363" i="9"/>
  <c r="L364" i="9"/>
  <c r="M364" i="9"/>
  <c r="M362" i="9" s="1"/>
  <c r="P362" i="9" s="1"/>
  <c r="N364" i="9"/>
  <c r="N362" i="9" s="1"/>
  <c r="T364" i="9"/>
  <c r="U364" i="9"/>
  <c r="J367" i="9"/>
  <c r="K367" i="9"/>
  <c r="I368" i="9"/>
  <c r="J368" i="9"/>
  <c r="I369" i="9"/>
  <c r="J369" i="9"/>
  <c r="J370" i="9"/>
  <c r="K370" i="9"/>
  <c r="I371" i="9"/>
  <c r="I365" i="9" s="1"/>
  <c r="J371" i="9"/>
  <c r="J365" i="9" s="1"/>
  <c r="J372" i="9"/>
  <c r="K372" i="9"/>
  <c r="D373" i="9"/>
  <c r="J374" i="9"/>
  <c r="L376" i="9"/>
  <c r="M376" i="9"/>
  <c r="N376" i="9"/>
  <c r="P376" i="9"/>
  <c r="Q376" i="9"/>
  <c r="T376" i="9" s="1"/>
  <c r="R376" i="9"/>
  <c r="S376" i="9"/>
  <c r="O379" i="9"/>
  <c r="P379" i="9"/>
  <c r="T379" i="9"/>
  <c r="U379" i="9"/>
  <c r="L380" i="9"/>
  <c r="M380" i="9"/>
  <c r="P380" i="9" s="1"/>
  <c r="N380" i="9"/>
  <c r="N378" i="9" s="1"/>
  <c r="Q380" i="9"/>
  <c r="Q377" i="9" s="1"/>
  <c r="R380" i="9"/>
  <c r="R378" i="9" s="1"/>
  <c r="U378" i="9" s="1"/>
  <c r="S380" i="9"/>
  <c r="Q381" i="9"/>
  <c r="R381" i="9"/>
  <c r="S381" i="9"/>
  <c r="T381" i="9"/>
  <c r="U381" i="9"/>
  <c r="O382" i="9"/>
  <c r="P382" i="9"/>
  <c r="T382" i="9"/>
  <c r="U382" i="9"/>
  <c r="L383" i="9"/>
  <c r="L381" i="9" s="1"/>
  <c r="O381" i="9" s="1"/>
  <c r="M383" i="9"/>
  <c r="P383" i="9" s="1"/>
  <c r="N383" i="9"/>
  <c r="N381" i="9" s="1"/>
  <c r="T383" i="9"/>
  <c r="U383" i="9"/>
  <c r="I385" i="9"/>
  <c r="I374" i="9" s="1"/>
  <c r="K374" i="9" s="1"/>
  <c r="I386" i="9"/>
  <c r="K386" i="9" s="1"/>
  <c r="K387" i="9"/>
  <c r="K388" i="9"/>
  <c r="I391" i="9"/>
  <c r="K391" i="9" s="1"/>
  <c r="J391" i="9"/>
  <c r="L393" i="9"/>
  <c r="M393" i="9"/>
  <c r="P393" i="9" s="1"/>
  <c r="N393" i="9"/>
  <c r="Q393" i="9"/>
  <c r="T393" i="9" s="1"/>
  <c r="R393" i="9"/>
  <c r="U393" i="9" s="1"/>
  <c r="S393" i="9"/>
  <c r="L394" i="9"/>
  <c r="O394" i="9" s="1"/>
  <c r="M394" i="9"/>
  <c r="P394" i="9" s="1"/>
  <c r="N394" i="9"/>
  <c r="L395" i="9"/>
  <c r="O395" i="9" s="1"/>
  <c r="M395" i="9"/>
  <c r="N395" i="9"/>
  <c r="P395" i="9"/>
  <c r="O396" i="9"/>
  <c r="P396" i="9"/>
  <c r="T396" i="9"/>
  <c r="U396" i="9"/>
  <c r="O397" i="9"/>
  <c r="P397" i="9"/>
  <c r="Q397" i="9"/>
  <c r="Q394" i="9" s="1"/>
  <c r="Q392" i="9" s="1"/>
  <c r="T392" i="9" s="1"/>
  <c r="R397" i="9"/>
  <c r="S397" i="9"/>
  <c r="S394" i="9" s="1"/>
  <c r="L398" i="9"/>
  <c r="O398" i="9" s="1"/>
  <c r="M398" i="9"/>
  <c r="N398" i="9"/>
  <c r="P398" i="9"/>
  <c r="Q398" i="9"/>
  <c r="T398" i="9" s="1"/>
  <c r="R398" i="9"/>
  <c r="U398" i="9" s="1"/>
  <c r="S398" i="9"/>
  <c r="O399" i="9"/>
  <c r="P399" i="9"/>
  <c r="T399" i="9"/>
  <c r="U399" i="9"/>
  <c r="O400" i="9"/>
  <c r="P400" i="9"/>
  <c r="T400" i="9"/>
  <c r="U400" i="9"/>
  <c r="L414" i="9"/>
  <c r="O414" i="9" s="1"/>
  <c r="M414" i="9"/>
  <c r="N414" i="9"/>
  <c r="Q414" i="9"/>
  <c r="R414" i="9"/>
  <c r="S414" i="9"/>
  <c r="U414" i="9"/>
  <c r="O417" i="9"/>
  <c r="P417" i="9"/>
  <c r="T417" i="9"/>
  <c r="U417" i="9"/>
  <c r="L418" i="9"/>
  <c r="L416" i="9" s="1"/>
  <c r="M418" i="9"/>
  <c r="N418" i="9"/>
  <c r="Q418" i="9"/>
  <c r="Q416" i="9" s="1"/>
  <c r="R418" i="9"/>
  <c r="S418" i="9"/>
  <c r="S415" i="9" s="1"/>
  <c r="Q419" i="9"/>
  <c r="T419" i="9" s="1"/>
  <c r="R419" i="9"/>
  <c r="S419" i="9"/>
  <c r="U419" i="9"/>
  <c r="O420" i="9"/>
  <c r="P420" i="9"/>
  <c r="T420" i="9"/>
  <c r="U420" i="9"/>
  <c r="L421" i="9"/>
  <c r="L419" i="9" s="1"/>
  <c r="O419" i="9" s="1"/>
  <c r="M421" i="9"/>
  <c r="N421" i="9"/>
  <c r="N419" i="9" s="1"/>
  <c r="T421" i="9"/>
  <c r="U421" i="9"/>
  <c r="I424" i="9"/>
  <c r="K424" i="9" s="1"/>
  <c r="J424" i="9"/>
  <c r="I425" i="9"/>
  <c r="K425" i="9" s="1"/>
  <c r="J425" i="9"/>
  <c r="I432" i="9"/>
  <c r="K432" i="9" s="1"/>
  <c r="J432" i="9"/>
  <c r="I433" i="9"/>
  <c r="K433" i="9" s="1"/>
  <c r="J433" i="9"/>
  <c r="I440" i="9"/>
  <c r="K440" i="9" s="1"/>
  <c r="I441" i="9"/>
  <c r="K441" i="9" s="1"/>
  <c r="J446" i="9"/>
  <c r="J440" i="9" s="1"/>
  <c r="J423" i="9" s="1"/>
  <c r="J412" i="9" s="1"/>
  <c r="J447" i="9"/>
  <c r="J441" i="9" s="1"/>
  <c r="I457" i="9"/>
  <c r="I456" i="9" s="1"/>
  <c r="I458" i="9"/>
  <c r="K458" i="9" s="1"/>
  <c r="J459" i="9"/>
  <c r="J460" i="9"/>
  <c r="J467" i="9"/>
  <c r="J468" i="9"/>
  <c r="J475" i="9"/>
  <c r="K475" i="9"/>
  <c r="J476" i="9"/>
  <c r="K476" i="9"/>
  <c r="J477" i="9"/>
  <c r="K477" i="9"/>
  <c r="J482" i="9"/>
  <c r="J483" i="9"/>
  <c r="I484" i="9"/>
  <c r="K484" i="9" s="1"/>
  <c r="J484" i="9"/>
  <c r="I485" i="9"/>
  <c r="K485" i="9" s="1"/>
  <c r="J485" i="9"/>
  <c r="L494" i="9"/>
  <c r="M494" i="9"/>
  <c r="N494" i="9"/>
  <c r="O494" i="9"/>
  <c r="Q494" i="9"/>
  <c r="R494" i="9"/>
  <c r="S494" i="9"/>
  <c r="U494" i="9"/>
  <c r="O497" i="9"/>
  <c r="P497" i="9"/>
  <c r="T497" i="9"/>
  <c r="U497" i="9"/>
  <c r="L498" i="9"/>
  <c r="O498" i="9" s="1"/>
  <c r="M498" i="9"/>
  <c r="P498" i="9" s="1"/>
  <c r="N498" i="9"/>
  <c r="Q498" i="9"/>
  <c r="T498" i="9" s="1"/>
  <c r="R498" i="9"/>
  <c r="R496" i="9" s="1"/>
  <c r="U496" i="9" s="1"/>
  <c r="S498" i="9"/>
  <c r="S496" i="9" s="1"/>
  <c r="Q499" i="9"/>
  <c r="R499" i="9"/>
  <c r="U499" i="9" s="1"/>
  <c r="S499" i="9"/>
  <c r="T499" i="9"/>
  <c r="O500" i="9"/>
  <c r="P500" i="9"/>
  <c r="T500" i="9"/>
  <c r="U500" i="9"/>
  <c r="L501" i="9"/>
  <c r="O501" i="9" s="1"/>
  <c r="M501" i="9"/>
  <c r="P501" i="9" s="1"/>
  <c r="N501" i="9"/>
  <c r="N499" i="9" s="1"/>
  <c r="T501" i="9"/>
  <c r="U501" i="9"/>
  <c r="I503" i="9"/>
  <c r="I492" i="9" s="1"/>
  <c r="K492" i="9" s="1"/>
  <c r="I504" i="9"/>
  <c r="K504" i="9" s="1"/>
  <c r="I505" i="9"/>
  <c r="K505" i="9" s="1"/>
  <c r="I506" i="9"/>
  <c r="K506" i="9" s="1"/>
  <c r="I507" i="9"/>
  <c r="K507" i="9" s="1"/>
  <c r="K508" i="9"/>
  <c r="I509" i="9"/>
  <c r="K509" i="9" s="1"/>
  <c r="I512" i="9"/>
  <c r="J512" i="9"/>
  <c r="K512" i="9"/>
  <c r="L514" i="9"/>
  <c r="O514" i="9" s="1"/>
  <c r="M514" i="9"/>
  <c r="P514" i="9" s="1"/>
  <c r="N514" i="9"/>
  <c r="Q514" i="9"/>
  <c r="T514" i="9" s="1"/>
  <c r="R514" i="9"/>
  <c r="S514" i="9"/>
  <c r="Q515" i="9"/>
  <c r="T515" i="9" s="1"/>
  <c r="R515" i="9"/>
  <c r="S515" i="9"/>
  <c r="U515" i="9"/>
  <c r="Q516" i="9"/>
  <c r="T516" i="9" s="1"/>
  <c r="R516" i="9"/>
  <c r="U516" i="9" s="1"/>
  <c r="S516" i="9"/>
  <c r="O517" i="9"/>
  <c r="P517" i="9"/>
  <c r="T517" i="9"/>
  <c r="U517" i="9"/>
  <c r="L518" i="9"/>
  <c r="M518" i="9"/>
  <c r="N518" i="9"/>
  <c r="T518" i="9"/>
  <c r="U518" i="9"/>
  <c r="Q519" i="9"/>
  <c r="R519" i="9"/>
  <c r="S519" i="9"/>
  <c r="T519" i="9"/>
  <c r="U519" i="9"/>
  <c r="O520" i="9"/>
  <c r="P520" i="9"/>
  <c r="T520" i="9"/>
  <c r="U520" i="9"/>
  <c r="L521" i="9"/>
  <c r="L519" i="9" s="1"/>
  <c r="O519" i="9" s="1"/>
  <c r="M521" i="9"/>
  <c r="N521" i="9"/>
  <c r="N519" i="9" s="1"/>
  <c r="T521" i="9"/>
  <c r="U521" i="9"/>
  <c r="K523" i="9"/>
  <c r="K524" i="9"/>
  <c r="I533" i="9"/>
  <c r="K533" i="9" s="1"/>
  <c r="J533" i="9"/>
  <c r="L535" i="9"/>
  <c r="M535" i="9"/>
  <c r="N535" i="9"/>
  <c r="O535" i="9"/>
  <c r="Q535" i="9"/>
  <c r="T535" i="9" s="1"/>
  <c r="R535" i="9"/>
  <c r="S535" i="9"/>
  <c r="U535" i="9"/>
  <c r="Q536" i="9"/>
  <c r="T536" i="9" s="1"/>
  <c r="R536" i="9"/>
  <c r="S536" i="9"/>
  <c r="Q537" i="9"/>
  <c r="T537" i="9" s="1"/>
  <c r="R537" i="9"/>
  <c r="U537" i="9" s="1"/>
  <c r="S537" i="9"/>
  <c r="O538" i="9"/>
  <c r="P538" i="9"/>
  <c r="T538" i="9"/>
  <c r="U538" i="9"/>
  <c r="L539" i="9"/>
  <c r="L537" i="9" s="1"/>
  <c r="O537" i="9" s="1"/>
  <c r="M539" i="9"/>
  <c r="P539" i="9" s="1"/>
  <c r="N539" i="9"/>
  <c r="N537" i="9" s="1"/>
  <c r="T539" i="9"/>
  <c r="U539" i="9"/>
  <c r="Q540" i="9"/>
  <c r="T540" i="9" s="1"/>
  <c r="R540" i="9"/>
  <c r="U540" i="9" s="1"/>
  <c r="S540" i="9"/>
  <c r="O541" i="9"/>
  <c r="P541" i="9"/>
  <c r="T541" i="9"/>
  <c r="U541" i="9"/>
  <c r="L542" i="9"/>
  <c r="O542" i="9" s="1"/>
  <c r="M542" i="9"/>
  <c r="M540" i="9" s="1"/>
  <c r="P540" i="9" s="1"/>
  <c r="N542" i="9"/>
  <c r="N540" i="9" s="1"/>
  <c r="T542" i="9"/>
  <c r="U542" i="9"/>
  <c r="I554" i="9"/>
  <c r="K554" i="9" s="1"/>
  <c r="J554" i="9"/>
  <c r="L556" i="9"/>
  <c r="O556" i="9" s="1"/>
  <c r="M556" i="9"/>
  <c r="P556" i="9" s="1"/>
  <c r="N556" i="9"/>
  <c r="Q556" i="9"/>
  <c r="Q555" i="9" s="1"/>
  <c r="T555" i="9" s="1"/>
  <c r="R556" i="9"/>
  <c r="U556" i="9" s="1"/>
  <c r="S556" i="9"/>
  <c r="S555" i="9" s="1"/>
  <c r="T556" i="9"/>
  <c r="Q557" i="9"/>
  <c r="R557" i="9"/>
  <c r="S557" i="9"/>
  <c r="T557" i="9"/>
  <c r="Q558" i="9"/>
  <c r="T558" i="9" s="1"/>
  <c r="R558" i="9"/>
  <c r="U558" i="9" s="1"/>
  <c r="S558" i="9"/>
  <c r="O559" i="9"/>
  <c r="P559" i="9"/>
  <c r="T559" i="9"/>
  <c r="U559" i="9"/>
  <c r="L560" i="9"/>
  <c r="O560" i="9" s="1"/>
  <c r="M560" i="9"/>
  <c r="P560" i="9" s="1"/>
  <c r="N560" i="9"/>
  <c r="T560" i="9"/>
  <c r="U560" i="9"/>
  <c r="Q561" i="9"/>
  <c r="T561" i="9" s="1"/>
  <c r="R561" i="9"/>
  <c r="S561" i="9"/>
  <c r="U561" i="9"/>
  <c r="O562" i="9"/>
  <c r="P562" i="9"/>
  <c r="T562" i="9"/>
  <c r="U562" i="9"/>
  <c r="L563" i="9"/>
  <c r="L561" i="9" s="1"/>
  <c r="O561" i="9" s="1"/>
  <c r="M563" i="9"/>
  <c r="N563" i="9"/>
  <c r="N561" i="9" s="1"/>
  <c r="T563" i="9"/>
  <c r="U563" i="9"/>
  <c r="I575" i="9"/>
  <c r="K575" i="9" s="1"/>
  <c r="J575" i="9"/>
  <c r="L577" i="9"/>
  <c r="O577" i="9" s="1"/>
  <c r="M577" i="9"/>
  <c r="N577" i="9"/>
  <c r="P577" i="9"/>
  <c r="Q577" i="9"/>
  <c r="T577" i="9" s="1"/>
  <c r="R577" i="9"/>
  <c r="U577" i="9" s="1"/>
  <c r="S577" i="9"/>
  <c r="S576" i="9" s="1"/>
  <c r="Q578" i="9"/>
  <c r="T578" i="9" s="1"/>
  <c r="R578" i="9"/>
  <c r="S578" i="9"/>
  <c r="Q579" i="9"/>
  <c r="R579" i="9"/>
  <c r="U579" i="9" s="1"/>
  <c r="S579" i="9"/>
  <c r="T579" i="9"/>
  <c r="O580" i="9"/>
  <c r="P580" i="9"/>
  <c r="T580" i="9"/>
  <c r="U580" i="9"/>
  <c r="L581" i="9"/>
  <c r="L579" i="9" s="1"/>
  <c r="M581" i="9"/>
  <c r="N581" i="9"/>
  <c r="T581" i="9"/>
  <c r="U581" i="9"/>
  <c r="Q582" i="9"/>
  <c r="T582" i="9" s="1"/>
  <c r="R582" i="9"/>
  <c r="U582" i="9" s="1"/>
  <c r="S582" i="9"/>
  <c r="O583" i="9"/>
  <c r="P583" i="9"/>
  <c r="T583" i="9"/>
  <c r="U583" i="9"/>
  <c r="L584" i="9"/>
  <c r="L582" i="9" s="1"/>
  <c r="O582" i="9" s="1"/>
  <c r="M584" i="9"/>
  <c r="M582" i="9" s="1"/>
  <c r="P582" i="9" s="1"/>
  <c r="N584" i="9"/>
  <c r="N582" i="9" s="1"/>
  <c r="T584" i="9"/>
  <c r="U584" i="9"/>
  <c r="K586" i="9"/>
  <c r="K587" i="9"/>
  <c r="L600" i="9"/>
  <c r="O600" i="9" s="1"/>
  <c r="M600" i="9"/>
  <c r="P600" i="9" s="1"/>
  <c r="N600" i="9"/>
  <c r="Q600" i="9"/>
  <c r="R600" i="9"/>
  <c r="U600" i="9" s="1"/>
  <c r="S600" i="9"/>
  <c r="O603" i="9"/>
  <c r="P603" i="9"/>
  <c r="T603" i="9"/>
  <c r="U603" i="9"/>
  <c r="L604" i="9"/>
  <c r="M604" i="9"/>
  <c r="M602" i="9" s="1"/>
  <c r="P602" i="9" s="1"/>
  <c r="N604" i="9"/>
  <c r="Q604" i="9"/>
  <c r="R604" i="9"/>
  <c r="R602" i="9" s="1"/>
  <c r="U602" i="9" s="1"/>
  <c r="S604" i="9"/>
  <c r="S602" i="9" s="1"/>
  <c r="O606" i="9"/>
  <c r="P606" i="9"/>
  <c r="T606" i="9"/>
  <c r="U606" i="9"/>
  <c r="L607" i="9"/>
  <c r="O607" i="9" s="1"/>
  <c r="M607" i="9"/>
  <c r="P607" i="9" s="1"/>
  <c r="N607" i="9"/>
  <c r="N605" i="9" s="1"/>
  <c r="Q607" i="9"/>
  <c r="R607" i="9"/>
  <c r="R605" i="9" s="1"/>
  <c r="U605" i="9" s="1"/>
  <c r="S607" i="9"/>
  <c r="M616" i="9"/>
  <c r="P616" i="9" s="1"/>
  <c r="L617" i="9"/>
  <c r="M617" i="9"/>
  <c r="N617" i="9"/>
  <c r="N616" i="9" s="1"/>
  <c r="P617" i="9"/>
  <c r="Q617" i="9"/>
  <c r="R617" i="9"/>
  <c r="U617" i="9" s="1"/>
  <c r="S617" i="9"/>
  <c r="L618" i="9"/>
  <c r="O618" i="9" s="1"/>
  <c r="M618" i="9"/>
  <c r="P618" i="9" s="1"/>
  <c r="N618" i="9"/>
  <c r="L619" i="9"/>
  <c r="O619" i="9" s="1"/>
  <c r="M619" i="9"/>
  <c r="P619" i="9" s="1"/>
  <c r="N619" i="9"/>
  <c r="O620" i="9"/>
  <c r="P620" i="9"/>
  <c r="T620" i="9"/>
  <c r="U620" i="9"/>
  <c r="O621" i="9"/>
  <c r="P621" i="9"/>
  <c r="Q621" i="9"/>
  <c r="Q619" i="9" s="1"/>
  <c r="R621" i="9"/>
  <c r="R618" i="9" s="1"/>
  <c r="S621" i="9"/>
  <c r="S619" i="9" s="1"/>
  <c r="L622" i="9"/>
  <c r="O622" i="9" s="1"/>
  <c r="M622" i="9"/>
  <c r="N622" i="9"/>
  <c r="P622" i="9"/>
  <c r="Q622" i="9"/>
  <c r="T622" i="9" s="1"/>
  <c r="R622" i="9"/>
  <c r="U622" i="9" s="1"/>
  <c r="S622" i="9"/>
  <c r="O623" i="9"/>
  <c r="P623" i="9"/>
  <c r="T623" i="9"/>
  <c r="U623" i="9"/>
  <c r="O624" i="9"/>
  <c r="P624" i="9"/>
  <c r="T624" i="9"/>
  <c r="U624" i="9"/>
  <c r="I626" i="9"/>
  <c r="K631" i="9" s="1"/>
  <c r="J626" i="9"/>
  <c r="J615" i="9" s="1"/>
  <c r="I627" i="9"/>
  <c r="K627" i="9" s="1"/>
  <c r="I628" i="9"/>
  <c r="K628" i="9" s="1"/>
  <c r="J632" i="9"/>
  <c r="I635" i="9"/>
  <c r="K635" i="9" s="1"/>
  <c r="J636" i="9"/>
  <c r="J635" i="9" s="1"/>
  <c r="L643" i="9"/>
  <c r="M643" i="9"/>
  <c r="N643" i="9"/>
  <c r="Q643" i="9"/>
  <c r="R643" i="9"/>
  <c r="U643" i="9" s="1"/>
  <c r="S643" i="9"/>
  <c r="L644" i="9"/>
  <c r="M644" i="9"/>
  <c r="P644" i="9" s="1"/>
  <c r="N644" i="9"/>
  <c r="N642" i="9" s="1"/>
  <c r="O644" i="9"/>
  <c r="L645" i="9"/>
  <c r="O645" i="9" s="1"/>
  <c r="M645" i="9"/>
  <c r="P645" i="9" s="1"/>
  <c r="N645" i="9"/>
  <c r="O646" i="9"/>
  <c r="P646" i="9"/>
  <c r="T646" i="9"/>
  <c r="U646" i="9"/>
  <c r="O647" i="9"/>
  <c r="P647" i="9"/>
  <c r="Q647" i="9"/>
  <c r="Q644" i="9" s="1"/>
  <c r="T644" i="9" s="1"/>
  <c r="R647" i="9"/>
  <c r="S647" i="9"/>
  <c r="S645" i="9" s="1"/>
  <c r="L648" i="9"/>
  <c r="M648" i="9"/>
  <c r="N648" i="9"/>
  <c r="O648" i="9"/>
  <c r="P648" i="9"/>
  <c r="Q648" i="9"/>
  <c r="R648" i="9"/>
  <c r="S648" i="9"/>
  <c r="T648" i="9"/>
  <c r="U648" i="9"/>
  <c r="O649" i="9"/>
  <c r="P649" i="9"/>
  <c r="T649" i="9"/>
  <c r="U649" i="9"/>
  <c r="O650" i="9"/>
  <c r="P650" i="9"/>
  <c r="T650" i="9"/>
  <c r="U650" i="9"/>
  <c r="I652" i="9"/>
  <c r="K652" i="9" s="1"/>
  <c r="J652" i="9"/>
  <c r="I653" i="9"/>
  <c r="K653" i="9" s="1"/>
  <c r="J653" i="9"/>
  <c r="I654" i="9"/>
  <c r="K654" i="9" s="1"/>
  <c r="J654" i="9"/>
  <c r="I657" i="9"/>
  <c r="I660" i="9"/>
  <c r="I661" i="9"/>
  <c r="K661" i="9" s="1"/>
  <c r="J661" i="9"/>
  <c r="J671" i="9"/>
  <c r="J672" i="9"/>
  <c r="I673" i="9"/>
  <c r="K673" i="9" s="1"/>
  <c r="J673" i="9"/>
  <c r="I674" i="9"/>
  <c r="K674" i="9" s="1"/>
  <c r="I675" i="9"/>
  <c r="K675" i="9" s="1"/>
  <c r="I676" i="9"/>
  <c r="K676" i="9" s="1"/>
  <c r="J676" i="9"/>
  <c r="J677" i="9"/>
  <c r="I678" i="9"/>
  <c r="K678" i="9" s="1"/>
  <c r="J678" i="9"/>
  <c r="I679" i="9"/>
  <c r="K679" i="9" s="1"/>
  <c r="J679" i="9"/>
  <c r="J680" i="9"/>
  <c r="I681" i="9"/>
  <c r="K681" i="9" s="1"/>
  <c r="J681" i="9"/>
  <c r="I682" i="9"/>
  <c r="K682" i="9" s="1"/>
  <c r="J682" i="9"/>
  <c r="N690" i="9"/>
  <c r="L691" i="9"/>
  <c r="L690" i="9" s="1"/>
  <c r="O690" i="9" s="1"/>
  <c r="M691" i="9"/>
  <c r="N691" i="9"/>
  <c r="Q691" i="9"/>
  <c r="R691" i="9"/>
  <c r="S691" i="9"/>
  <c r="L692" i="9"/>
  <c r="M692" i="9"/>
  <c r="P692" i="9" s="1"/>
  <c r="N692" i="9"/>
  <c r="O692" i="9"/>
  <c r="L693" i="9"/>
  <c r="M693" i="9"/>
  <c r="N693" i="9"/>
  <c r="O693" i="9"/>
  <c r="P693" i="9"/>
  <c r="O694" i="9"/>
  <c r="P694" i="9"/>
  <c r="T694" i="9"/>
  <c r="U694" i="9"/>
  <c r="O695" i="9"/>
  <c r="P695" i="9"/>
  <c r="Q695" i="9"/>
  <c r="Q693" i="9" s="1"/>
  <c r="R695" i="9"/>
  <c r="R692" i="9" s="1"/>
  <c r="S695" i="9"/>
  <c r="S693" i="9" s="1"/>
  <c r="L696" i="9"/>
  <c r="O696" i="9" s="1"/>
  <c r="M696" i="9"/>
  <c r="P696" i="9" s="1"/>
  <c r="N696" i="9"/>
  <c r="Q696" i="9"/>
  <c r="R696" i="9"/>
  <c r="U696" i="9" s="1"/>
  <c r="S696" i="9"/>
  <c r="T696" i="9"/>
  <c r="O697" i="9"/>
  <c r="P697" i="9"/>
  <c r="T697" i="9"/>
  <c r="U697" i="9"/>
  <c r="O698" i="9"/>
  <c r="P698" i="9"/>
  <c r="T698" i="9"/>
  <c r="U698" i="9"/>
  <c r="I700" i="9"/>
  <c r="K700" i="9" s="1"/>
  <c r="K702" i="9"/>
  <c r="I703" i="9"/>
  <c r="J703" i="9"/>
  <c r="J704" i="9"/>
  <c r="K704" i="9"/>
  <c r="I705" i="9"/>
  <c r="J705" i="9"/>
  <c r="J706" i="9"/>
  <c r="K706" i="9"/>
  <c r="I707" i="9"/>
  <c r="I689" i="9" s="1"/>
  <c r="K689" i="9" s="1"/>
  <c r="J707" i="9"/>
  <c r="J689" i="9" s="1"/>
  <c r="J708" i="9"/>
  <c r="K708" i="9"/>
  <c r="I709" i="9"/>
  <c r="J709" i="9"/>
  <c r="J710" i="9"/>
  <c r="K710" i="9"/>
  <c r="J712" i="9"/>
  <c r="K712" i="9"/>
  <c r="L715" i="9"/>
  <c r="M715" i="9"/>
  <c r="M714" i="9" s="1"/>
  <c r="P714" i="9" s="1"/>
  <c r="N715" i="9"/>
  <c r="N714" i="9" s="1"/>
  <c r="P715" i="9"/>
  <c r="Q715" i="9"/>
  <c r="T715" i="9" s="1"/>
  <c r="R715" i="9"/>
  <c r="R714" i="9" s="1"/>
  <c r="U714" i="9" s="1"/>
  <c r="S715" i="9"/>
  <c r="U715" i="9"/>
  <c r="L716" i="9"/>
  <c r="O716" i="9" s="1"/>
  <c r="M716" i="9"/>
  <c r="P716" i="9" s="1"/>
  <c r="N716" i="9"/>
  <c r="Q716" i="9"/>
  <c r="R716" i="9"/>
  <c r="U716" i="9" s="1"/>
  <c r="S716" i="9"/>
  <c r="L717" i="9"/>
  <c r="M717" i="9"/>
  <c r="P717" i="9" s="1"/>
  <c r="N717" i="9"/>
  <c r="O717" i="9"/>
  <c r="Q717" i="9"/>
  <c r="R717" i="9"/>
  <c r="U717" i="9" s="1"/>
  <c r="S717" i="9"/>
  <c r="T717" i="9"/>
  <c r="O718" i="9"/>
  <c r="P718" i="9"/>
  <c r="T718" i="9"/>
  <c r="U718" i="9"/>
  <c r="O719" i="9"/>
  <c r="P719" i="9"/>
  <c r="T719" i="9"/>
  <c r="U719" i="9"/>
  <c r="L720" i="9"/>
  <c r="O720" i="9" s="1"/>
  <c r="M720" i="9"/>
  <c r="P720" i="9" s="1"/>
  <c r="N720" i="9"/>
  <c r="Q720" i="9"/>
  <c r="T720" i="9" s="1"/>
  <c r="R720" i="9"/>
  <c r="S720" i="9"/>
  <c r="U720" i="9"/>
  <c r="O721" i="9"/>
  <c r="P721" i="9"/>
  <c r="T721" i="9"/>
  <c r="U721" i="9"/>
  <c r="O722" i="9"/>
  <c r="P722" i="9"/>
  <c r="T722" i="9"/>
  <c r="U722" i="9"/>
  <c r="I726" i="9"/>
  <c r="J726" i="9"/>
  <c r="I727" i="9"/>
  <c r="J727" i="9"/>
  <c r="L729" i="9"/>
  <c r="M729" i="9"/>
  <c r="M728" i="9" s="1"/>
  <c r="P728" i="9" s="1"/>
  <c r="N729" i="9"/>
  <c r="N728" i="9" s="1"/>
  <c r="P729" i="9"/>
  <c r="Q729" i="9"/>
  <c r="T729" i="9" s="1"/>
  <c r="R729" i="9"/>
  <c r="S729" i="9"/>
  <c r="L730" i="9"/>
  <c r="O730" i="9" s="1"/>
  <c r="M730" i="9"/>
  <c r="P730" i="9" s="1"/>
  <c r="N730" i="9"/>
  <c r="L731" i="9"/>
  <c r="M731" i="9"/>
  <c r="P731" i="9" s="1"/>
  <c r="N731" i="9"/>
  <c r="O731" i="9"/>
  <c r="O732" i="9"/>
  <c r="P732" i="9"/>
  <c r="T732" i="9"/>
  <c r="U732" i="9"/>
  <c r="O733" i="9"/>
  <c r="P733" i="9"/>
  <c r="Q733" i="9"/>
  <c r="Q731" i="9" s="1"/>
  <c r="R733" i="9"/>
  <c r="R731" i="9" s="1"/>
  <c r="S733" i="9"/>
  <c r="S731" i="9" s="1"/>
  <c r="L734" i="9"/>
  <c r="O734" i="9" s="1"/>
  <c r="M734" i="9"/>
  <c r="P734" i="9" s="1"/>
  <c r="N734" i="9"/>
  <c r="Q734" i="9"/>
  <c r="T734" i="9" s="1"/>
  <c r="R734" i="9"/>
  <c r="U734" i="9" s="1"/>
  <c r="S734" i="9"/>
  <c r="O735" i="9"/>
  <c r="P735" i="9"/>
  <c r="T735" i="9"/>
  <c r="U735" i="9"/>
  <c r="O736" i="9"/>
  <c r="P736" i="9"/>
  <c r="T736" i="9"/>
  <c r="U736" i="9"/>
  <c r="I740" i="9"/>
  <c r="K740" i="9" s="1"/>
  <c r="I742" i="9"/>
  <c r="K742" i="9" s="1"/>
  <c r="I744" i="9"/>
  <c r="K744" i="9" s="1"/>
  <c r="I746" i="9"/>
  <c r="K746" i="9" s="1"/>
  <c r="I749" i="9"/>
  <c r="K749" i="9" s="1"/>
  <c r="I752" i="9"/>
  <c r="K752" i="9" s="1"/>
  <c r="I755" i="9"/>
  <c r="K755" i="9" s="1"/>
  <c r="J758" i="9"/>
  <c r="J759" i="9"/>
  <c r="L761" i="9"/>
  <c r="O761" i="9" s="1"/>
  <c r="M761" i="9"/>
  <c r="M760" i="9" s="1"/>
  <c r="P760" i="9" s="1"/>
  <c r="N761" i="9"/>
  <c r="Q761" i="9"/>
  <c r="R761" i="9"/>
  <c r="U761" i="9" s="1"/>
  <c r="S761" i="9"/>
  <c r="L762" i="9"/>
  <c r="M762" i="9"/>
  <c r="P762" i="9" s="1"/>
  <c r="N762" i="9"/>
  <c r="L763" i="9"/>
  <c r="O763" i="9" s="1"/>
  <c r="M763" i="9"/>
  <c r="P763" i="9" s="1"/>
  <c r="N763" i="9"/>
  <c r="O764" i="9"/>
  <c r="P764" i="9"/>
  <c r="T764" i="9"/>
  <c r="U764" i="9"/>
  <c r="O765" i="9"/>
  <c r="P765" i="9"/>
  <c r="Q765" i="9"/>
  <c r="Q762" i="9" s="1"/>
  <c r="R765" i="9"/>
  <c r="R763" i="9" s="1"/>
  <c r="S765" i="9"/>
  <c r="S763" i="9" s="1"/>
  <c r="L766" i="9"/>
  <c r="O766" i="9" s="1"/>
  <c r="M766" i="9"/>
  <c r="P766" i="9" s="1"/>
  <c r="N766" i="9"/>
  <c r="Q766" i="9"/>
  <c r="T766" i="9" s="1"/>
  <c r="R766" i="9"/>
  <c r="U766" i="9" s="1"/>
  <c r="S766" i="9"/>
  <c r="O767" i="9"/>
  <c r="P767" i="9"/>
  <c r="T767" i="9"/>
  <c r="U767" i="9"/>
  <c r="O768" i="9"/>
  <c r="P768" i="9"/>
  <c r="T768" i="9"/>
  <c r="U768" i="9"/>
  <c r="I770" i="9"/>
  <c r="K770" i="9" s="1"/>
  <c r="I772" i="9"/>
  <c r="I758" i="9" s="1"/>
  <c r="K758" i="9" s="1"/>
  <c r="I774" i="9"/>
  <c r="I759" i="9" s="1"/>
  <c r="K759" i="9" s="1"/>
  <c r="I775" i="9"/>
  <c r="I776" i="9"/>
  <c r="H777" i="9"/>
  <c r="I778" i="9"/>
  <c r="J778" i="9"/>
  <c r="I779" i="9"/>
  <c r="J779" i="9"/>
  <c r="I780" i="9"/>
  <c r="J780" i="9"/>
  <c r="I781" i="9"/>
  <c r="J781" i="9"/>
  <c r="I782" i="9"/>
  <c r="K782" i="9" s="1"/>
  <c r="J782" i="9"/>
  <c r="I783" i="9"/>
  <c r="K783" i="9" s="1"/>
  <c r="J783" i="9"/>
  <c r="I784" i="9"/>
  <c r="J784" i="9"/>
  <c r="I785" i="9"/>
  <c r="J785" i="9"/>
  <c r="A788" i="9"/>
  <c r="A789" i="9"/>
  <c r="L19" i="8"/>
  <c r="L22" i="8"/>
  <c r="M22" i="8"/>
  <c r="N22" i="8"/>
  <c r="Q22" i="8"/>
  <c r="R22" i="8"/>
  <c r="S22" i="8"/>
  <c r="S19" i="8" s="1"/>
  <c r="L25" i="8"/>
  <c r="M25" i="8"/>
  <c r="N25" i="8"/>
  <c r="Q25" i="8"/>
  <c r="T25" i="8" s="1"/>
  <c r="R25" i="8"/>
  <c r="S25" i="8"/>
  <c r="L45" i="8"/>
  <c r="O45" i="8" s="1"/>
  <c r="M45" i="8"/>
  <c r="N45" i="8"/>
  <c r="Q45" i="8"/>
  <c r="R45" i="8"/>
  <c r="U45" i="8" s="1"/>
  <c r="S45" i="8"/>
  <c r="Q46" i="8"/>
  <c r="T46" i="8" s="1"/>
  <c r="R46" i="8"/>
  <c r="U46" i="8" s="1"/>
  <c r="S46" i="8"/>
  <c r="Q47" i="8"/>
  <c r="T47" i="8" s="1"/>
  <c r="R47" i="8"/>
  <c r="U47" i="8" s="1"/>
  <c r="S47" i="8"/>
  <c r="O48" i="8"/>
  <c r="P48" i="8"/>
  <c r="T48" i="8"/>
  <c r="U48" i="8"/>
  <c r="L49" i="8"/>
  <c r="L47" i="8" s="1"/>
  <c r="M49" i="8"/>
  <c r="N49" i="8"/>
  <c r="N47" i="8" s="1"/>
  <c r="T49" i="8"/>
  <c r="U49" i="8"/>
  <c r="Q50" i="8"/>
  <c r="R50" i="8"/>
  <c r="S50" i="8"/>
  <c r="T50" i="8"/>
  <c r="U50" i="8"/>
  <c r="O51" i="8"/>
  <c r="P51" i="8"/>
  <c r="T51" i="8"/>
  <c r="U51" i="8"/>
  <c r="L52" i="8"/>
  <c r="M52" i="8"/>
  <c r="N52" i="8"/>
  <c r="N50" i="8" s="1"/>
  <c r="T52" i="8"/>
  <c r="U52" i="8"/>
  <c r="Q59" i="8"/>
  <c r="T59" i="8" s="1"/>
  <c r="R59" i="8"/>
  <c r="U59" i="8" s="1"/>
  <c r="L60" i="8"/>
  <c r="O60" i="8" s="1"/>
  <c r="M60" i="8"/>
  <c r="N60" i="8"/>
  <c r="Q60" i="8"/>
  <c r="T60" i="8" s="1"/>
  <c r="R60" i="8"/>
  <c r="U60" i="8" s="1"/>
  <c r="S60" i="8"/>
  <c r="Q61" i="8"/>
  <c r="T61" i="8" s="1"/>
  <c r="R61" i="8"/>
  <c r="U61" i="8" s="1"/>
  <c r="S61" i="8"/>
  <c r="Q62" i="8"/>
  <c r="T62" i="8" s="1"/>
  <c r="R62" i="8"/>
  <c r="U62" i="8" s="1"/>
  <c r="S62" i="8"/>
  <c r="O63" i="8"/>
  <c r="P63" i="8"/>
  <c r="T63" i="8"/>
  <c r="U63" i="8"/>
  <c r="L64" i="8"/>
  <c r="M64" i="8"/>
  <c r="M62" i="8" s="1"/>
  <c r="N64" i="8"/>
  <c r="N62" i="8" s="1"/>
  <c r="T64" i="8"/>
  <c r="U64" i="8"/>
  <c r="Q65" i="8"/>
  <c r="T65" i="8" s="1"/>
  <c r="R65" i="8"/>
  <c r="U65" i="8" s="1"/>
  <c r="S65" i="8"/>
  <c r="O66" i="8"/>
  <c r="P66" i="8"/>
  <c r="T66" i="8"/>
  <c r="U66" i="8"/>
  <c r="L67" i="8"/>
  <c r="L65" i="8" s="1"/>
  <c r="M67" i="8"/>
  <c r="M65" i="8" s="1"/>
  <c r="N67" i="8"/>
  <c r="N65" i="8" s="1"/>
  <c r="T67" i="8"/>
  <c r="U67" i="8"/>
  <c r="L73" i="8"/>
  <c r="M73" i="8"/>
  <c r="N73" i="8"/>
  <c r="O73" i="8"/>
  <c r="Q73" i="8"/>
  <c r="T73" i="8" s="1"/>
  <c r="R73" i="8"/>
  <c r="U73" i="8" s="1"/>
  <c r="S73" i="8"/>
  <c r="O76" i="8"/>
  <c r="P76" i="8"/>
  <c r="T76" i="8"/>
  <c r="U76" i="8"/>
  <c r="L77" i="8"/>
  <c r="M77" i="8"/>
  <c r="N77" i="8"/>
  <c r="N75" i="8" s="1"/>
  <c r="Q77" i="8"/>
  <c r="Q75" i="8" s="1"/>
  <c r="T75" i="8" s="1"/>
  <c r="R77" i="8"/>
  <c r="S77" i="8"/>
  <c r="O79" i="8"/>
  <c r="P79" i="8"/>
  <c r="T79" i="8"/>
  <c r="U79" i="8"/>
  <c r="L80" i="8"/>
  <c r="L78" i="8" s="1"/>
  <c r="O78" i="8" s="1"/>
  <c r="M80" i="8"/>
  <c r="N80" i="8"/>
  <c r="N78" i="8" s="1"/>
  <c r="Q80" i="8"/>
  <c r="Q78" i="8" s="1"/>
  <c r="T78" i="8" s="1"/>
  <c r="R80" i="8"/>
  <c r="U80" i="8" s="1"/>
  <c r="S80" i="8"/>
  <c r="S78" i="8" s="1"/>
  <c r="J82" i="8"/>
  <c r="J70" i="8" s="1"/>
  <c r="J83" i="8"/>
  <c r="J71" i="8" s="1"/>
  <c r="I84" i="8"/>
  <c r="I85" i="8"/>
  <c r="K85" i="8" s="1"/>
  <c r="I86" i="8"/>
  <c r="K86" i="8" s="1"/>
  <c r="I87" i="8"/>
  <c r="I88" i="8"/>
  <c r="K88" i="8" s="1"/>
  <c r="I89" i="8"/>
  <c r="K89" i="8" s="1"/>
  <c r="I90" i="8"/>
  <c r="K90" i="8" s="1"/>
  <c r="J92" i="8"/>
  <c r="J93" i="8"/>
  <c r="L95" i="8"/>
  <c r="M95" i="8"/>
  <c r="P95" i="8" s="1"/>
  <c r="N95" i="8"/>
  <c r="Q95" i="8"/>
  <c r="T95" i="8" s="1"/>
  <c r="R95" i="8"/>
  <c r="S95" i="8"/>
  <c r="U95" i="8"/>
  <c r="O98" i="8"/>
  <c r="P98" i="8"/>
  <c r="T98" i="8"/>
  <c r="U98" i="8"/>
  <c r="L99" i="8"/>
  <c r="O99" i="8" s="1"/>
  <c r="M99" i="8"/>
  <c r="N99" i="8"/>
  <c r="Q99" i="8"/>
  <c r="R99" i="8"/>
  <c r="R96" i="8" s="1"/>
  <c r="S99" i="8"/>
  <c r="Q100" i="8"/>
  <c r="T100" i="8" s="1"/>
  <c r="R100" i="8"/>
  <c r="U100" i="8" s="1"/>
  <c r="S100" i="8"/>
  <c r="O101" i="8"/>
  <c r="P101" i="8"/>
  <c r="T101" i="8"/>
  <c r="U101" i="8"/>
  <c r="L102" i="8"/>
  <c r="M102" i="8"/>
  <c r="M100" i="8" s="1"/>
  <c r="P100" i="8" s="1"/>
  <c r="N102" i="8"/>
  <c r="N100" i="8" s="1"/>
  <c r="T102" i="8"/>
  <c r="U102" i="8"/>
  <c r="I108" i="8"/>
  <c r="I92" i="8" s="1"/>
  <c r="I109" i="8"/>
  <c r="I113" i="8"/>
  <c r="K113" i="8" s="1"/>
  <c r="I114" i="8"/>
  <c r="K114" i="8" s="1"/>
  <c r="J116" i="8"/>
  <c r="L118" i="8"/>
  <c r="O118" i="8" s="1"/>
  <c r="M118" i="8"/>
  <c r="P118" i="8" s="1"/>
  <c r="N118" i="8"/>
  <c r="Q118" i="8"/>
  <c r="T118" i="8" s="1"/>
  <c r="R118" i="8"/>
  <c r="S118" i="8"/>
  <c r="U118" i="8"/>
  <c r="O121" i="8"/>
  <c r="P121" i="8"/>
  <c r="T121" i="8"/>
  <c r="U121" i="8"/>
  <c r="L122" i="8"/>
  <c r="L120" i="8" s="1"/>
  <c r="O120" i="8" s="1"/>
  <c r="M122" i="8"/>
  <c r="P122" i="8" s="1"/>
  <c r="N122" i="8"/>
  <c r="N120" i="8" s="1"/>
  <c r="Q122" i="8"/>
  <c r="Q120" i="8" s="1"/>
  <c r="R122" i="8"/>
  <c r="S122" i="8"/>
  <c r="O124" i="8"/>
  <c r="P124" i="8"/>
  <c r="T124" i="8"/>
  <c r="U124" i="8"/>
  <c r="L125" i="8"/>
  <c r="L123" i="8" s="1"/>
  <c r="O123" i="8" s="1"/>
  <c r="M125" i="8"/>
  <c r="N125" i="8"/>
  <c r="Q125" i="8"/>
  <c r="Q123" i="8" s="1"/>
  <c r="T123" i="8" s="1"/>
  <c r="R125" i="8"/>
  <c r="R123" i="8" s="1"/>
  <c r="U123" i="8" s="1"/>
  <c r="S125" i="8"/>
  <c r="S123" i="8" s="1"/>
  <c r="I127" i="8"/>
  <c r="I128" i="8"/>
  <c r="K128" i="8" s="1"/>
  <c r="I129" i="8"/>
  <c r="K129" i="8" s="1"/>
  <c r="I130" i="8"/>
  <c r="K130" i="8" s="1"/>
  <c r="J136" i="8"/>
  <c r="J137" i="8"/>
  <c r="J138" i="8"/>
  <c r="L140" i="8"/>
  <c r="O140" i="8" s="1"/>
  <c r="M140" i="8"/>
  <c r="P140" i="8" s="1"/>
  <c r="N140" i="8"/>
  <c r="Q140" i="8"/>
  <c r="R140" i="8"/>
  <c r="U140" i="8" s="1"/>
  <c r="S140" i="8"/>
  <c r="O143" i="8"/>
  <c r="P143" i="8"/>
  <c r="T143" i="8"/>
  <c r="U143" i="8"/>
  <c r="L144" i="8"/>
  <c r="L142" i="8" s="1"/>
  <c r="O142" i="8" s="1"/>
  <c r="M144" i="8"/>
  <c r="M142" i="8" s="1"/>
  <c r="P142" i="8" s="1"/>
  <c r="N144" i="8"/>
  <c r="Q144" i="8"/>
  <c r="R144" i="8"/>
  <c r="S144" i="8"/>
  <c r="S142" i="8" s="1"/>
  <c r="O146" i="8"/>
  <c r="P146" i="8"/>
  <c r="T146" i="8"/>
  <c r="U146" i="8"/>
  <c r="L147" i="8"/>
  <c r="O147" i="8" s="1"/>
  <c r="M147" i="8"/>
  <c r="N147" i="8"/>
  <c r="N145" i="8" s="1"/>
  <c r="Q147" i="8"/>
  <c r="T147" i="8" s="1"/>
  <c r="R147" i="8"/>
  <c r="S147" i="8"/>
  <c r="S145" i="8" s="1"/>
  <c r="I150" i="8"/>
  <c r="K150" i="8" s="1"/>
  <c r="I151" i="8"/>
  <c r="K151" i="8" s="1"/>
  <c r="I152" i="8"/>
  <c r="K152" i="8" s="1"/>
  <c r="I153" i="8"/>
  <c r="K153" i="8" s="1"/>
  <c r="I154" i="8"/>
  <c r="J156" i="8"/>
  <c r="L158" i="8"/>
  <c r="M158" i="8"/>
  <c r="N158" i="8"/>
  <c r="O158" i="8"/>
  <c r="Q158" i="8"/>
  <c r="T158" i="8" s="1"/>
  <c r="R158" i="8"/>
  <c r="U158" i="8" s="1"/>
  <c r="S158" i="8"/>
  <c r="O161" i="8"/>
  <c r="P161" i="8"/>
  <c r="T161" i="8"/>
  <c r="U161" i="8"/>
  <c r="L162" i="8"/>
  <c r="M162" i="8"/>
  <c r="N162" i="8"/>
  <c r="N160" i="8" s="1"/>
  <c r="Q162" i="8"/>
  <c r="Q160" i="8" s="1"/>
  <c r="T160" i="8" s="1"/>
  <c r="R162" i="8"/>
  <c r="S162" i="8"/>
  <c r="S159" i="8" s="1"/>
  <c r="Q163" i="8"/>
  <c r="T163" i="8" s="1"/>
  <c r="R163" i="8"/>
  <c r="S163" i="8"/>
  <c r="U163" i="8"/>
  <c r="O164" i="8"/>
  <c r="P164" i="8"/>
  <c r="T164" i="8"/>
  <c r="U164" i="8"/>
  <c r="L165" i="8"/>
  <c r="M165" i="8"/>
  <c r="N165" i="8"/>
  <c r="N163" i="8" s="1"/>
  <c r="T165" i="8"/>
  <c r="U165" i="8"/>
  <c r="I167" i="8"/>
  <c r="K167" i="8" s="1"/>
  <c r="I168" i="8"/>
  <c r="K168" i="8" s="1"/>
  <c r="I169" i="8"/>
  <c r="J172" i="8"/>
  <c r="L174" i="8"/>
  <c r="O174" i="8" s="1"/>
  <c r="M174" i="8"/>
  <c r="N174" i="8"/>
  <c r="Q174" i="8"/>
  <c r="R174" i="8"/>
  <c r="S174" i="8"/>
  <c r="O177" i="8"/>
  <c r="P177" i="8"/>
  <c r="T177" i="8"/>
  <c r="U177" i="8"/>
  <c r="L178" i="8"/>
  <c r="L176" i="8" s="1"/>
  <c r="M178" i="8"/>
  <c r="N178" i="8"/>
  <c r="N176" i="8" s="1"/>
  <c r="Q178" i="8"/>
  <c r="Q176" i="8" s="1"/>
  <c r="T176" i="8" s="1"/>
  <c r="R178" i="8"/>
  <c r="S178" i="8"/>
  <c r="S176" i="8" s="1"/>
  <c r="Q179" i="8"/>
  <c r="T179" i="8" s="1"/>
  <c r="R179" i="8"/>
  <c r="U179" i="8" s="1"/>
  <c r="S179" i="8"/>
  <c r="O180" i="8"/>
  <c r="P180" i="8"/>
  <c r="T180" i="8"/>
  <c r="U180" i="8"/>
  <c r="L181" i="8"/>
  <c r="L179" i="8" s="1"/>
  <c r="O179" i="8" s="1"/>
  <c r="M181" i="8"/>
  <c r="P181" i="8" s="1"/>
  <c r="N181" i="8"/>
  <c r="T181" i="8"/>
  <c r="U181" i="8"/>
  <c r="I183" i="8"/>
  <c r="I172" i="8" s="1"/>
  <c r="K172" i="8" s="1"/>
  <c r="K184" i="8"/>
  <c r="L187" i="8"/>
  <c r="O187" i="8" s="1"/>
  <c r="M187" i="8"/>
  <c r="N187" i="8"/>
  <c r="Q187" i="8"/>
  <c r="R187" i="8"/>
  <c r="S187" i="8"/>
  <c r="O190" i="8"/>
  <c r="P190" i="8"/>
  <c r="T190" i="8"/>
  <c r="U190" i="8"/>
  <c r="L191" i="8"/>
  <c r="M191" i="8"/>
  <c r="N191" i="8"/>
  <c r="Q191" i="8"/>
  <c r="Q189" i="8" s="1"/>
  <c r="R191" i="8"/>
  <c r="R189" i="8" s="1"/>
  <c r="S191" i="8"/>
  <c r="O193" i="8"/>
  <c r="P193" i="8"/>
  <c r="T193" i="8"/>
  <c r="U193" i="8"/>
  <c r="L194" i="8"/>
  <c r="M194" i="8"/>
  <c r="N194" i="8"/>
  <c r="N192" i="8" s="1"/>
  <c r="Q194" i="8"/>
  <c r="Q192" i="8" s="1"/>
  <c r="T192" i="8" s="1"/>
  <c r="R194" i="8"/>
  <c r="U194" i="8" s="1"/>
  <c r="S194" i="8"/>
  <c r="S192" i="8" s="1"/>
  <c r="J195" i="8"/>
  <c r="L196" i="8"/>
  <c r="O196" i="8" s="1"/>
  <c r="P196" i="8"/>
  <c r="I198" i="8"/>
  <c r="I195" i="8" s="1"/>
  <c r="K195" i="8" s="1"/>
  <c r="J199" i="8"/>
  <c r="J202" i="8"/>
  <c r="N203" i="8"/>
  <c r="P203" i="8"/>
  <c r="S203" i="8"/>
  <c r="U203" i="8"/>
  <c r="L204" i="8"/>
  <c r="L205" i="8"/>
  <c r="L206" i="8"/>
  <c r="Q206" i="8"/>
  <c r="Q203" i="8" s="1"/>
  <c r="T203" i="8" s="1"/>
  <c r="L207" i="8"/>
  <c r="I209" i="8"/>
  <c r="K209" i="8" s="1"/>
  <c r="I211" i="8"/>
  <c r="K211" i="8" s="1"/>
  <c r="I212" i="8"/>
  <c r="K212" i="8" s="1"/>
  <c r="J213" i="8"/>
  <c r="N214" i="8"/>
  <c r="P214" i="8"/>
  <c r="S214" i="8"/>
  <c r="U214" i="8"/>
  <c r="L215" i="8"/>
  <c r="L216" i="8"/>
  <c r="L217" i="8"/>
  <c r="Q217" i="8"/>
  <c r="Q214" i="8" s="1"/>
  <c r="T214" i="8" s="1"/>
  <c r="I219" i="8"/>
  <c r="K219" i="8" s="1"/>
  <c r="I220" i="8"/>
  <c r="K220" i="8" s="1"/>
  <c r="J221" i="8"/>
  <c r="N222" i="8"/>
  <c r="P222" i="8"/>
  <c r="L223" i="8"/>
  <c r="L224" i="8"/>
  <c r="L225" i="8"/>
  <c r="I228" i="8"/>
  <c r="K228" i="8" s="1"/>
  <c r="I229" i="8"/>
  <c r="I221" i="8" s="1"/>
  <c r="K221" i="8" s="1"/>
  <c r="I230" i="8"/>
  <c r="J231" i="8"/>
  <c r="J185" i="8" s="1"/>
  <c r="N233" i="8"/>
  <c r="N234" i="8"/>
  <c r="N235" i="8"/>
  <c r="N236" i="8"/>
  <c r="J238" i="8"/>
  <c r="I240" i="8"/>
  <c r="K240" i="8" s="1"/>
  <c r="J240" i="8"/>
  <c r="I241" i="8"/>
  <c r="K241" i="8" s="1"/>
  <c r="J241" i="8"/>
  <c r="J242" i="8"/>
  <c r="N243" i="8"/>
  <c r="P243" i="8"/>
  <c r="L244" i="8"/>
  <c r="L245" i="8"/>
  <c r="L246" i="8"/>
  <c r="L247" i="8"/>
  <c r="I249" i="8"/>
  <c r="K249" i="8" s="1"/>
  <c r="K251" i="8"/>
  <c r="K252" i="8"/>
  <c r="J253" i="8"/>
  <c r="N254" i="8"/>
  <c r="P254" i="8"/>
  <c r="L255" i="8"/>
  <c r="L256" i="8"/>
  <c r="L257" i="8"/>
  <c r="L258" i="8"/>
  <c r="I260" i="8"/>
  <c r="K262" i="8"/>
  <c r="K263" i="8"/>
  <c r="J265" i="8"/>
  <c r="L267" i="8"/>
  <c r="O267" i="8" s="1"/>
  <c r="M267" i="8"/>
  <c r="P267" i="8" s="1"/>
  <c r="N267" i="8"/>
  <c r="Q267" i="8"/>
  <c r="R267" i="8"/>
  <c r="U267" i="8" s="1"/>
  <c r="S267" i="8"/>
  <c r="T267" i="8"/>
  <c r="O270" i="8"/>
  <c r="P270" i="8"/>
  <c r="T270" i="8"/>
  <c r="U270" i="8"/>
  <c r="L271" i="8"/>
  <c r="M271" i="8"/>
  <c r="N271" i="8"/>
  <c r="Q271" i="8"/>
  <c r="Q269" i="8" s="1"/>
  <c r="R271" i="8"/>
  <c r="R268" i="8" s="1"/>
  <c r="S271" i="8"/>
  <c r="Q272" i="8"/>
  <c r="R272" i="8"/>
  <c r="S272" i="8"/>
  <c r="T272" i="8"/>
  <c r="U272" i="8"/>
  <c r="O273" i="8"/>
  <c r="P273" i="8"/>
  <c r="T273" i="8"/>
  <c r="U273" i="8"/>
  <c r="L274" i="8"/>
  <c r="M274" i="8"/>
  <c r="N274" i="8"/>
  <c r="N272" i="8" s="1"/>
  <c r="T274" i="8"/>
  <c r="U274" i="8"/>
  <c r="I276" i="8"/>
  <c r="I265" i="8" s="1"/>
  <c r="K265" i="8" s="1"/>
  <c r="J281" i="8"/>
  <c r="L283" i="8"/>
  <c r="M283" i="8"/>
  <c r="N283" i="8"/>
  <c r="O283" i="8"/>
  <c r="Q283" i="8"/>
  <c r="T283" i="8" s="1"/>
  <c r="R283" i="8"/>
  <c r="R282" i="8" s="1"/>
  <c r="U282" i="8" s="1"/>
  <c r="S283" i="8"/>
  <c r="U283" i="8"/>
  <c r="Q284" i="8"/>
  <c r="T284" i="8" s="1"/>
  <c r="R284" i="8"/>
  <c r="S284" i="8"/>
  <c r="S282" i="8" s="1"/>
  <c r="U284" i="8"/>
  <c r="Q285" i="8"/>
  <c r="T285" i="8" s="1"/>
  <c r="R285" i="8"/>
  <c r="U285" i="8" s="1"/>
  <c r="S285" i="8"/>
  <c r="O286" i="8"/>
  <c r="P286" i="8"/>
  <c r="T286" i="8"/>
  <c r="U286" i="8"/>
  <c r="L287" i="8"/>
  <c r="O287" i="8" s="1"/>
  <c r="M287" i="8"/>
  <c r="P287" i="8" s="1"/>
  <c r="N287" i="8"/>
  <c r="N285" i="8" s="1"/>
  <c r="T287" i="8"/>
  <c r="U287" i="8"/>
  <c r="Q288" i="8"/>
  <c r="R288" i="8"/>
  <c r="U288" i="8" s="1"/>
  <c r="S288" i="8"/>
  <c r="T288" i="8"/>
  <c r="O289" i="8"/>
  <c r="P289" i="8"/>
  <c r="T289" i="8"/>
  <c r="U289" i="8"/>
  <c r="L290" i="8"/>
  <c r="M290" i="8"/>
  <c r="N290" i="8"/>
  <c r="N288" i="8" s="1"/>
  <c r="T290" i="8"/>
  <c r="U290" i="8"/>
  <c r="I292" i="8"/>
  <c r="I293" i="8"/>
  <c r="J293" i="8"/>
  <c r="J280" i="8" s="1"/>
  <c r="I295" i="8"/>
  <c r="K295" i="8" s="1"/>
  <c r="I296" i="8"/>
  <c r="K296" i="8" s="1"/>
  <c r="J302" i="8"/>
  <c r="L304" i="8"/>
  <c r="M304" i="8"/>
  <c r="N304" i="8"/>
  <c r="O304" i="8"/>
  <c r="Q304" i="8"/>
  <c r="T304" i="8" s="1"/>
  <c r="R304" i="8"/>
  <c r="S304" i="8"/>
  <c r="U304" i="8"/>
  <c r="O307" i="8"/>
  <c r="P307" i="8"/>
  <c r="T307" i="8"/>
  <c r="U307" i="8"/>
  <c r="L308" i="8"/>
  <c r="M308" i="8"/>
  <c r="N308" i="8"/>
  <c r="Q308" i="8"/>
  <c r="Q306" i="8" s="1"/>
  <c r="R308" i="8"/>
  <c r="S308" i="8"/>
  <c r="S305" i="8" s="1"/>
  <c r="Q309" i="8"/>
  <c r="T309" i="8" s="1"/>
  <c r="R309" i="8"/>
  <c r="U309" i="8" s="1"/>
  <c r="S309" i="8"/>
  <c r="O310" i="8"/>
  <c r="P310" i="8"/>
  <c r="T310" i="8"/>
  <c r="U310" i="8"/>
  <c r="L311" i="8"/>
  <c r="L309" i="8" s="1"/>
  <c r="O309" i="8" s="1"/>
  <c r="M311" i="8"/>
  <c r="P311" i="8" s="1"/>
  <c r="N311" i="8"/>
  <c r="N309" i="8" s="1"/>
  <c r="T311" i="8"/>
  <c r="U311" i="8"/>
  <c r="I314" i="8"/>
  <c r="I302" i="8" s="1"/>
  <c r="K302" i="8" s="1"/>
  <c r="J319" i="8"/>
  <c r="L321" i="8"/>
  <c r="O321" i="8" s="1"/>
  <c r="M321" i="8"/>
  <c r="N321" i="8"/>
  <c r="Q321" i="8"/>
  <c r="R321" i="8"/>
  <c r="U321" i="8" s="1"/>
  <c r="S321" i="8"/>
  <c r="Q322" i="8"/>
  <c r="T322" i="8" s="1"/>
  <c r="R322" i="8"/>
  <c r="U322" i="8" s="1"/>
  <c r="S322" i="8"/>
  <c r="Q323" i="8"/>
  <c r="T323" i="8" s="1"/>
  <c r="R323" i="8"/>
  <c r="U323" i="8" s="1"/>
  <c r="S323" i="8"/>
  <c r="O324" i="8"/>
  <c r="P324" i="8"/>
  <c r="T324" i="8"/>
  <c r="U324" i="8"/>
  <c r="L325" i="8"/>
  <c r="M325" i="8"/>
  <c r="M323" i="8" s="1"/>
  <c r="P323" i="8" s="1"/>
  <c r="N325" i="8"/>
  <c r="N323" i="8" s="1"/>
  <c r="T325" i="8"/>
  <c r="U325" i="8"/>
  <c r="Q326" i="8"/>
  <c r="T326" i="8" s="1"/>
  <c r="R326" i="8"/>
  <c r="U326" i="8" s="1"/>
  <c r="S326" i="8"/>
  <c r="O327" i="8"/>
  <c r="P327" i="8"/>
  <c r="T327" i="8"/>
  <c r="U327" i="8"/>
  <c r="L328" i="8"/>
  <c r="O328" i="8" s="1"/>
  <c r="M328" i="8"/>
  <c r="M326" i="8" s="1"/>
  <c r="P326" i="8" s="1"/>
  <c r="N328" i="8"/>
  <c r="N326" i="8" s="1"/>
  <c r="T328" i="8"/>
  <c r="U328" i="8"/>
  <c r="I330" i="8"/>
  <c r="K330" i="8" s="1"/>
  <c r="R333" i="8"/>
  <c r="U333" i="8" s="1"/>
  <c r="L334" i="8"/>
  <c r="M334" i="8"/>
  <c r="P334" i="8" s="1"/>
  <c r="N334" i="8"/>
  <c r="O334" i="8"/>
  <c r="Q334" i="8"/>
  <c r="R334" i="8"/>
  <c r="S334" i="8"/>
  <c r="S333" i="8" s="1"/>
  <c r="T334" i="8"/>
  <c r="U334" i="8"/>
  <c r="Q335" i="8"/>
  <c r="Q333" i="8" s="1"/>
  <c r="T333" i="8" s="1"/>
  <c r="R335" i="8"/>
  <c r="U335" i="8" s="1"/>
  <c r="S335" i="8"/>
  <c r="T335" i="8"/>
  <c r="Q336" i="8"/>
  <c r="R336" i="8"/>
  <c r="U336" i="8" s="1"/>
  <c r="S336" i="8"/>
  <c r="T336" i="8"/>
  <c r="O337" i="8"/>
  <c r="P337" i="8"/>
  <c r="T337" i="8"/>
  <c r="U337" i="8"/>
  <c r="L338" i="8"/>
  <c r="L336" i="8" s="1"/>
  <c r="M338" i="8"/>
  <c r="M336" i="8" s="1"/>
  <c r="N338" i="8"/>
  <c r="N336" i="8" s="1"/>
  <c r="T338" i="8"/>
  <c r="U338" i="8"/>
  <c r="Q339" i="8"/>
  <c r="T339" i="8" s="1"/>
  <c r="R339" i="8"/>
  <c r="U339" i="8" s="1"/>
  <c r="S339" i="8"/>
  <c r="O340" i="8"/>
  <c r="P340" i="8"/>
  <c r="T340" i="8"/>
  <c r="U340" i="8"/>
  <c r="L341" i="8"/>
  <c r="L339" i="8" s="1"/>
  <c r="O339" i="8" s="1"/>
  <c r="M341" i="8"/>
  <c r="P341" i="8" s="1"/>
  <c r="N341" i="8"/>
  <c r="N339" i="8" s="1"/>
  <c r="T341" i="8"/>
  <c r="U341" i="8"/>
  <c r="I344" i="8"/>
  <c r="J344" i="8"/>
  <c r="I346" i="8"/>
  <c r="J346" i="8"/>
  <c r="J347" i="8"/>
  <c r="J348" i="8"/>
  <c r="J349" i="8"/>
  <c r="D350" i="8"/>
  <c r="J352" i="8"/>
  <c r="J353" i="8"/>
  <c r="D354" i="8"/>
  <c r="L357" i="8"/>
  <c r="M357" i="8"/>
  <c r="P357" i="8" s="1"/>
  <c r="N357" i="8"/>
  <c r="O357" i="8"/>
  <c r="Q357" i="8"/>
  <c r="R357" i="8"/>
  <c r="S357" i="8"/>
  <c r="S356" i="8" s="1"/>
  <c r="U357" i="8"/>
  <c r="Q358" i="8"/>
  <c r="T358" i="8" s="1"/>
  <c r="R358" i="8"/>
  <c r="U358" i="8" s="1"/>
  <c r="S358" i="8"/>
  <c r="Q359" i="8"/>
  <c r="T359" i="8" s="1"/>
  <c r="R359" i="8"/>
  <c r="U359" i="8" s="1"/>
  <c r="S359" i="8"/>
  <c r="O360" i="8"/>
  <c r="P360" i="8"/>
  <c r="T360" i="8"/>
  <c r="U360" i="8"/>
  <c r="L361" i="8"/>
  <c r="L359" i="8" s="1"/>
  <c r="M361" i="8"/>
  <c r="N361" i="8"/>
  <c r="T361" i="8"/>
  <c r="U361" i="8"/>
  <c r="Q362" i="8"/>
  <c r="T362" i="8" s="1"/>
  <c r="R362" i="8"/>
  <c r="U362" i="8" s="1"/>
  <c r="S362" i="8"/>
  <c r="O363" i="8"/>
  <c r="P363" i="8"/>
  <c r="T363" i="8"/>
  <c r="U363" i="8"/>
  <c r="L364" i="8"/>
  <c r="O364" i="8" s="1"/>
  <c r="M364" i="8"/>
  <c r="M362" i="8" s="1"/>
  <c r="P362" i="8" s="1"/>
  <c r="N364" i="8"/>
  <c r="T364" i="8"/>
  <c r="U364" i="8"/>
  <c r="J367" i="8"/>
  <c r="K367" i="8"/>
  <c r="I368" i="8"/>
  <c r="J368" i="8"/>
  <c r="I369" i="8"/>
  <c r="J369" i="8"/>
  <c r="J370" i="8"/>
  <c r="K370" i="8"/>
  <c r="I371" i="8"/>
  <c r="I365" i="8" s="1"/>
  <c r="J371" i="8"/>
  <c r="J365" i="8" s="1"/>
  <c r="J372" i="8"/>
  <c r="K372" i="8"/>
  <c r="D373" i="8"/>
  <c r="L376" i="8"/>
  <c r="M376" i="8"/>
  <c r="N376" i="8"/>
  <c r="O376" i="8"/>
  <c r="Q376" i="8"/>
  <c r="R376" i="8"/>
  <c r="S376" i="8"/>
  <c r="T376" i="8"/>
  <c r="U376" i="8"/>
  <c r="O379" i="8"/>
  <c r="P379" i="8"/>
  <c r="T379" i="8"/>
  <c r="U379" i="8"/>
  <c r="L380" i="8"/>
  <c r="M380" i="8"/>
  <c r="M378" i="8" s="1"/>
  <c r="N380" i="8"/>
  <c r="N378" i="8" s="1"/>
  <c r="Q380" i="8"/>
  <c r="R380" i="8"/>
  <c r="R377" i="8" s="1"/>
  <c r="R375" i="8" s="1"/>
  <c r="S380" i="8"/>
  <c r="S378" i="8" s="1"/>
  <c r="Q381" i="8"/>
  <c r="T381" i="8" s="1"/>
  <c r="R381" i="8"/>
  <c r="S381" i="8"/>
  <c r="U381" i="8"/>
  <c r="O382" i="8"/>
  <c r="P382" i="8"/>
  <c r="T382" i="8"/>
  <c r="U382" i="8"/>
  <c r="L383" i="8"/>
  <c r="M383" i="8"/>
  <c r="N383" i="8"/>
  <c r="N381" i="8" s="1"/>
  <c r="T383" i="8"/>
  <c r="U383" i="8"/>
  <c r="J385" i="8"/>
  <c r="K385" i="8"/>
  <c r="I386" i="8"/>
  <c r="J386" i="8"/>
  <c r="J387" i="8"/>
  <c r="K387" i="8"/>
  <c r="I388" i="8"/>
  <c r="K388" i="8" s="1"/>
  <c r="J388" i="8"/>
  <c r="I391" i="8"/>
  <c r="K391" i="8" s="1"/>
  <c r="J391" i="8"/>
  <c r="M392" i="8"/>
  <c r="P392" i="8" s="1"/>
  <c r="L393" i="8"/>
  <c r="O393" i="8" s="1"/>
  <c r="M393" i="8"/>
  <c r="P393" i="8" s="1"/>
  <c r="N393" i="8"/>
  <c r="Q393" i="8"/>
  <c r="T393" i="8" s="1"/>
  <c r="R393" i="8"/>
  <c r="S393" i="8"/>
  <c r="U393" i="8"/>
  <c r="L394" i="8"/>
  <c r="L392" i="8" s="1"/>
  <c r="O392" i="8" s="1"/>
  <c r="M394" i="8"/>
  <c r="P394" i="8" s="1"/>
  <c r="N394" i="8"/>
  <c r="L395" i="8"/>
  <c r="O395" i="8" s="1"/>
  <c r="M395" i="8"/>
  <c r="P395" i="8" s="1"/>
  <c r="N395" i="8"/>
  <c r="O396" i="8"/>
  <c r="P396" i="8"/>
  <c r="T396" i="8"/>
  <c r="U396" i="8"/>
  <c r="O397" i="8"/>
  <c r="P397" i="8"/>
  <c r="Q397" i="8"/>
  <c r="Q395" i="8" s="1"/>
  <c r="T395" i="8" s="1"/>
  <c r="R397" i="8"/>
  <c r="R394" i="8" s="1"/>
  <c r="S397" i="8"/>
  <c r="S395" i="8" s="1"/>
  <c r="L398" i="8"/>
  <c r="O398" i="8" s="1"/>
  <c r="M398" i="8"/>
  <c r="N398" i="8"/>
  <c r="P398" i="8"/>
  <c r="Q398" i="8"/>
  <c r="T398" i="8" s="1"/>
  <c r="R398" i="8"/>
  <c r="U398" i="8" s="1"/>
  <c r="S398" i="8"/>
  <c r="O399" i="8"/>
  <c r="P399" i="8"/>
  <c r="T399" i="8"/>
  <c r="U399" i="8"/>
  <c r="O400" i="8"/>
  <c r="P400" i="8"/>
  <c r="T400" i="8"/>
  <c r="U400" i="8"/>
  <c r="L414" i="8"/>
  <c r="M414" i="8"/>
  <c r="N414" i="8"/>
  <c r="O414" i="8"/>
  <c r="P414" i="8"/>
  <c r="Q414" i="8"/>
  <c r="T414" i="8" s="1"/>
  <c r="R414" i="8"/>
  <c r="S414" i="8"/>
  <c r="U414" i="8"/>
  <c r="O417" i="8"/>
  <c r="P417" i="8"/>
  <c r="T417" i="8"/>
  <c r="U417" i="8"/>
  <c r="L418" i="8"/>
  <c r="M418" i="8"/>
  <c r="N418" i="8"/>
  <c r="Q418" i="8"/>
  <c r="Q416" i="8" s="1"/>
  <c r="R418" i="8"/>
  <c r="S418" i="8"/>
  <c r="S415" i="8" s="1"/>
  <c r="Q419" i="8"/>
  <c r="T419" i="8" s="1"/>
  <c r="R419" i="8"/>
  <c r="U419" i="8" s="1"/>
  <c r="S419" i="8"/>
  <c r="O420" i="8"/>
  <c r="P420" i="8"/>
  <c r="T420" i="8"/>
  <c r="U420" i="8"/>
  <c r="L421" i="8"/>
  <c r="L419" i="8" s="1"/>
  <c r="O419" i="8" s="1"/>
  <c r="M421" i="8"/>
  <c r="P421" i="8" s="1"/>
  <c r="N421" i="8"/>
  <c r="N419" i="8" s="1"/>
  <c r="T421" i="8"/>
  <c r="U421" i="8"/>
  <c r="I424" i="8"/>
  <c r="K424" i="8" s="1"/>
  <c r="J424" i="8"/>
  <c r="I425" i="8"/>
  <c r="K425" i="8" s="1"/>
  <c r="J425" i="8"/>
  <c r="I432" i="8"/>
  <c r="K432" i="8" s="1"/>
  <c r="J432" i="8"/>
  <c r="I433" i="8"/>
  <c r="K433" i="8" s="1"/>
  <c r="J433" i="8"/>
  <c r="I440" i="8"/>
  <c r="J440" i="8"/>
  <c r="J423" i="8" s="1"/>
  <c r="J412" i="8" s="1"/>
  <c r="I441" i="8"/>
  <c r="K441" i="8" s="1"/>
  <c r="J446" i="8"/>
  <c r="J447" i="8"/>
  <c r="J441" i="8" s="1"/>
  <c r="I457" i="8"/>
  <c r="I456" i="8" s="1"/>
  <c r="I458" i="8"/>
  <c r="K458" i="8" s="1"/>
  <c r="J459" i="8"/>
  <c r="J460" i="8"/>
  <c r="J467" i="8"/>
  <c r="J468" i="8"/>
  <c r="J475" i="8"/>
  <c r="K475" i="8"/>
  <c r="J476" i="8"/>
  <c r="K476" i="8"/>
  <c r="J477" i="8"/>
  <c r="K477" i="8"/>
  <c r="J482" i="8"/>
  <c r="J483" i="8"/>
  <c r="I484" i="8"/>
  <c r="K484" i="8" s="1"/>
  <c r="J484" i="8"/>
  <c r="I485" i="8"/>
  <c r="K485" i="8" s="1"/>
  <c r="J485" i="8"/>
  <c r="L494" i="8"/>
  <c r="M494" i="8"/>
  <c r="N494" i="8"/>
  <c r="O494" i="8"/>
  <c r="Q494" i="8"/>
  <c r="T494" i="8" s="1"/>
  <c r="R494" i="8"/>
  <c r="S494" i="8"/>
  <c r="O497" i="8"/>
  <c r="P497" i="8"/>
  <c r="T497" i="8"/>
  <c r="U497" i="8"/>
  <c r="L498" i="8"/>
  <c r="M498" i="8"/>
  <c r="M496" i="8" s="1"/>
  <c r="P496" i="8" s="1"/>
  <c r="N498" i="8"/>
  <c r="N496" i="8" s="1"/>
  <c r="Q498" i="8"/>
  <c r="Q495" i="8" s="1"/>
  <c r="T495" i="8" s="1"/>
  <c r="R498" i="8"/>
  <c r="S498" i="8"/>
  <c r="S496" i="8" s="1"/>
  <c r="Q499" i="8"/>
  <c r="T499" i="8" s="1"/>
  <c r="R499" i="8"/>
  <c r="U499" i="8" s="1"/>
  <c r="S499" i="8"/>
  <c r="O500" i="8"/>
  <c r="P500" i="8"/>
  <c r="T500" i="8"/>
  <c r="U500" i="8"/>
  <c r="L501" i="8"/>
  <c r="L499" i="8" s="1"/>
  <c r="O499" i="8" s="1"/>
  <c r="M501" i="8"/>
  <c r="M499" i="8" s="1"/>
  <c r="P499" i="8" s="1"/>
  <c r="N501" i="8"/>
  <c r="N499" i="8" s="1"/>
  <c r="T501" i="8"/>
  <c r="U501" i="8"/>
  <c r="I503" i="8"/>
  <c r="I492" i="8" s="1"/>
  <c r="K492" i="8" s="1"/>
  <c r="I504" i="8"/>
  <c r="I505" i="8"/>
  <c r="K505" i="8" s="1"/>
  <c r="I506" i="8"/>
  <c r="K506" i="8" s="1"/>
  <c r="I507" i="8"/>
  <c r="K507" i="8" s="1"/>
  <c r="K508" i="8"/>
  <c r="I509" i="8"/>
  <c r="K509" i="8" s="1"/>
  <c r="I512" i="8"/>
  <c r="K512" i="8" s="1"/>
  <c r="J512" i="8"/>
  <c r="L514" i="8"/>
  <c r="O514" i="8" s="1"/>
  <c r="M514" i="8"/>
  <c r="P514" i="8" s="1"/>
  <c r="N514" i="8"/>
  <c r="Q514" i="8"/>
  <c r="R514" i="8"/>
  <c r="R513" i="8" s="1"/>
  <c r="U513" i="8" s="1"/>
  <c r="S514" i="8"/>
  <c r="U514" i="8"/>
  <c r="Q515" i="8"/>
  <c r="T515" i="8" s="1"/>
  <c r="R515" i="8"/>
  <c r="S515" i="8"/>
  <c r="S513" i="8" s="1"/>
  <c r="U515" i="8"/>
  <c r="Q516" i="8"/>
  <c r="T516" i="8" s="1"/>
  <c r="R516" i="8"/>
  <c r="S516" i="8"/>
  <c r="U516" i="8"/>
  <c r="O517" i="8"/>
  <c r="P517" i="8"/>
  <c r="T517" i="8"/>
  <c r="U517" i="8"/>
  <c r="L518" i="8"/>
  <c r="L516" i="8" s="1"/>
  <c r="O516" i="8" s="1"/>
  <c r="M518" i="8"/>
  <c r="M516" i="8" s="1"/>
  <c r="P516" i="8" s="1"/>
  <c r="N518" i="8"/>
  <c r="N516" i="8" s="1"/>
  <c r="T518" i="8"/>
  <c r="U518" i="8"/>
  <c r="Q519" i="8"/>
  <c r="T519" i="8" s="1"/>
  <c r="R519" i="8"/>
  <c r="U519" i="8" s="1"/>
  <c r="S519" i="8"/>
  <c r="O520" i="8"/>
  <c r="P520" i="8"/>
  <c r="T520" i="8"/>
  <c r="U520" i="8"/>
  <c r="L521" i="8"/>
  <c r="O521" i="8" s="1"/>
  <c r="M521" i="8"/>
  <c r="N521" i="8"/>
  <c r="N519" i="8" s="1"/>
  <c r="T521" i="8"/>
  <c r="U521" i="8"/>
  <c r="K523" i="8"/>
  <c r="K524" i="8"/>
  <c r="I533" i="8"/>
  <c r="J533" i="8"/>
  <c r="K533" i="8"/>
  <c r="Q534" i="8"/>
  <c r="T534" i="8" s="1"/>
  <c r="L535" i="8"/>
  <c r="M535" i="8"/>
  <c r="N535" i="8"/>
  <c r="P535" i="8"/>
  <c r="Q535" i="8"/>
  <c r="T535" i="8" s="1"/>
  <c r="R535" i="8"/>
  <c r="S535" i="8"/>
  <c r="S534" i="8" s="1"/>
  <c r="Q536" i="8"/>
  <c r="T536" i="8" s="1"/>
  <c r="R536" i="8"/>
  <c r="U536" i="8" s="1"/>
  <c r="S536" i="8"/>
  <c r="Q537" i="8"/>
  <c r="R537" i="8"/>
  <c r="U537" i="8" s="1"/>
  <c r="S537" i="8"/>
  <c r="T537" i="8"/>
  <c r="O538" i="8"/>
  <c r="P538" i="8"/>
  <c r="T538" i="8"/>
  <c r="U538" i="8"/>
  <c r="L539" i="8"/>
  <c r="O539" i="8" s="1"/>
  <c r="M539" i="8"/>
  <c r="M537" i="8" s="1"/>
  <c r="P537" i="8" s="1"/>
  <c r="N539" i="8"/>
  <c r="T539" i="8"/>
  <c r="U539" i="8"/>
  <c r="Q540" i="8"/>
  <c r="T540" i="8" s="1"/>
  <c r="R540" i="8"/>
  <c r="S540" i="8"/>
  <c r="U540" i="8"/>
  <c r="O541" i="8"/>
  <c r="P541" i="8"/>
  <c r="T541" i="8"/>
  <c r="U541" i="8"/>
  <c r="L542" i="8"/>
  <c r="M542" i="8"/>
  <c r="P542" i="8" s="1"/>
  <c r="N542" i="8"/>
  <c r="N540" i="8" s="1"/>
  <c r="T542" i="8"/>
  <c r="U542" i="8"/>
  <c r="I554" i="8"/>
  <c r="K554" i="8" s="1"/>
  <c r="J554" i="8"/>
  <c r="Q555" i="8"/>
  <c r="T555" i="8" s="1"/>
  <c r="L556" i="8"/>
  <c r="O556" i="8" s="1"/>
  <c r="M556" i="8"/>
  <c r="N556" i="8"/>
  <c r="P556" i="8"/>
  <c r="Q556" i="8"/>
  <c r="T556" i="8" s="1"/>
  <c r="R556" i="8"/>
  <c r="S556" i="8"/>
  <c r="S555" i="8" s="1"/>
  <c r="Q557" i="8"/>
  <c r="T557" i="8" s="1"/>
  <c r="R557" i="8"/>
  <c r="S557" i="8"/>
  <c r="U557" i="8"/>
  <c r="Q558" i="8"/>
  <c r="T558" i="8" s="1"/>
  <c r="R558" i="8"/>
  <c r="S558" i="8"/>
  <c r="U558" i="8"/>
  <c r="O559" i="8"/>
  <c r="P559" i="8"/>
  <c r="T559" i="8"/>
  <c r="U559" i="8"/>
  <c r="L560" i="8"/>
  <c r="L558" i="8" s="1"/>
  <c r="O558" i="8" s="1"/>
  <c r="M560" i="8"/>
  <c r="N560" i="8"/>
  <c r="T560" i="8"/>
  <c r="U560" i="8"/>
  <c r="Q561" i="8"/>
  <c r="T561" i="8" s="1"/>
  <c r="R561" i="8"/>
  <c r="U561" i="8" s="1"/>
  <c r="S561" i="8"/>
  <c r="O562" i="8"/>
  <c r="P562" i="8"/>
  <c r="T562" i="8"/>
  <c r="U562" i="8"/>
  <c r="L563" i="8"/>
  <c r="M563" i="8"/>
  <c r="M561" i="8" s="1"/>
  <c r="P561" i="8" s="1"/>
  <c r="N563" i="8"/>
  <c r="N561" i="8" s="1"/>
  <c r="T563" i="8"/>
  <c r="U563" i="8"/>
  <c r="I575" i="8"/>
  <c r="K575" i="8" s="1"/>
  <c r="J575" i="8"/>
  <c r="L577" i="8"/>
  <c r="O577" i="8" s="1"/>
  <c r="M577" i="8"/>
  <c r="N577" i="8"/>
  <c r="Q577" i="8"/>
  <c r="Q576" i="8" s="1"/>
  <c r="T576" i="8" s="1"/>
  <c r="R577" i="8"/>
  <c r="U577" i="8" s="1"/>
  <c r="S577" i="8"/>
  <c r="Q578" i="8"/>
  <c r="T578" i="8" s="1"/>
  <c r="R578" i="8"/>
  <c r="U578" i="8" s="1"/>
  <c r="S578" i="8"/>
  <c r="Q579" i="8"/>
  <c r="T579" i="8" s="1"/>
  <c r="R579" i="8"/>
  <c r="U579" i="8" s="1"/>
  <c r="S579" i="8"/>
  <c r="O580" i="8"/>
  <c r="P580" i="8"/>
  <c r="T580" i="8"/>
  <c r="U580" i="8"/>
  <c r="L581" i="8"/>
  <c r="M581" i="8"/>
  <c r="M579" i="8" s="1"/>
  <c r="P579" i="8" s="1"/>
  <c r="N581" i="8"/>
  <c r="T581" i="8"/>
  <c r="U581" i="8"/>
  <c r="Q582" i="8"/>
  <c r="T582" i="8" s="1"/>
  <c r="R582" i="8"/>
  <c r="U582" i="8" s="1"/>
  <c r="S582" i="8"/>
  <c r="O583" i="8"/>
  <c r="P583" i="8"/>
  <c r="T583" i="8"/>
  <c r="U583" i="8"/>
  <c r="L584" i="8"/>
  <c r="L582" i="8" s="1"/>
  <c r="O582" i="8" s="1"/>
  <c r="M584" i="8"/>
  <c r="P584" i="8" s="1"/>
  <c r="N584" i="8"/>
  <c r="N582" i="8" s="1"/>
  <c r="T584" i="8"/>
  <c r="U584" i="8"/>
  <c r="L600" i="8"/>
  <c r="O600" i="8" s="1"/>
  <c r="M600" i="8"/>
  <c r="P600" i="8" s="1"/>
  <c r="N600" i="8"/>
  <c r="Q600" i="8"/>
  <c r="R600" i="8"/>
  <c r="U600" i="8" s="1"/>
  <c r="S600" i="8"/>
  <c r="O603" i="8"/>
  <c r="P603" i="8"/>
  <c r="T603" i="8"/>
  <c r="U603" i="8"/>
  <c r="L604" i="8"/>
  <c r="L602" i="8" s="1"/>
  <c r="O602" i="8" s="1"/>
  <c r="M604" i="8"/>
  <c r="M602" i="8" s="1"/>
  <c r="P602" i="8" s="1"/>
  <c r="N604" i="8"/>
  <c r="Q604" i="8"/>
  <c r="Q602" i="8" s="1"/>
  <c r="T602" i="8" s="1"/>
  <c r="R604" i="8"/>
  <c r="R602" i="8" s="1"/>
  <c r="U602" i="8" s="1"/>
  <c r="S604" i="8"/>
  <c r="S602" i="8" s="1"/>
  <c r="O606" i="8"/>
  <c r="P606" i="8"/>
  <c r="T606" i="8"/>
  <c r="U606" i="8"/>
  <c r="L607" i="8"/>
  <c r="M607" i="8"/>
  <c r="N607" i="8"/>
  <c r="N605" i="8" s="1"/>
  <c r="Q607" i="8"/>
  <c r="Q605" i="8" s="1"/>
  <c r="T605" i="8" s="1"/>
  <c r="R607" i="8"/>
  <c r="R605" i="8" s="1"/>
  <c r="U605" i="8" s="1"/>
  <c r="S607" i="8"/>
  <c r="S605" i="8" s="1"/>
  <c r="L617" i="8"/>
  <c r="M617" i="8"/>
  <c r="P617" i="8" s="1"/>
  <c r="N617" i="8"/>
  <c r="N616" i="8" s="1"/>
  <c r="O617" i="8"/>
  <c r="Q617" i="8"/>
  <c r="R617" i="8"/>
  <c r="S617" i="8"/>
  <c r="U617" i="8"/>
  <c r="L618" i="8"/>
  <c r="O618" i="8" s="1"/>
  <c r="M618" i="8"/>
  <c r="P618" i="8" s="1"/>
  <c r="N618" i="8"/>
  <c r="L619" i="8"/>
  <c r="O619" i="8" s="1"/>
  <c r="M619" i="8"/>
  <c r="P619" i="8" s="1"/>
  <c r="N619" i="8"/>
  <c r="O620" i="8"/>
  <c r="P620" i="8"/>
  <c r="T620" i="8"/>
  <c r="U620" i="8"/>
  <c r="O621" i="8"/>
  <c r="P621" i="8"/>
  <c r="Q621" i="8"/>
  <c r="Q618" i="8" s="1"/>
  <c r="R621" i="8"/>
  <c r="R619" i="8" s="1"/>
  <c r="S621" i="8"/>
  <c r="S619" i="8" s="1"/>
  <c r="L622" i="8"/>
  <c r="O622" i="8" s="1"/>
  <c r="M622" i="8"/>
  <c r="N622" i="8"/>
  <c r="P622" i="8"/>
  <c r="Q622" i="8"/>
  <c r="T622" i="8" s="1"/>
  <c r="R622" i="8"/>
  <c r="U622" i="8" s="1"/>
  <c r="S622" i="8"/>
  <c r="O623" i="8"/>
  <c r="P623" i="8"/>
  <c r="T623" i="8"/>
  <c r="U623" i="8"/>
  <c r="O624" i="8"/>
  <c r="P624" i="8"/>
  <c r="T624" i="8"/>
  <c r="U624" i="8"/>
  <c r="I626" i="8"/>
  <c r="K626" i="8" s="1"/>
  <c r="I627" i="8"/>
  <c r="K627" i="8" s="1"/>
  <c r="I628" i="8"/>
  <c r="K628" i="8" s="1"/>
  <c r="J632" i="8"/>
  <c r="J626" i="8" s="1"/>
  <c r="J615" i="8" s="1"/>
  <c r="I635" i="8"/>
  <c r="K635" i="8" s="1"/>
  <c r="J636" i="8"/>
  <c r="J635" i="8" s="1"/>
  <c r="L643" i="8"/>
  <c r="O643" i="8" s="1"/>
  <c r="M643" i="8"/>
  <c r="N643" i="8"/>
  <c r="P643" i="8"/>
  <c r="Q643" i="8"/>
  <c r="R643" i="8"/>
  <c r="S643" i="8"/>
  <c r="T643" i="8"/>
  <c r="L644" i="8"/>
  <c r="O644" i="8" s="1"/>
  <c r="M644" i="8"/>
  <c r="M642" i="8" s="1"/>
  <c r="P642" i="8" s="1"/>
  <c r="N644" i="8"/>
  <c r="L645" i="8"/>
  <c r="O645" i="8" s="1"/>
  <c r="M645" i="8"/>
  <c r="P645" i="8" s="1"/>
  <c r="N645" i="8"/>
  <c r="O646" i="8"/>
  <c r="P646" i="8"/>
  <c r="T646" i="8"/>
  <c r="U646" i="8"/>
  <c r="O647" i="8"/>
  <c r="P647" i="8"/>
  <c r="Q647" i="8"/>
  <c r="R647" i="8"/>
  <c r="R645" i="8" s="1"/>
  <c r="U645" i="8" s="1"/>
  <c r="S647" i="8"/>
  <c r="S644" i="8" s="1"/>
  <c r="L648" i="8"/>
  <c r="O648" i="8" s="1"/>
  <c r="M648" i="8"/>
  <c r="P648" i="8" s="1"/>
  <c r="N648" i="8"/>
  <c r="Q648" i="8"/>
  <c r="T648" i="8" s="1"/>
  <c r="R648" i="8"/>
  <c r="U648" i="8" s="1"/>
  <c r="S648" i="8"/>
  <c r="O649" i="8"/>
  <c r="P649" i="8"/>
  <c r="T649" i="8"/>
  <c r="U649" i="8"/>
  <c r="O650" i="8"/>
  <c r="P650" i="8"/>
  <c r="T650" i="8"/>
  <c r="U650" i="8"/>
  <c r="I652" i="8"/>
  <c r="K652" i="8" s="1"/>
  <c r="J652" i="8"/>
  <c r="I653" i="8"/>
  <c r="K653" i="8" s="1"/>
  <c r="J653" i="8"/>
  <c r="I654" i="8"/>
  <c r="K654" i="8" s="1"/>
  <c r="J654" i="8"/>
  <c r="I657" i="8"/>
  <c r="I660" i="8"/>
  <c r="I661" i="8"/>
  <c r="K661" i="8" s="1"/>
  <c r="J661" i="8"/>
  <c r="J671" i="8"/>
  <c r="J672" i="8"/>
  <c r="I673" i="8"/>
  <c r="K673" i="8" s="1"/>
  <c r="J673" i="8"/>
  <c r="I674" i="8"/>
  <c r="K674" i="8" s="1"/>
  <c r="I675" i="8"/>
  <c r="K675" i="8" s="1"/>
  <c r="I676" i="8"/>
  <c r="K676" i="8" s="1"/>
  <c r="J676" i="8"/>
  <c r="J677" i="8"/>
  <c r="I678" i="8"/>
  <c r="K678" i="8" s="1"/>
  <c r="J678" i="8"/>
  <c r="I679" i="8"/>
  <c r="K679" i="8" s="1"/>
  <c r="J679" i="8"/>
  <c r="J680" i="8"/>
  <c r="I681" i="8"/>
  <c r="K681" i="8" s="1"/>
  <c r="J681" i="8"/>
  <c r="I682" i="8"/>
  <c r="K682" i="8" s="1"/>
  <c r="J682" i="8"/>
  <c r="L691" i="8"/>
  <c r="M691" i="8"/>
  <c r="N691" i="8"/>
  <c r="Q691" i="8"/>
  <c r="R691" i="8"/>
  <c r="S691" i="8"/>
  <c r="T691" i="8"/>
  <c r="L692" i="8"/>
  <c r="M692" i="8"/>
  <c r="N692" i="8"/>
  <c r="O692" i="8"/>
  <c r="P692" i="8"/>
  <c r="L693" i="8"/>
  <c r="O693" i="8" s="1"/>
  <c r="M693" i="8"/>
  <c r="N693" i="8"/>
  <c r="P693" i="8"/>
  <c r="O694" i="8"/>
  <c r="P694" i="8"/>
  <c r="T694" i="8"/>
  <c r="U694" i="8"/>
  <c r="O695" i="8"/>
  <c r="P695" i="8"/>
  <c r="Q695" i="8"/>
  <c r="Q693" i="8" s="1"/>
  <c r="T693" i="8" s="1"/>
  <c r="R695" i="8"/>
  <c r="S695" i="8"/>
  <c r="S693" i="8" s="1"/>
  <c r="L696" i="8"/>
  <c r="M696" i="8"/>
  <c r="P696" i="8" s="1"/>
  <c r="N696" i="8"/>
  <c r="O696" i="8"/>
  <c r="Q696" i="8"/>
  <c r="T696" i="8" s="1"/>
  <c r="R696" i="8"/>
  <c r="U696" i="8" s="1"/>
  <c r="S696" i="8"/>
  <c r="O697" i="8"/>
  <c r="P697" i="8"/>
  <c r="T697" i="8"/>
  <c r="U697" i="8"/>
  <c r="O698" i="8"/>
  <c r="P698" i="8"/>
  <c r="T698" i="8"/>
  <c r="U698" i="8"/>
  <c r="I700" i="8"/>
  <c r="K700" i="8" s="1"/>
  <c r="K702" i="8"/>
  <c r="I703" i="8"/>
  <c r="K703" i="8" s="1"/>
  <c r="J703" i="8"/>
  <c r="J704" i="8"/>
  <c r="K704" i="8"/>
  <c r="I705" i="8"/>
  <c r="K705" i="8" s="1"/>
  <c r="J705" i="8"/>
  <c r="J706" i="8"/>
  <c r="K706" i="8"/>
  <c r="I707" i="8"/>
  <c r="J707" i="8"/>
  <c r="J689" i="8" s="1"/>
  <c r="J708" i="8"/>
  <c r="K708" i="8"/>
  <c r="I709" i="8"/>
  <c r="K709" i="8" s="1"/>
  <c r="J709" i="8"/>
  <c r="J710" i="8"/>
  <c r="K710" i="8"/>
  <c r="J712" i="8"/>
  <c r="K712" i="8"/>
  <c r="N714" i="8"/>
  <c r="L715" i="8"/>
  <c r="O715" i="8" s="1"/>
  <c r="M715" i="8"/>
  <c r="P715" i="8" s="1"/>
  <c r="N715" i="8"/>
  <c r="Q715" i="8"/>
  <c r="R715" i="8"/>
  <c r="U715" i="8" s="1"/>
  <c r="S715" i="8"/>
  <c r="L716" i="8"/>
  <c r="M716" i="8"/>
  <c r="P716" i="8" s="1"/>
  <c r="N716" i="8"/>
  <c r="Q716" i="8"/>
  <c r="R716" i="8"/>
  <c r="S716" i="8"/>
  <c r="T716" i="8"/>
  <c r="L717" i="8"/>
  <c r="M717" i="8"/>
  <c r="P717" i="8" s="1"/>
  <c r="N717" i="8"/>
  <c r="O717" i="8"/>
  <c r="Q717" i="8"/>
  <c r="R717" i="8"/>
  <c r="S717" i="8"/>
  <c r="T717" i="8"/>
  <c r="U717" i="8"/>
  <c r="O718" i="8"/>
  <c r="P718" i="8"/>
  <c r="T718" i="8"/>
  <c r="U718" i="8"/>
  <c r="O719" i="8"/>
  <c r="P719" i="8"/>
  <c r="T719" i="8"/>
  <c r="U719" i="8"/>
  <c r="L720" i="8"/>
  <c r="M720" i="8"/>
  <c r="P720" i="8" s="1"/>
  <c r="N720" i="8"/>
  <c r="O720" i="8"/>
  <c r="Q720" i="8"/>
  <c r="R720" i="8"/>
  <c r="S720" i="8"/>
  <c r="T720" i="8"/>
  <c r="U720" i="8"/>
  <c r="O721" i="8"/>
  <c r="P721" i="8"/>
  <c r="T721" i="8"/>
  <c r="U721" i="8"/>
  <c r="O722" i="8"/>
  <c r="P722" i="8"/>
  <c r="T722" i="8"/>
  <c r="U722" i="8"/>
  <c r="I726" i="8"/>
  <c r="K726" i="8" s="1"/>
  <c r="J726" i="8"/>
  <c r="I727" i="8"/>
  <c r="K727" i="8" s="1"/>
  <c r="J727" i="8"/>
  <c r="L729" i="8"/>
  <c r="O729" i="8" s="1"/>
  <c r="M729" i="8"/>
  <c r="N729" i="8"/>
  <c r="N728" i="8" s="1"/>
  <c r="P729" i="8"/>
  <c r="Q729" i="8"/>
  <c r="R729" i="8"/>
  <c r="U729" i="8" s="1"/>
  <c r="S729" i="8"/>
  <c r="L730" i="8"/>
  <c r="M730" i="8"/>
  <c r="P730" i="8" s="1"/>
  <c r="N730" i="8"/>
  <c r="L731" i="8"/>
  <c r="M731" i="8"/>
  <c r="N731" i="8"/>
  <c r="O731" i="8"/>
  <c r="P731" i="8"/>
  <c r="O732" i="8"/>
  <c r="P732" i="8"/>
  <c r="T732" i="8"/>
  <c r="U732" i="8"/>
  <c r="O733" i="8"/>
  <c r="P733" i="8"/>
  <c r="Q733" i="8"/>
  <c r="Q731" i="8" s="1"/>
  <c r="R733" i="8"/>
  <c r="S733" i="8"/>
  <c r="S731" i="8" s="1"/>
  <c r="L734" i="8"/>
  <c r="O734" i="8" s="1"/>
  <c r="M734" i="8"/>
  <c r="P734" i="8" s="1"/>
  <c r="N734" i="8"/>
  <c r="Q734" i="8"/>
  <c r="T734" i="8" s="1"/>
  <c r="R734" i="8"/>
  <c r="U734" i="8" s="1"/>
  <c r="S734" i="8"/>
  <c r="O735" i="8"/>
  <c r="P735" i="8"/>
  <c r="T735" i="8"/>
  <c r="U735" i="8"/>
  <c r="O736" i="8"/>
  <c r="P736" i="8"/>
  <c r="T736" i="8"/>
  <c r="U736" i="8"/>
  <c r="I740" i="8"/>
  <c r="K740" i="8" s="1"/>
  <c r="I742" i="8"/>
  <c r="K742" i="8" s="1"/>
  <c r="I744" i="8"/>
  <c r="K744" i="8" s="1"/>
  <c r="I746" i="8"/>
  <c r="K746" i="8" s="1"/>
  <c r="I749" i="8"/>
  <c r="K749" i="8" s="1"/>
  <c r="I752" i="8"/>
  <c r="K752" i="8" s="1"/>
  <c r="I755" i="8"/>
  <c r="K755" i="8" s="1"/>
  <c r="J758" i="8"/>
  <c r="J759" i="8"/>
  <c r="L761" i="8"/>
  <c r="M761" i="8"/>
  <c r="P761" i="8" s="1"/>
  <c r="N761" i="8"/>
  <c r="Q761" i="8"/>
  <c r="R761" i="8"/>
  <c r="S761" i="8"/>
  <c r="L762" i="8"/>
  <c r="O762" i="8" s="1"/>
  <c r="M762" i="8"/>
  <c r="N762" i="8"/>
  <c r="L763" i="8"/>
  <c r="O763" i="8" s="1"/>
  <c r="M763" i="8"/>
  <c r="P763" i="8" s="1"/>
  <c r="N763" i="8"/>
  <c r="O764" i="8"/>
  <c r="P764" i="8"/>
  <c r="T764" i="8"/>
  <c r="U764" i="8"/>
  <c r="O765" i="8"/>
  <c r="P765" i="8"/>
  <c r="Q765" i="8"/>
  <c r="R765" i="8"/>
  <c r="R763" i="8" s="1"/>
  <c r="S765" i="8"/>
  <c r="S762" i="8" s="1"/>
  <c r="S760" i="8" s="1"/>
  <c r="L766" i="8"/>
  <c r="O766" i="8" s="1"/>
  <c r="M766" i="8"/>
  <c r="P766" i="8" s="1"/>
  <c r="N766" i="8"/>
  <c r="Q766" i="8"/>
  <c r="R766" i="8"/>
  <c r="U766" i="8" s="1"/>
  <c r="S766" i="8"/>
  <c r="T766" i="8"/>
  <c r="O767" i="8"/>
  <c r="P767" i="8"/>
  <c r="T767" i="8"/>
  <c r="U767" i="8"/>
  <c r="O768" i="8"/>
  <c r="P768" i="8"/>
  <c r="T768" i="8"/>
  <c r="U768" i="8"/>
  <c r="I770" i="8"/>
  <c r="K770" i="8" s="1"/>
  <c r="I772" i="8"/>
  <c r="I758" i="8" s="1"/>
  <c r="I774" i="8"/>
  <c r="I775" i="8"/>
  <c r="I776" i="8"/>
  <c r="H777" i="8"/>
  <c r="I778" i="8"/>
  <c r="J778" i="8"/>
  <c r="I779" i="8"/>
  <c r="J779" i="8"/>
  <c r="I780" i="8"/>
  <c r="J780" i="8"/>
  <c r="I781" i="8"/>
  <c r="J781" i="8"/>
  <c r="I782" i="8"/>
  <c r="J782" i="8"/>
  <c r="I783" i="8"/>
  <c r="J783" i="8"/>
  <c r="I784" i="8"/>
  <c r="J784" i="8"/>
  <c r="I785" i="8"/>
  <c r="J785" i="8"/>
  <c r="A788" i="8"/>
  <c r="A789" i="8"/>
  <c r="L22" i="7"/>
  <c r="O22" i="7" s="1"/>
  <c r="M22" i="7"/>
  <c r="N22" i="7"/>
  <c r="N19" i="7" s="1"/>
  <c r="Q22" i="7"/>
  <c r="R22" i="7"/>
  <c r="S22" i="7"/>
  <c r="S19" i="7" s="1"/>
  <c r="T22" i="7"/>
  <c r="L25" i="7"/>
  <c r="M25" i="7"/>
  <c r="N25" i="7"/>
  <c r="Q25" i="7"/>
  <c r="T25" i="7" s="1"/>
  <c r="R25" i="7"/>
  <c r="S25" i="7"/>
  <c r="L45" i="7"/>
  <c r="M45" i="7"/>
  <c r="N45" i="7"/>
  <c r="O45" i="7"/>
  <c r="Q45" i="7"/>
  <c r="Q44" i="7" s="1"/>
  <c r="T44" i="7" s="1"/>
  <c r="R45" i="7"/>
  <c r="U45" i="7" s="1"/>
  <c r="S45" i="7"/>
  <c r="T45" i="7"/>
  <c r="Q46" i="7"/>
  <c r="T46" i="7" s="1"/>
  <c r="R46" i="7"/>
  <c r="U46" i="7" s="1"/>
  <c r="S46" i="7"/>
  <c r="Q47" i="7"/>
  <c r="T47" i="7" s="1"/>
  <c r="R47" i="7"/>
  <c r="U47" i="7" s="1"/>
  <c r="S47" i="7"/>
  <c r="O48" i="7"/>
  <c r="P48" i="7"/>
  <c r="T48" i="7"/>
  <c r="U48" i="7"/>
  <c r="L49" i="7"/>
  <c r="M49" i="7"/>
  <c r="N49" i="7"/>
  <c r="N47" i="7" s="1"/>
  <c r="T49" i="7"/>
  <c r="U49" i="7"/>
  <c r="Q50" i="7"/>
  <c r="R50" i="7"/>
  <c r="U50" i="7" s="1"/>
  <c r="S50" i="7"/>
  <c r="T50" i="7"/>
  <c r="O51" i="7"/>
  <c r="P51" i="7"/>
  <c r="T51" i="7"/>
  <c r="U51" i="7"/>
  <c r="L52" i="7"/>
  <c r="O52" i="7" s="1"/>
  <c r="M52" i="7"/>
  <c r="P52" i="7" s="1"/>
  <c r="N52" i="7"/>
  <c r="N50" i="7" s="1"/>
  <c r="T52" i="7"/>
  <c r="U52" i="7"/>
  <c r="L60" i="7"/>
  <c r="O60" i="7" s="1"/>
  <c r="M60" i="7"/>
  <c r="N60" i="7"/>
  <c r="Q60" i="7"/>
  <c r="Q59" i="7" s="1"/>
  <c r="T59" i="7" s="1"/>
  <c r="R60" i="7"/>
  <c r="U60" i="7" s="1"/>
  <c r="S60" i="7"/>
  <c r="T60" i="7"/>
  <c r="Q61" i="7"/>
  <c r="T61" i="7" s="1"/>
  <c r="R61" i="7"/>
  <c r="U61" i="7" s="1"/>
  <c r="S61" i="7"/>
  <c r="Q62" i="7"/>
  <c r="T62" i="7" s="1"/>
  <c r="R62" i="7"/>
  <c r="U62" i="7" s="1"/>
  <c r="S62" i="7"/>
  <c r="O63" i="7"/>
  <c r="P63" i="7"/>
  <c r="T63" i="7"/>
  <c r="U63" i="7"/>
  <c r="L64" i="7"/>
  <c r="L62" i="7" s="1"/>
  <c r="M64" i="7"/>
  <c r="M62" i="7" s="1"/>
  <c r="N64" i="7"/>
  <c r="N62" i="7" s="1"/>
  <c r="T64" i="7"/>
  <c r="U64" i="7"/>
  <c r="Q65" i="7"/>
  <c r="T65" i="7" s="1"/>
  <c r="R65" i="7"/>
  <c r="U65" i="7" s="1"/>
  <c r="S65" i="7"/>
  <c r="O66" i="7"/>
  <c r="P66" i="7"/>
  <c r="T66" i="7"/>
  <c r="U66" i="7"/>
  <c r="L67" i="7"/>
  <c r="M67" i="7"/>
  <c r="M65" i="7" s="1"/>
  <c r="N67" i="7"/>
  <c r="N65" i="7" s="1"/>
  <c r="T67" i="7"/>
  <c r="U67" i="7"/>
  <c r="L73" i="7"/>
  <c r="M73" i="7"/>
  <c r="N73" i="7"/>
  <c r="O73" i="7"/>
  <c r="Q73" i="7"/>
  <c r="R73" i="7"/>
  <c r="U73" i="7" s="1"/>
  <c r="S73" i="7"/>
  <c r="O76" i="7"/>
  <c r="P76" i="7"/>
  <c r="T76" i="7"/>
  <c r="U76" i="7"/>
  <c r="L77" i="7"/>
  <c r="O77" i="7" s="1"/>
  <c r="M77" i="7"/>
  <c r="M75" i="7" s="1"/>
  <c r="P75" i="7" s="1"/>
  <c r="N77" i="7"/>
  <c r="N75" i="7" s="1"/>
  <c r="Q77" i="7"/>
  <c r="Q75" i="7" s="1"/>
  <c r="T75" i="7" s="1"/>
  <c r="R77" i="7"/>
  <c r="S77" i="7"/>
  <c r="O79" i="7"/>
  <c r="P79" i="7"/>
  <c r="T79" i="7"/>
  <c r="U79" i="7"/>
  <c r="L80" i="7"/>
  <c r="O80" i="7" s="1"/>
  <c r="M80" i="7"/>
  <c r="M78" i="7" s="1"/>
  <c r="P78" i="7" s="1"/>
  <c r="N80" i="7"/>
  <c r="N78" i="7" s="1"/>
  <c r="Q80" i="7"/>
  <c r="Q78" i="7" s="1"/>
  <c r="T78" i="7" s="1"/>
  <c r="R80" i="7"/>
  <c r="R78" i="7" s="1"/>
  <c r="U78" i="7" s="1"/>
  <c r="S80" i="7"/>
  <c r="J82" i="7"/>
  <c r="J70" i="7" s="1"/>
  <c r="J83" i="7"/>
  <c r="J71" i="7" s="1"/>
  <c r="I84" i="7"/>
  <c r="K84" i="7" s="1"/>
  <c r="I85" i="7"/>
  <c r="K85" i="7" s="1"/>
  <c r="I86" i="7"/>
  <c r="K86" i="7" s="1"/>
  <c r="I87" i="7"/>
  <c r="K87" i="7" s="1"/>
  <c r="I88" i="7"/>
  <c r="K88" i="7" s="1"/>
  <c r="I89" i="7"/>
  <c r="K89" i="7" s="1"/>
  <c r="I90" i="7"/>
  <c r="K90" i="7" s="1"/>
  <c r="J92" i="7"/>
  <c r="J93" i="7"/>
  <c r="L95" i="7"/>
  <c r="M95" i="7"/>
  <c r="N95" i="7"/>
  <c r="P95" i="7"/>
  <c r="Q95" i="7"/>
  <c r="R95" i="7"/>
  <c r="S95" i="7"/>
  <c r="O98" i="7"/>
  <c r="P98" i="7"/>
  <c r="T98" i="7"/>
  <c r="U98" i="7"/>
  <c r="L99" i="7"/>
  <c r="O99" i="7" s="1"/>
  <c r="M99" i="7"/>
  <c r="N99" i="7"/>
  <c r="N97" i="7" s="1"/>
  <c r="Q99" i="7"/>
  <c r="Q97" i="7" s="1"/>
  <c r="T97" i="7" s="1"/>
  <c r="R99" i="7"/>
  <c r="U99" i="7" s="1"/>
  <c r="S99" i="7"/>
  <c r="S97" i="7" s="1"/>
  <c r="Q100" i="7"/>
  <c r="T100" i="7" s="1"/>
  <c r="R100" i="7"/>
  <c r="S100" i="7"/>
  <c r="U100" i="7"/>
  <c r="O101" i="7"/>
  <c r="P101" i="7"/>
  <c r="T101" i="7"/>
  <c r="U101" i="7"/>
  <c r="L102" i="7"/>
  <c r="O102" i="7" s="1"/>
  <c r="M102" i="7"/>
  <c r="N102" i="7"/>
  <c r="T102" i="7"/>
  <c r="U102" i="7"/>
  <c r="I108" i="7"/>
  <c r="I92" i="7" s="1"/>
  <c r="K92" i="7" s="1"/>
  <c r="I109" i="7"/>
  <c r="K109" i="7" s="1"/>
  <c r="I114" i="7"/>
  <c r="K114" i="7" s="1"/>
  <c r="J116" i="7"/>
  <c r="L118" i="7"/>
  <c r="O118" i="7" s="1"/>
  <c r="M118" i="7"/>
  <c r="N118" i="7"/>
  <c r="P118" i="7"/>
  <c r="Q118" i="7"/>
  <c r="R118" i="7"/>
  <c r="U118" i="7" s="1"/>
  <c r="S118" i="7"/>
  <c r="O121" i="7"/>
  <c r="P121" i="7"/>
  <c r="T121" i="7"/>
  <c r="U121" i="7"/>
  <c r="L122" i="7"/>
  <c r="O122" i="7" s="1"/>
  <c r="M122" i="7"/>
  <c r="P122" i="7" s="1"/>
  <c r="N122" i="7"/>
  <c r="N120" i="7" s="1"/>
  <c r="Q122" i="7"/>
  <c r="R122" i="7"/>
  <c r="S122" i="7"/>
  <c r="O124" i="7"/>
  <c r="P124" i="7"/>
  <c r="T124" i="7"/>
  <c r="U124" i="7"/>
  <c r="L125" i="7"/>
  <c r="M125" i="7"/>
  <c r="N125" i="7"/>
  <c r="N123" i="7" s="1"/>
  <c r="Q125" i="7"/>
  <c r="Q123" i="7" s="1"/>
  <c r="T123" i="7" s="1"/>
  <c r="R125" i="7"/>
  <c r="U125" i="7" s="1"/>
  <c r="S125" i="7"/>
  <c r="S123" i="7" s="1"/>
  <c r="I127" i="7"/>
  <c r="I116" i="7" s="1"/>
  <c r="K116" i="7" s="1"/>
  <c r="I128" i="7"/>
  <c r="K128" i="7" s="1"/>
  <c r="I129" i="7"/>
  <c r="K129" i="7" s="1"/>
  <c r="I130" i="7"/>
  <c r="K130" i="7" s="1"/>
  <c r="J136" i="7"/>
  <c r="J137" i="7"/>
  <c r="J138" i="7"/>
  <c r="L140" i="7"/>
  <c r="M140" i="7"/>
  <c r="N140" i="7"/>
  <c r="Q140" i="7"/>
  <c r="T140" i="7" s="1"/>
  <c r="R140" i="7"/>
  <c r="S140" i="7"/>
  <c r="O143" i="7"/>
  <c r="P143" i="7"/>
  <c r="T143" i="7"/>
  <c r="U143" i="7"/>
  <c r="L144" i="7"/>
  <c r="L142" i="7" s="1"/>
  <c r="O142" i="7" s="1"/>
  <c r="M144" i="7"/>
  <c r="P144" i="7" s="1"/>
  <c r="N144" i="7"/>
  <c r="Q144" i="7"/>
  <c r="R144" i="7"/>
  <c r="U144" i="7" s="1"/>
  <c r="S144" i="7"/>
  <c r="S142" i="7" s="1"/>
  <c r="O146" i="7"/>
  <c r="P146" i="7"/>
  <c r="T146" i="7"/>
  <c r="U146" i="7"/>
  <c r="L147" i="7"/>
  <c r="L145" i="7" s="1"/>
  <c r="O145" i="7" s="1"/>
  <c r="M147" i="7"/>
  <c r="P147" i="7" s="1"/>
  <c r="N147" i="7"/>
  <c r="N145" i="7" s="1"/>
  <c r="Q147" i="7"/>
  <c r="T147" i="7" s="1"/>
  <c r="R147" i="7"/>
  <c r="S147" i="7"/>
  <c r="S145" i="7" s="1"/>
  <c r="I150" i="7"/>
  <c r="K150" i="7" s="1"/>
  <c r="I151" i="7"/>
  <c r="K151" i="7" s="1"/>
  <c r="I152" i="7"/>
  <c r="I137" i="7" s="1"/>
  <c r="K137" i="7" s="1"/>
  <c r="I153" i="7"/>
  <c r="K153" i="7" s="1"/>
  <c r="I154" i="7"/>
  <c r="J156" i="7"/>
  <c r="L158" i="7"/>
  <c r="O158" i="7" s="1"/>
  <c r="M158" i="7"/>
  <c r="P158" i="7" s="1"/>
  <c r="N158" i="7"/>
  <c r="Q158" i="7"/>
  <c r="R158" i="7"/>
  <c r="S158" i="7"/>
  <c r="U158" i="7"/>
  <c r="O161" i="7"/>
  <c r="P161" i="7"/>
  <c r="T161" i="7"/>
  <c r="U161" i="7"/>
  <c r="L162" i="7"/>
  <c r="M162" i="7"/>
  <c r="P162" i="7" s="1"/>
  <c r="N162" i="7"/>
  <c r="Q162" i="7"/>
  <c r="Q160" i="7" s="1"/>
  <c r="T160" i="7" s="1"/>
  <c r="R162" i="7"/>
  <c r="S162" i="7"/>
  <c r="Q163" i="7"/>
  <c r="T163" i="7" s="1"/>
  <c r="R163" i="7"/>
  <c r="S163" i="7"/>
  <c r="U163" i="7"/>
  <c r="O164" i="7"/>
  <c r="P164" i="7"/>
  <c r="T164" i="7"/>
  <c r="U164" i="7"/>
  <c r="L165" i="7"/>
  <c r="M165" i="7"/>
  <c r="P165" i="7" s="1"/>
  <c r="N165" i="7"/>
  <c r="N163" i="7" s="1"/>
  <c r="T165" i="7"/>
  <c r="U165" i="7"/>
  <c r="I167" i="7"/>
  <c r="K167" i="7" s="1"/>
  <c r="I168" i="7"/>
  <c r="K168" i="7" s="1"/>
  <c r="I169" i="7"/>
  <c r="I156" i="7" s="1"/>
  <c r="K156" i="7" s="1"/>
  <c r="J172" i="7"/>
  <c r="L174" i="7"/>
  <c r="O174" i="7" s="1"/>
  <c r="M174" i="7"/>
  <c r="P174" i="7" s="1"/>
  <c r="N174" i="7"/>
  <c r="Q174" i="7"/>
  <c r="T174" i="7" s="1"/>
  <c r="R174" i="7"/>
  <c r="U174" i="7" s="1"/>
  <c r="S174" i="7"/>
  <c r="O177" i="7"/>
  <c r="P177" i="7"/>
  <c r="T177" i="7"/>
  <c r="U177" i="7"/>
  <c r="L178" i="7"/>
  <c r="M178" i="7"/>
  <c r="M176" i="7" s="1"/>
  <c r="N178" i="7"/>
  <c r="Q178" i="7"/>
  <c r="R178" i="7"/>
  <c r="R175" i="7" s="1"/>
  <c r="U175" i="7" s="1"/>
  <c r="S178" i="7"/>
  <c r="S176" i="7" s="1"/>
  <c r="Q179" i="7"/>
  <c r="T179" i="7" s="1"/>
  <c r="R179" i="7"/>
  <c r="U179" i="7" s="1"/>
  <c r="S179" i="7"/>
  <c r="O180" i="7"/>
  <c r="P180" i="7"/>
  <c r="T180" i="7"/>
  <c r="U180" i="7"/>
  <c r="L181" i="7"/>
  <c r="M181" i="7"/>
  <c r="M179" i="7" s="1"/>
  <c r="P179" i="7" s="1"/>
  <c r="N181" i="7"/>
  <c r="N179" i="7" s="1"/>
  <c r="T181" i="7"/>
  <c r="U181" i="7"/>
  <c r="I183" i="7"/>
  <c r="K184" i="7"/>
  <c r="L187" i="7"/>
  <c r="O187" i="7" s="1"/>
  <c r="M187" i="7"/>
  <c r="N187" i="7"/>
  <c r="P187" i="7"/>
  <c r="Q187" i="7"/>
  <c r="R187" i="7"/>
  <c r="U187" i="7" s="1"/>
  <c r="S187" i="7"/>
  <c r="O190" i="7"/>
  <c r="P190" i="7"/>
  <c r="T190" i="7"/>
  <c r="U190" i="7"/>
  <c r="L191" i="7"/>
  <c r="M191" i="7"/>
  <c r="M189" i="7" s="1"/>
  <c r="N191" i="7"/>
  <c r="Q191" i="7"/>
  <c r="R191" i="7"/>
  <c r="U191" i="7" s="1"/>
  <c r="S191" i="7"/>
  <c r="S189" i="7" s="1"/>
  <c r="O193" i="7"/>
  <c r="P193" i="7"/>
  <c r="T193" i="7"/>
  <c r="U193" i="7"/>
  <c r="L194" i="7"/>
  <c r="O194" i="7" s="1"/>
  <c r="M194" i="7"/>
  <c r="M192" i="7" s="1"/>
  <c r="P192" i="7" s="1"/>
  <c r="N194" i="7"/>
  <c r="N192" i="7" s="1"/>
  <c r="Q194" i="7"/>
  <c r="T194" i="7" s="1"/>
  <c r="R194" i="7"/>
  <c r="U194" i="7" s="1"/>
  <c r="S194" i="7"/>
  <c r="S192" i="7" s="1"/>
  <c r="J195" i="7"/>
  <c r="L196" i="7"/>
  <c r="O196" i="7" s="1"/>
  <c r="P196" i="7"/>
  <c r="I198" i="7"/>
  <c r="K198" i="7" s="1"/>
  <c r="J199" i="7"/>
  <c r="J202" i="7"/>
  <c r="N203" i="7"/>
  <c r="P203" i="7"/>
  <c r="S203" i="7"/>
  <c r="U203" i="7"/>
  <c r="L204" i="7"/>
  <c r="L205" i="7"/>
  <c r="L206" i="7"/>
  <c r="Q206" i="7"/>
  <c r="Q203" i="7" s="1"/>
  <c r="T203" i="7" s="1"/>
  <c r="L207" i="7"/>
  <c r="I209" i="7"/>
  <c r="I202" i="7" s="1"/>
  <c r="K202" i="7" s="1"/>
  <c r="I211" i="7"/>
  <c r="K211" i="7" s="1"/>
  <c r="I212" i="7"/>
  <c r="K212" i="7" s="1"/>
  <c r="J213" i="7"/>
  <c r="N214" i="7"/>
  <c r="P214" i="7"/>
  <c r="S214" i="7"/>
  <c r="U214" i="7"/>
  <c r="L215" i="7"/>
  <c r="L216" i="7"/>
  <c r="L217" i="7"/>
  <c r="Q217" i="7"/>
  <c r="Q214" i="7" s="1"/>
  <c r="T214" i="7" s="1"/>
  <c r="I219" i="7"/>
  <c r="K219" i="7" s="1"/>
  <c r="I220" i="7"/>
  <c r="J221" i="7"/>
  <c r="N222" i="7"/>
  <c r="P222" i="7"/>
  <c r="L223" i="7"/>
  <c r="L224" i="7"/>
  <c r="L225" i="7"/>
  <c r="I228" i="7"/>
  <c r="K228" i="7" s="1"/>
  <c r="I229" i="7"/>
  <c r="K229" i="7" s="1"/>
  <c r="I230" i="7"/>
  <c r="K230" i="7" s="1"/>
  <c r="N233" i="7"/>
  <c r="N234" i="7"/>
  <c r="N235" i="7"/>
  <c r="N236" i="7"/>
  <c r="J238" i="7"/>
  <c r="I240" i="7"/>
  <c r="J240" i="7"/>
  <c r="K240" i="7"/>
  <c r="I241" i="7"/>
  <c r="K241" i="7" s="1"/>
  <c r="J241" i="7"/>
  <c r="J242" i="7"/>
  <c r="N243" i="7"/>
  <c r="N232" i="7" s="1"/>
  <c r="P243" i="7"/>
  <c r="L244" i="7"/>
  <c r="L245" i="7"/>
  <c r="L246" i="7"/>
  <c r="L247" i="7"/>
  <c r="I249" i="7"/>
  <c r="K251" i="7"/>
  <c r="K252" i="7"/>
  <c r="J253" i="7"/>
  <c r="J231" i="7" s="1"/>
  <c r="J185" i="7" s="1"/>
  <c r="N254" i="7"/>
  <c r="P254" i="7"/>
  <c r="L255" i="7"/>
  <c r="L256" i="7"/>
  <c r="L257" i="7"/>
  <c r="L258" i="7"/>
  <c r="I260" i="7"/>
  <c r="I253" i="7" s="1"/>
  <c r="K253" i="7" s="1"/>
  <c r="K262" i="7"/>
  <c r="K263" i="7"/>
  <c r="J265" i="7"/>
  <c r="L267" i="7"/>
  <c r="M267" i="7"/>
  <c r="N267" i="7"/>
  <c r="O267" i="7"/>
  <c r="P267" i="7"/>
  <c r="Q267" i="7"/>
  <c r="R267" i="7"/>
  <c r="S267" i="7"/>
  <c r="T267" i="7"/>
  <c r="U267" i="7"/>
  <c r="O270" i="7"/>
  <c r="P270" i="7"/>
  <c r="T270" i="7"/>
  <c r="U270" i="7"/>
  <c r="L271" i="7"/>
  <c r="M271" i="7"/>
  <c r="N271" i="7"/>
  <c r="Q271" i="7"/>
  <c r="R271" i="7"/>
  <c r="S271" i="7"/>
  <c r="S268" i="7" s="1"/>
  <c r="S266" i="7" s="1"/>
  <c r="Q272" i="7"/>
  <c r="T272" i="7" s="1"/>
  <c r="R272" i="7"/>
  <c r="U272" i="7" s="1"/>
  <c r="S272" i="7"/>
  <c r="O273" i="7"/>
  <c r="P273" i="7"/>
  <c r="T273" i="7"/>
  <c r="U273" i="7"/>
  <c r="L274" i="7"/>
  <c r="M274" i="7"/>
  <c r="N274" i="7"/>
  <c r="N272" i="7" s="1"/>
  <c r="T274" i="7"/>
  <c r="U274" i="7"/>
  <c r="I276" i="7"/>
  <c r="I265" i="7" s="1"/>
  <c r="K265" i="7" s="1"/>
  <c r="J281" i="7"/>
  <c r="L283" i="7"/>
  <c r="M283" i="7"/>
  <c r="P283" i="7" s="1"/>
  <c r="N283" i="7"/>
  <c r="O283" i="7"/>
  <c r="Q283" i="7"/>
  <c r="T283" i="7" s="1"/>
  <c r="R283" i="7"/>
  <c r="S283" i="7"/>
  <c r="U283" i="7"/>
  <c r="Q284" i="7"/>
  <c r="T284" i="7" s="1"/>
  <c r="R284" i="7"/>
  <c r="U284" i="7" s="1"/>
  <c r="S284" i="7"/>
  <c r="S282" i="7" s="1"/>
  <c r="Q285" i="7"/>
  <c r="T285" i="7" s="1"/>
  <c r="R285" i="7"/>
  <c r="S285" i="7"/>
  <c r="U285" i="7"/>
  <c r="O286" i="7"/>
  <c r="P286" i="7"/>
  <c r="T286" i="7"/>
  <c r="U286" i="7"/>
  <c r="L287" i="7"/>
  <c r="O287" i="7" s="1"/>
  <c r="M287" i="7"/>
  <c r="P287" i="7" s="1"/>
  <c r="N287" i="7"/>
  <c r="T287" i="7"/>
  <c r="U287" i="7"/>
  <c r="Q288" i="7"/>
  <c r="T288" i="7" s="1"/>
  <c r="R288" i="7"/>
  <c r="U288" i="7" s="1"/>
  <c r="S288" i="7"/>
  <c r="O289" i="7"/>
  <c r="P289" i="7"/>
  <c r="T289" i="7"/>
  <c r="U289" i="7"/>
  <c r="L290" i="7"/>
  <c r="M290" i="7"/>
  <c r="M288" i="7" s="1"/>
  <c r="P288" i="7" s="1"/>
  <c r="N290" i="7"/>
  <c r="N288" i="7" s="1"/>
  <c r="T290" i="7"/>
  <c r="U290" i="7"/>
  <c r="I292" i="7"/>
  <c r="K292" i="7" s="1"/>
  <c r="I293" i="7"/>
  <c r="J293" i="7"/>
  <c r="J280" i="7" s="1"/>
  <c r="I295" i="7"/>
  <c r="K295" i="7" s="1"/>
  <c r="I296" i="7"/>
  <c r="K296" i="7" s="1"/>
  <c r="J302" i="7"/>
  <c r="L304" i="7"/>
  <c r="M304" i="7"/>
  <c r="P304" i="7" s="1"/>
  <c r="N304" i="7"/>
  <c r="O304" i="7"/>
  <c r="Q304" i="7"/>
  <c r="T304" i="7" s="1"/>
  <c r="R304" i="7"/>
  <c r="S304" i="7"/>
  <c r="U304" i="7"/>
  <c r="O307" i="7"/>
  <c r="P307" i="7"/>
  <c r="T307" i="7"/>
  <c r="U307" i="7"/>
  <c r="L308" i="7"/>
  <c r="M308" i="7"/>
  <c r="N308" i="7"/>
  <c r="Q308" i="7"/>
  <c r="Q306" i="7" s="1"/>
  <c r="R308" i="7"/>
  <c r="R305" i="7" s="1"/>
  <c r="R303" i="7" s="1"/>
  <c r="S308" i="7"/>
  <c r="S305" i="7" s="1"/>
  <c r="S303" i="7" s="1"/>
  <c r="Q309" i="7"/>
  <c r="T309" i="7" s="1"/>
  <c r="R309" i="7"/>
  <c r="U309" i="7" s="1"/>
  <c r="S309" i="7"/>
  <c r="O310" i="7"/>
  <c r="P310" i="7"/>
  <c r="T310" i="7"/>
  <c r="U310" i="7"/>
  <c r="L311" i="7"/>
  <c r="M311" i="7"/>
  <c r="M309" i="7" s="1"/>
  <c r="P309" i="7" s="1"/>
  <c r="N311" i="7"/>
  <c r="N309" i="7" s="1"/>
  <c r="T311" i="7"/>
  <c r="U311" i="7"/>
  <c r="I314" i="7"/>
  <c r="K314" i="7" s="1"/>
  <c r="J319" i="7"/>
  <c r="L321" i="7"/>
  <c r="M321" i="7"/>
  <c r="P321" i="7" s="1"/>
  <c r="N321" i="7"/>
  <c r="Q321" i="7"/>
  <c r="T321" i="7" s="1"/>
  <c r="R321" i="7"/>
  <c r="S321" i="7"/>
  <c r="S320" i="7" s="1"/>
  <c r="Q322" i="7"/>
  <c r="R322" i="7"/>
  <c r="U322" i="7" s="1"/>
  <c r="S322" i="7"/>
  <c r="T322" i="7"/>
  <c r="Q323" i="7"/>
  <c r="T323" i="7" s="1"/>
  <c r="R323" i="7"/>
  <c r="U323" i="7" s="1"/>
  <c r="S323" i="7"/>
  <c r="O324" i="7"/>
  <c r="P324" i="7"/>
  <c r="T324" i="7"/>
  <c r="U324" i="7"/>
  <c r="L325" i="7"/>
  <c r="L323" i="7" s="1"/>
  <c r="O323" i="7" s="1"/>
  <c r="M325" i="7"/>
  <c r="P325" i="7" s="1"/>
  <c r="N325" i="7"/>
  <c r="N323" i="7" s="1"/>
  <c r="T325" i="7"/>
  <c r="U325" i="7"/>
  <c r="Q326" i="7"/>
  <c r="R326" i="7"/>
  <c r="U326" i="7" s="1"/>
  <c r="S326" i="7"/>
  <c r="T326" i="7"/>
  <c r="O327" i="7"/>
  <c r="P327" i="7"/>
  <c r="T327" i="7"/>
  <c r="U327" i="7"/>
  <c r="L328" i="7"/>
  <c r="O328" i="7" s="1"/>
  <c r="M328" i="7"/>
  <c r="M326" i="7" s="1"/>
  <c r="P326" i="7" s="1"/>
  <c r="N328" i="7"/>
  <c r="N326" i="7" s="1"/>
  <c r="T328" i="7"/>
  <c r="U328" i="7"/>
  <c r="I330" i="7"/>
  <c r="K330" i="7" s="1"/>
  <c r="L334" i="7"/>
  <c r="O334" i="7" s="1"/>
  <c r="M334" i="7"/>
  <c r="N334" i="7"/>
  <c r="Q334" i="7"/>
  <c r="Q333" i="7" s="1"/>
  <c r="T333" i="7" s="1"/>
  <c r="R334" i="7"/>
  <c r="U334" i="7" s="1"/>
  <c r="S334" i="7"/>
  <c r="S333" i="7" s="1"/>
  <c r="T334" i="7"/>
  <c r="Q335" i="7"/>
  <c r="R335" i="7"/>
  <c r="R333" i="7" s="1"/>
  <c r="U333" i="7" s="1"/>
  <c r="S335" i="7"/>
  <c r="T335" i="7"/>
  <c r="U335" i="7"/>
  <c r="Q336" i="7"/>
  <c r="T336" i="7" s="1"/>
  <c r="R336" i="7"/>
  <c r="U336" i="7" s="1"/>
  <c r="S336" i="7"/>
  <c r="O337" i="7"/>
  <c r="P337" i="7"/>
  <c r="T337" i="7"/>
  <c r="U337" i="7"/>
  <c r="L338" i="7"/>
  <c r="L336" i="7" s="1"/>
  <c r="M338" i="7"/>
  <c r="M336" i="7" s="1"/>
  <c r="N338" i="7"/>
  <c r="N336" i="7" s="1"/>
  <c r="T338" i="7"/>
  <c r="U338" i="7"/>
  <c r="Q339" i="7"/>
  <c r="R339" i="7"/>
  <c r="S339" i="7"/>
  <c r="T339" i="7"/>
  <c r="U339" i="7"/>
  <c r="O340" i="7"/>
  <c r="P340" i="7"/>
  <c r="T340" i="7"/>
  <c r="U340" i="7"/>
  <c r="L341" i="7"/>
  <c r="M341" i="7"/>
  <c r="P341" i="7" s="1"/>
  <c r="N341" i="7"/>
  <c r="N339" i="7" s="1"/>
  <c r="T341" i="7"/>
  <c r="U341" i="7"/>
  <c r="I344" i="7"/>
  <c r="I332" i="7" s="1"/>
  <c r="J344" i="7"/>
  <c r="I346" i="7"/>
  <c r="J346" i="7"/>
  <c r="J347" i="7"/>
  <c r="J348" i="7"/>
  <c r="J349" i="7"/>
  <c r="D350" i="7"/>
  <c r="J352" i="7"/>
  <c r="J353" i="7"/>
  <c r="D354" i="7"/>
  <c r="Q356" i="7"/>
  <c r="T356" i="7" s="1"/>
  <c r="L357" i="7"/>
  <c r="M357" i="7"/>
  <c r="N357" i="7"/>
  <c r="O357" i="7"/>
  <c r="P357" i="7"/>
  <c r="Q357" i="7"/>
  <c r="T357" i="7" s="1"/>
  <c r="R357" i="7"/>
  <c r="U357" i="7" s="1"/>
  <c r="S357" i="7"/>
  <c r="Q358" i="7"/>
  <c r="T358" i="7" s="1"/>
  <c r="R358" i="7"/>
  <c r="U358" i="7" s="1"/>
  <c r="S358" i="7"/>
  <c r="Q359" i="7"/>
  <c r="R359" i="7"/>
  <c r="S359" i="7"/>
  <c r="T359" i="7"/>
  <c r="U359" i="7"/>
  <c r="O360" i="7"/>
  <c r="P360" i="7"/>
  <c r="T360" i="7"/>
  <c r="U360" i="7"/>
  <c r="L361" i="7"/>
  <c r="M361" i="7"/>
  <c r="N361" i="7"/>
  <c r="T361" i="7"/>
  <c r="U361" i="7"/>
  <c r="Q362" i="7"/>
  <c r="T362" i="7" s="1"/>
  <c r="R362" i="7"/>
  <c r="U362" i="7" s="1"/>
  <c r="S362" i="7"/>
  <c r="O363" i="7"/>
  <c r="P363" i="7"/>
  <c r="T363" i="7"/>
  <c r="U363" i="7"/>
  <c r="L364" i="7"/>
  <c r="L362" i="7" s="1"/>
  <c r="O362" i="7" s="1"/>
  <c r="M364" i="7"/>
  <c r="N364" i="7"/>
  <c r="N362" i="7" s="1"/>
  <c r="T364" i="7"/>
  <c r="U364" i="7"/>
  <c r="J367" i="7"/>
  <c r="K367" i="7"/>
  <c r="I368" i="7"/>
  <c r="J368" i="7"/>
  <c r="I369" i="7"/>
  <c r="J369" i="7"/>
  <c r="J370" i="7"/>
  <c r="K370" i="7"/>
  <c r="I371" i="7"/>
  <c r="I365" i="7" s="1"/>
  <c r="J371" i="7"/>
  <c r="J372" i="7"/>
  <c r="K372" i="7"/>
  <c r="D373" i="7"/>
  <c r="L376" i="7"/>
  <c r="M376" i="7"/>
  <c r="P376" i="7" s="1"/>
  <c r="N376" i="7"/>
  <c r="Q376" i="7"/>
  <c r="T376" i="7" s="1"/>
  <c r="R376" i="7"/>
  <c r="S376" i="7"/>
  <c r="O379" i="7"/>
  <c r="P379" i="7"/>
  <c r="T379" i="7"/>
  <c r="U379" i="7"/>
  <c r="L380" i="7"/>
  <c r="L378" i="7" s="1"/>
  <c r="M380" i="7"/>
  <c r="M378" i="7" s="1"/>
  <c r="N380" i="7"/>
  <c r="Q380" i="7"/>
  <c r="Q378" i="7" s="1"/>
  <c r="R380" i="7"/>
  <c r="R378" i="7" s="1"/>
  <c r="S380" i="7"/>
  <c r="S377" i="7" s="1"/>
  <c r="S375" i="7" s="1"/>
  <c r="Q381" i="7"/>
  <c r="T381" i="7" s="1"/>
  <c r="R381" i="7"/>
  <c r="U381" i="7" s="1"/>
  <c r="S381" i="7"/>
  <c r="O382" i="7"/>
  <c r="P382" i="7"/>
  <c r="T382" i="7"/>
  <c r="U382" i="7"/>
  <c r="L383" i="7"/>
  <c r="M383" i="7"/>
  <c r="P383" i="7" s="1"/>
  <c r="N383" i="7"/>
  <c r="N381" i="7" s="1"/>
  <c r="T383" i="7"/>
  <c r="U383" i="7"/>
  <c r="J385" i="7"/>
  <c r="K385" i="7"/>
  <c r="I386" i="7"/>
  <c r="J386" i="7"/>
  <c r="J387" i="7"/>
  <c r="K387" i="7"/>
  <c r="I388" i="7"/>
  <c r="K388" i="7" s="1"/>
  <c r="J388" i="7"/>
  <c r="I391" i="7"/>
  <c r="K391" i="7" s="1"/>
  <c r="J391" i="7"/>
  <c r="L393" i="7"/>
  <c r="M393" i="7"/>
  <c r="P393" i="7" s="1"/>
  <c r="N393" i="7"/>
  <c r="N392" i="7" s="1"/>
  <c r="O393" i="7"/>
  <c r="Q393" i="7"/>
  <c r="T393" i="7" s="1"/>
  <c r="R393" i="7"/>
  <c r="S393" i="7"/>
  <c r="U393" i="7"/>
  <c r="L394" i="7"/>
  <c r="L392" i="7" s="1"/>
  <c r="O392" i="7" s="1"/>
  <c r="M394" i="7"/>
  <c r="M392" i="7" s="1"/>
  <c r="P392" i="7" s="1"/>
  <c r="N394" i="7"/>
  <c r="L395" i="7"/>
  <c r="O395" i="7" s="1"/>
  <c r="M395" i="7"/>
  <c r="P395" i="7" s="1"/>
  <c r="N395" i="7"/>
  <c r="O396" i="7"/>
  <c r="P396" i="7"/>
  <c r="T396" i="7"/>
  <c r="U396" i="7"/>
  <c r="O397" i="7"/>
  <c r="P397" i="7"/>
  <c r="Q397" i="7"/>
  <c r="T397" i="7" s="1"/>
  <c r="R397" i="7"/>
  <c r="R394" i="7" s="1"/>
  <c r="U394" i="7" s="1"/>
  <c r="S397" i="7"/>
  <c r="L398" i="7"/>
  <c r="M398" i="7"/>
  <c r="N398" i="7"/>
  <c r="O398" i="7"/>
  <c r="P398" i="7"/>
  <c r="Q398" i="7"/>
  <c r="R398" i="7"/>
  <c r="S398" i="7"/>
  <c r="T398" i="7"/>
  <c r="U398" i="7"/>
  <c r="O399" i="7"/>
  <c r="P399" i="7"/>
  <c r="T399" i="7"/>
  <c r="U399" i="7"/>
  <c r="O400" i="7"/>
  <c r="P400" i="7"/>
  <c r="T400" i="7"/>
  <c r="U400" i="7"/>
  <c r="L414" i="7"/>
  <c r="M414" i="7"/>
  <c r="P414" i="7" s="1"/>
  <c r="N414" i="7"/>
  <c r="O414" i="7"/>
  <c r="Q414" i="7"/>
  <c r="R414" i="7"/>
  <c r="S414" i="7"/>
  <c r="T414" i="7"/>
  <c r="U414" i="7"/>
  <c r="O417" i="7"/>
  <c r="P417" i="7"/>
  <c r="T417" i="7"/>
  <c r="U417" i="7"/>
  <c r="L418" i="7"/>
  <c r="O418" i="7" s="1"/>
  <c r="M418" i="7"/>
  <c r="N418" i="7"/>
  <c r="N416" i="7" s="1"/>
  <c r="Q418" i="7"/>
  <c r="Q415" i="7" s="1"/>
  <c r="T415" i="7" s="1"/>
  <c r="R418" i="7"/>
  <c r="R415" i="7" s="1"/>
  <c r="U415" i="7" s="1"/>
  <c r="S418" i="7"/>
  <c r="S416" i="7" s="1"/>
  <c r="Q419" i="7"/>
  <c r="T419" i="7" s="1"/>
  <c r="R419" i="7"/>
  <c r="U419" i="7" s="1"/>
  <c r="S419" i="7"/>
  <c r="O420" i="7"/>
  <c r="P420" i="7"/>
  <c r="T420" i="7"/>
  <c r="U420" i="7"/>
  <c r="L421" i="7"/>
  <c r="O421" i="7" s="1"/>
  <c r="M421" i="7"/>
  <c r="M419" i="7" s="1"/>
  <c r="P419" i="7" s="1"/>
  <c r="N421" i="7"/>
  <c r="N419" i="7" s="1"/>
  <c r="T421" i="7"/>
  <c r="U421" i="7"/>
  <c r="I424" i="7"/>
  <c r="K424" i="7" s="1"/>
  <c r="J424" i="7"/>
  <c r="I425" i="7"/>
  <c r="K425" i="7" s="1"/>
  <c r="J425" i="7"/>
  <c r="I432" i="7"/>
  <c r="K432" i="7" s="1"/>
  <c r="J432" i="7"/>
  <c r="I433" i="7"/>
  <c r="K433" i="7" s="1"/>
  <c r="J433" i="7"/>
  <c r="I440" i="7"/>
  <c r="I441" i="7"/>
  <c r="K441" i="7" s="1"/>
  <c r="J446" i="7"/>
  <c r="J440" i="7" s="1"/>
  <c r="J423" i="7" s="1"/>
  <c r="J412" i="7" s="1"/>
  <c r="J447" i="7"/>
  <c r="J441" i="7" s="1"/>
  <c r="I457" i="7"/>
  <c r="I456" i="7" s="1"/>
  <c r="K456" i="7" s="1"/>
  <c r="I458" i="7"/>
  <c r="K458" i="7" s="1"/>
  <c r="J459" i="7"/>
  <c r="J457" i="7" s="1"/>
  <c r="J456" i="7" s="1"/>
  <c r="J460" i="7"/>
  <c r="J458" i="7" s="1"/>
  <c r="J467" i="7"/>
  <c r="J468" i="7"/>
  <c r="J475" i="7"/>
  <c r="K475" i="7"/>
  <c r="J476" i="7"/>
  <c r="K476" i="7"/>
  <c r="J477" i="7"/>
  <c r="K477" i="7"/>
  <c r="J482" i="7"/>
  <c r="J483" i="7"/>
  <c r="I484" i="7"/>
  <c r="K484" i="7" s="1"/>
  <c r="J484" i="7"/>
  <c r="I485" i="7"/>
  <c r="J485" i="7"/>
  <c r="K485" i="7"/>
  <c r="L494" i="7"/>
  <c r="M494" i="7"/>
  <c r="P494" i="7" s="1"/>
  <c r="N494" i="7"/>
  <c r="Q494" i="7"/>
  <c r="T494" i="7" s="1"/>
  <c r="R494" i="7"/>
  <c r="S494" i="7"/>
  <c r="O497" i="7"/>
  <c r="P497" i="7"/>
  <c r="T497" i="7"/>
  <c r="U497" i="7"/>
  <c r="L498" i="7"/>
  <c r="L496" i="7" s="1"/>
  <c r="O496" i="7" s="1"/>
  <c r="M498" i="7"/>
  <c r="P498" i="7" s="1"/>
  <c r="N498" i="7"/>
  <c r="N496" i="7" s="1"/>
  <c r="Q498" i="7"/>
  <c r="R498" i="7"/>
  <c r="R496" i="7" s="1"/>
  <c r="U496" i="7" s="1"/>
  <c r="S498" i="7"/>
  <c r="S495" i="7" s="1"/>
  <c r="Q499" i="7"/>
  <c r="T499" i="7" s="1"/>
  <c r="R499" i="7"/>
  <c r="U499" i="7" s="1"/>
  <c r="S499" i="7"/>
  <c r="O500" i="7"/>
  <c r="P500" i="7"/>
  <c r="T500" i="7"/>
  <c r="U500" i="7"/>
  <c r="L501" i="7"/>
  <c r="L499" i="7" s="1"/>
  <c r="O499" i="7" s="1"/>
  <c r="M501" i="7"/>
  <c r="P501" i="7" s="1"/>
  <c r="N501" i="7"/>
  <c r="N499" i="7" s="1"/>
  <c r="T501" i="7"/>
  <c r="U501" i="7"/>
  <c r="I503" i="7"/>
  <c r="I492" i="7" s="1"/>
  <c r="K492" i="7" s="1"/>
  <c r="I504" i="7"/>
  <c r="K504" i="7" s="1"/>
  <c r="I505" i="7"/>
  <c r="K505" i="7" s="1"/>
  <c r="I506" i="7"/>
  <c r="K506" i="7" s="1"/>
  <c r="I507" i="7"/>
  <c r="K507" i="7" s="1"/>
  <c r="K508" i="7"/>
  <c r="I509" i="7"/>
  <c r="K509" i="7" s="1"/>
  <c r="I512" i="7"/>
  <c r="K512" i="7" s="1"/>
  <c r="J512" i="7"/>
  <c r="L514" i="7"/>
  <c r="M514" i="7"/>
  <c r="N514" i="7"/>
  <c r="O514" i="7"/>
  <c r="Q514" i="7"/>
  <c r="T514" i="7" s="1"/>
  <c r="R514" i="7"/>
  <c r="S514" i="7"/>
  <c r="U514" i="7"/>
  <c r="Q515" i="7"/>
  <c r="T515" i="7" s="1"/>
  <c r="R515" i="7"/>
  <c r="U515" i="7" s="1"/>
  <c r="S515" i="7"/>
  <c r="Q516" i="7"/>
  <c r="T516" i="7" s="1"/>
  <c r="R516" i="7"/>
  <c r="U516" i="7" s="1"/>
  <c r="S516" i="7"/>
  <c r="O517" i="7"/>
  <c r="P517" i="7"/>
  <c r="T517" i="7"/>
  <c r="U517" i="7"/>
  <c r="L518" i="7"/>
  <c r="M518" i="7"/>
  <c r="N518" i="7"/>
  <c r="T518" i="7"/>
  <c r="U518" i="7"/>
  <c r="Q519" i="7"/>
  <c r="T519" i="7" s="1"/>
  <c r="R519" i="7"/>
  <c r="U519" i="7" s="1"/>
  <c r="S519" i="7"/>
  <c r="O520" i="7"/>
  <c r="P520" i="7"/>
  <c r="T520" i="7"/>
  <c r="U520" i="7"/>
  <c r="L521" i="7"/>
  <c r="L519" i="7" s="1"/>
  <c r="O519" i="7" s="1"/>
  <c r="M521" i="7"/>
  <c r="M519" i="7" s="1"/>
  <c r="P519" i="7" s="1"/>
  <c r="N521" i="7"/>
  <c r="N519" i="7" s="1"/>
  <c r="T521" i="7"/>
  <c r="U521" i="7"/>
  <c r="K523" i="7"/>
  <c r="K524" i="7"/>
  <c r="I533" i="7"/>
  <c r="K533" i="7" s="1"/>
  <c r="J533" i="7"/>
  <c r="L535" i="7"/>
  <c r="O535" i="7" s="1"/>
  <c r="M535" i="7"/>
  <c r="N535" i="7"/>
  <c r="P535" i="7"/>
  <c r="Q535" i="7"/>
  <c r="T535" i="7" s="1"/>
  <c r="R535" i="7"/>
  <c r="U535" i="7" s="1"/>
  <c r="S535" i="7"/>
  <c r="Q536" i="7"/>
  <c r="T536" i="7" s="1"/>
  <c r="R536" i="7"/>
  <c r="U536" i="7" s="1"/>
  <c r="S536" i="7"/>
  <c r="Q537" i="7"/>
  <c r="T537" i="7" s="1"/>
  <c r="R537" i="7"/>
  <c r="U537" i="7" s="1"/>
  <c r="S537" i="7"/>
  <c r="O538" i="7"/>
  <c r="P538" i="7"/>
  <c r="T538" i="7"/>
  <c r="U538" i="7"/>
  <c r="L539" i="7"/>
  <c r="O539" i="7" s="1"/>
  <c r="M539" i="7"/>
  <c r="M537" i="7" s="1"/>
  <c r="P537" i="7" s="1"/>
  <c r="N539" i="7"/>
  <c r="T539" i="7"/>
  <c r="U539" i="7"/>
  <c r="Q540" i="7"/>
  <c r="T540" i="7" s="1"/>
  <c r="R540" i="7"/>
  <c r="S540" i="7"/>
  <c r="U540" i="7"/>
  <c r="O541" i="7"/>
  <c r="P541" i="7"/>
  <c r="T541" i="7"/>
  <c r="U541" i="7"/>
  <c r="L542" i="7"/>
  <c r="M542" i="7"/>
  <c r="N542" i="7"/>
  <c r="N540" i="7" s="1"/>
  <c r="T542" i="7"/>
  <c r="U542" i="7"/>
  <c r="I554" i="7"/>
  <c r="K554" i="7" s="1"/>
  <c r="J554" i="7"/>
  <c r="L556" i="7"/>
  <c r="M556" i="7"/>
  <c r="P556" i="7" s="1"/>
  <c r="N556" i="7"/>
  <c r="O556" i="7"/>
  <c r="Q556" i="7"/>
  <c r="R556" i="7"/>
  <c r="R555" i="7" s="1"/>
  <c r="U555" i="7" s="1"/>
  <c r="S556" i="7"/>
  <c r="S555" i="7" s="1"/>
  <c r="U556" i="7"/>
  <c r="Q557" i="7"/>
  <c r="T557" i="7" s="1"/>
  <c r="R557" i="7"/>
  <c r="U557" i="7" s="1"/>
  <c r="S557" i="7"/>
  <c r="Q558" i="7"/>
  <c r="T558" i="7" s="1"/>
  <c r="R558" i="7"/>
  <c r="U558" i="7" s="1"/>
  <c r="S558" i="7"/>
  <c r="O559" i="7"/>
  <c r="P559" i="7"/>
  <c r="T559" i="7"/>
  <c r="U559" i="7"/>
  <c r="L560" i="7"/>
  <c r="L558" i="7" s="1"/>
  <c r="O558" i="7" s="1"/>
  <c r="M560" i="7"/>
  <c r="P560" i="7" s="1"/>
  <c r="N560" i="7"/>
  <c r="N558" i="7" s="1"/>
  <c r="T560" i="7"/>
  <c r="U560" i="7"/>
  <c r="Q561" i="7"/>
  <c r="R561" i="7"/>
  <c r="U561" i="7" s="1"/>
  <c r="S561" i="7"/>
  <c r="T561" i="7"/>
  <c r="O562" i="7"/>
  <c r="P562" i="7"/>
  <c r="T562" i="7"/>
  <c r="U562" i="7"/>
  <c r="L563" i="7"/>
  <c r="O563" i="7" s="1"/>
  <c r="M563" i="7"/>
  <c r="N563" i="7"/>
  <c r="N561" i="7" s="1"/>
  <c r="T563" i="7"/>
  <c r="U563" i="7"/>
  <c r="I575" i="7"/>
  <c r="K575" i="7" s="1"/>
  <c r="J575" i="7"/>
  <c r="L577" i="7"/>
  <c r="M577" i="7"/>
  <c r="P577" i="7" s="1"/>
  <c r="N577" i="7"/>
  <c r="Q577" i="7"/>
  <c r="Q576" i="7" s="1"/>
  <c r="T576" i="7" s="1"/>
  <c r="R577" i="7"/>
  <c r="S577" i="7"/>
  <c r="Q578" i="7"/>
  <c r="R578" i="7"/>
  <c r="U578" i="7" s="1"/>
  <c r="S578" i="7"/>
  <c r="T578" i="7"/>
  <c r="Q579" i="7"/>
  <c r="R579" i="7"/>
  <c r="U579" i="7" s="1"/>
  <c r="S579" i="7"/>
  <c r="T579" i="7"/>
  <c r="O580" i="7"/>
  <c r="P580" i="7"/>
  <c r="T580" i="7"/>
  <c r="U580" i="7"/>
  <c r="L581" i="7"/>
  <c r="O581" i="7" s="1"/>
  <c r="M581" i="7"/>
  <c r="M579" i="7" s="1"/>
  <c r="P579" i="7" s="1"/>
  <c r="N581" i="7"/>
  <c r="T581" i="7"/>
  <c r="U581" i="7"/>
  <c r="Q582" i="7"/>
  <c r="T582" i="7" s="1"/>
  <c r="R582" i="7"/>
  <c r="U582" i="7" s="1"/>
  <c r="S582" i="7"/>
  <c r="O583" i="7"/>
  <c r="P583" i="7"/>
  <c r="T583" i="7"/>
  <c r="U583" i="7"/>
  <c r="L584" i="7"/>
  <c r="M584" i="7"/>
  <c r="M582" i="7" s="1"/>
  <c r="P582" i="7" s="1"/>
  <c r="N584" i="7"/>
  <c r="N582" i="7" s="1"/>
  <c r="T584" i="7"/>
  <c r="U584" i="7"/>
  <c r="L600" i="7"/>
  <c r="M600" i="7"/>
  <c r="P600" i="7" s="1"/>
  <c r="N600" i="7"/>
  <c r="Q600" i="7"/>
  <c r="R600" i="7"/>
  <c r="U600" i="7" s="1"/>
  <c r="S600" i="7"/>
  <c r="T600" i="7"/>
  <c r="O603" i="7"/>
  <c r="P603" i="7"/>
  <c r="T603" i="7"/>
  <c r="U603" i="7"/>
  <c r="L604" i="7"/>
  <c r="L602" i="7" s="1"/>
  <c r="O602" i="7" s="1"/>
  <c r="M604" i="7"/>
  <c r="P604" i="7" s="1"/>
  <c r="N604" i="7"/>
  <c r="N602" i="7" s="1"/>
  <c r="Q604" i="7"/>
  <c r="R604" i="7"/>
  <c r="S604" i="7"/>
  <c r="S602" i="7" s="1"/>
  <c r="O606" i="7"/>
  <c r="P606" i="7"/>
  <c r="T606" i="7"/>
  <c r="U606" i="7"/>
  <c r="L607" i="7"/>
  <c r="O607" i="7" s="1"/>
  <c r="M607" i="7"/>
  <c r="P607" i="7" s="1"/>
  <c r="N607" i="7"/>
  <c r="N605" i="7" s="1"/>
  <c r="Q607" i="7"/>
  <c r="R607" i="7"/>
  <c r="U607" i="7" s="1"/>
  <c r="S607" i="7"/>
  <c r="S605" i="7" s="1"/>
  <c r="L617" i="7"/>
  <c r="M617" i="7"/>
  <c r="N617" i="7"/>
  <c r="Q617" i="7"/>
  <c r="R617" i="7"/>
  <c r="S617" i="7"/>
  <c r="L618" i="7"/>
  <c r="O618" i="7" s="1"/>
  <c r="M618" i="7"/>
  <c r="P618" i="7" s="1"/>
  <c r="N618" i="7"/>
  <c r="L619" i="7"/>
  <c r="O619" i="7" s="1"/>
  <c r="M619" i="7"/>
  <c r="P619" i="7" s="1"/>
  <c r="N619" i="7"/>
  <c r="O620" i="7"/>
  <c r="P620" i="7"/>
  <c r="T620" i="7"/>
  <c r="U620" i="7"/>
  <c r="O621" i="7"/>
  <c r="P621" i="7"/>
  <c r="Q621" i="7"/>
  <c r="R621" i="7"/>
  <c r="R619" i="7" s="1"/>
  <c r="S621" i="7"/>
  <c r="S619" i="7" s="1"/>
  <c r="L622" i="7"/>
  <c r="O622" i="7" s="1"/>
  <c r="M622" i="7"/>
  <c r="P622" i="7" s="1"/>
  <c r="N622" i="7"/>
  <c r="Q622" i="7"/>
  <c r="R622" i="7"/>
  <c r="U622" i="7" s="1"/>
  <c r="S622" i="7"/>
  <c r="T622" i="7"/>
  <c r="O623" i="7"/>
  <c r="P623" i="7"/>
  <c r="T623" i="7"/>
  <c r="U623" i="7"/>
  <c r="O624" i="7"/>
  <c r="P624" i="7"/>
  <c r="T624" i="7"/>
  <c r="U624" i="7"/>
  <c r="I626" i="7"/>
  <c r="I615" i="7" s="1"/>
  <c r="J626" i="7"/>
  <c r="J615" i="7" s="1"/>
  <c r="I627" i="7"/>
  <c r="K627" i="7" s="1"/>
  <c r="I628" i="7"/>
  <c r="K628" i="7" s="1"/>
  <c r="J632" i="7"/>
  <c r="I635" i="7"/>
  <c r="K635" i="7" s="1"/>
  <c r="J635" i="7"/>
  <c r="J636" i="7"/>
  <c r="L643" i="7"/>
  <c r="M643" i="7"/>
  <c r="N643" i="7"/>
  <c r="P643" i="7"/>
  <c r="Q643" i="7"/>
  <c r="R643" i="7"/>
  <c r="S643" i="7"/>
  <c r="L644" i="7"/>
  <c r="O644" i="7" s="1"/>
  <c r="M644" i="7"/>
  <c r="P644" i="7" s="1"/>
  <c r="N644" i="7"/>
  <c r="L645" i="7"/>
  <c r="M645" i="7"/>
  <c r="N645" i="7"/>
  <c r="O645" i="7"/>
  <c r="P645" i="7"/>
  <c r="O646" i="7"/>
  <c r="P646" i="7"/>
  <c r="T646" i="7"/>
  <c r="U646" i="7"/>
  <c r="O647" i="7"/>
  <c r="P647" i="7"/>
  <c r="Q647" i="7"/>
  <c r="Q645" i="7" s="1"/>
  <c r="R647" i="7"/>
  <c r="R645" i="7" s="1"/>
  <c r="S647" i="7"/>
  <c r="S645" i="7" s="1"/>
  <c r="L648" i="7"/>
  <c r="O648" i="7" s="1"/>
  <c r="M648" i="7"/>
  <c r="P648" i="7" s="1"/>
  <c r="N648" i="7"/>
  <c r="Q648" i="7"/>
  <c r="T648" i="7" s="1"/>
  <c r="R648" i="7"/>
  <c r="U648" i="7" s="1"/>
  <c r="S648" i="7"/>
  <c r="O649" i="7"/>
  <c r="P649" i="7"/>
  <c r="T649" i="7"/>
  <c r="U649" i="7"/>
  <c r="O650" i="7"/>
  <c r="P650" i="7"/>
  <c r="T650" i="7"/>
  <c r="U650" i="7"/>
  <c r="I652" i="7"/>
  <c r="K652" i="7" s="1"/>
  <c r="J652" i="7"/>
  <c r="I653" i="7"/>
  <c r="J653" i="7"/>
  <c r="I654" i="7"/>
  <c r="K654" i="7" s="1"/>
  <c r="J654" i="7"/>
  <c r="I657" i="7"/>
  <c r="I660" i="7"/>
  <c r="I661" i="7"/>
  <c r="K661" i="7" s="1"/>
  <c r="J661" i="7"/>
  <c r="J671" i="7"/>
  <c r="J672" i="7"/>
  <c r="I673" i="7"/>
  <c r="K673" i="7" s="1"/>
  <c r="J673" i="7"/>
  <c r="I674" i="7"/>
  <c r="K674" i="7" s="1"/>
  <c r="I675" i="7"/>
  <c r="K675" i="7" s="1"/>
  <c r="I676" i="7"/>
  <c r="K676" i="7" s="1"/>
  <c r="J676" i="7"/>
  <c r="J677" i="7"/>
  <c r="I678" i="7"/>
  <c r="K678" i="7" s="1"/>
  <c r="J678" i="7"/>
  <c r="I679" i="7"/>
  <c r="K679" i="7" s="1"/>
  <c r="J679" i="7"/>
  <c r="J680" i="7"/>
  <c r="I681" i="7"/>
  <c r="K681" i="7" s="1"/>
  <c r="J681" i="7"/>
  <c r="I682" i="7"/>
  <c r="K682" i="7" s="1"/>
  <c r="J682" i="7"/>
  <c r="L691" i="7"/>
  <c r="M691" i="7"/>
  <c r="N691" i="7"/>
  <c r="N690" i="7" s="1"/>
  <c r="P691" i="7"/>
  <c r="Q691" i="7"/>
  <c r="R691" i="7"/>
  <c r="S691" i="7"/>
  <c r="L692" i="7"/>
  <c r="O692" i="7" s="1"/>
  <c r="M692" i="7"/>
  <c r="P692" i="7" s="1"/>
  <c r="N692" i="7"/>
  <c r="L693" i="7"/>
  <c r="M693" i="7"/>
  <c r="P693" i="7" s="1"/>
  <c r="N693" i="7"/>
  <c r="O693" i="7"/>
  <c r="O694" i="7"/>
  <c r="P694" i="7"/>
  <c r="T694" i="7"/>
  <c r="U694" i="7"/>
  <c r="O695" i="7"/>
  <c r="P695" i="7"/>
  <c r="Q695" i="7"/>
  <c r="Q693" i="7" s="1"/>
  <c r="T693" i="7" s="1"/>
  <c r="R695" i="7"/>
  <c r="R693" i="7" s="1"/>
  <c r="U693" i="7" s="1"/>
  <c r="S695" i="7"/>
  <c r="L696" i="7"/>
  <c r="O696" i="7" s="1"/>
  <c r="M696" i="7"/>
  <c r="P696" i="7" s="1"/>
  <c r="N696" i="7"/>
  <c r="Q696" i="7"/>
  <c r="T696" i="7" s="1"/>
  <c r="R696" i="7"/>
  <c r="U696" i="7" s="1"/>
  <c r="S696" i="7"/>
  <c r="O697" i="7"/>
  <c r="P697" i="7"/>
  <c r="T697" i="7"/>
  <c r="U697" i="7"/>
  <c r="O698" i="7"/>
  <c r="P698" i="7"/>
  <c r="T698" i="7"/>
  <c r="U698" i="7"/>
  <c r="I700" i="7"/>
  <c r="K700" i="7" s="1"/>
  <c r="K702" i="7"/>
  <c r="I703" i="7"/>
  <c r="J703" i="7"/>
  <c r="J704" i="7"/>
  <c r="K704" i="7"/>
  <c r="I705" i="7"/>
  <c r="K705" i="7" s="1"/>
  <c r="J705" i="7"/>
  <c r="J706" i="7"/>
  <c r="K706" i="7"/>
  <c r="I707" i="7"/>
  <c r="J707" i="7"/>
  <c r="J689" i="7" s="1"/>
  <c r="J708" i="7"/>
  <c r="K708" i="7"/>
  <c r="I709" i="7"/>
  <c r="K709" i="7" s="1"/>
  <c r="J709" i="7"/>
  <c r="J710" i="7"/>
  <c r="K710" i="7"/>
  <c r="J712" i="7"/>
  <c r="K712" i="7"/>
  <c r="M714" i="7"/>
  <c r="P714" i="7" s="1"/>
  <c r="L715" i="7"/>
  <c r="L714" i="7" s="1"/>
  <c r="O714" i="7" s="1"/>
  <c r="M715" i="7"/>
  <c r="N715" i="7"/>
  <c r="O715" i="7"/>
  <c r="P715" i="7"/>
  <c r="Q715" i="7"/>
  <c r="R715" i="7"/>
  <c r="S715" i="7"/>
  <c r="S714" i="7" s="1"/>
  <c r="T715" i="7"/>
  <c r="U715" i="7"/>
  <c r="L716" i="7"/>
  <c r="O716" i="7" s="1"/>
  <c r="M716" i="7"/>
  <c r="P716" i="7" s="1"/>
  <c r="N716" i="7"/>
  <c r="Q716" i="7"/>
  <c r="T716" i="7" s="1"/>
  <c r="R716" i="7"/>
  <c r="U716" i="7" s="1"/>
  <c r="S716" i="7"/>
  <c r="L717" i="7"/>
  <c r="O717" i="7" s="1"/>
  <c r="M717" i="7"/>
  <c r="P717" i="7" s="1"/>
  <c r="N717" i="7"/>
  <c r="Q717" i="7"/>
  <c r="T717" i="7" s="1"/>
  <c r="R717" i="7"/>
  <c r="U717" i="7" s="1"/>
  <c r="S717" i="7"/>
  <c r="O718" i="7"/>
  <c r="P718" i="7"/>
  <c r="T718" i="7"/>
  <c r="U718" i="7"/>
  <c r="O719" i="7"/>
  <c r="P719" i="7"/>
  <c r="T719" i="7"/>
  <c r="U719" i="7"/>
  <c r="L720" i="7"/>
  <c r="O720" i="7" s="1"/>
  <c r="M720" i="7"/>
  <c r="P720" i="7" s="1"/>
  <c r="N720" i="7"/>
  <c r="Q720" i="7"/>
  <c r="R720" i="7"/>
  <c r="U720" i="7" s="1"/>
  <c r="S720" i="7"/>
  <c r="T720" i="7"/>
  <c r="O721" i="7"/>
  <c r="P721" i="7"/>
  <c r="T721" i="7"/>
  <c r="U721" i="7"/>
  <c r="O722" i="7"/>
  <c r="P722" i="7"/>
  <c r="T722" i="7"/>
  <c r="U722" i="7"/>
  <c r="I726" i="7"/>
  <c r="J726" i="7"/>
  <c r="I727" i="7"/>
  <c r="J727" i="7"/>
  <c r="L728" i="7"/>
  <c r="O728" i="7" s="1"/>
  <c r="L729" i="7"/>
  <c r="M729" i="7"/>
  <c r="M728" i="7" s="1"/>
  <c r="P728" i="7" s="1"/>
  <c r="N729" i="7"/>
  <c r="O729" i="7"/>
  <c r="Q729" i="7"/>
  <c r="R729" i="7"/>
  <c r="S729" i="7"/>
  <c r="T729" i="7"/>
  <c r="U729" i="7"/>
  <c r="L730" i="7"/>
  <c r="O730" i="7" s="1"/>
  <c r="M730" i="7"/>
  <c r="P730" i="7" s="1"/>
  <c r="N730" i="7"/>
  <c r="L731" i="7"/>
  <c r="O731" i="7" s="1"/>
  <c r="M731" i="7"/>
  <c r="P731" i="7" s="1"/>
  <c r="N731" i="7"/>
  <c r="O732" i="7"/>
  <c r="P732" i="7"/>
  <c r="T732" i="7"/>
  <c r="U732" i="7"/>
  <c r="O733" i="7"/>
  <c r="P733" i="7"/>
  <c r="Q733" i="7"/>
  <c r="R733" i="7"/>
  <c r="R731" i="7" s="1"/>
  <c r="S733" i="7"/>
  <c r="S731" i="7" s="1"/>
  <c r="L734" i="7"/>
  <c r="M734" i="7"/>
  <c r="N734" i="7"/>
  <c r="O734" i="7"/>
  <c r="P734" i="7"/>
  <c r="Q734" i="7"/>
  <c r="T734" i="7" s="1"/>
  <c r="R734" i="7"/>
  <c r="S734" i="7"/>
  <c r="U734" i="7"/>
  <c r="O735" i="7"/>
  <c r="P735" i="7"/>
  <c r="T735" i="7"/>
  <c r="U735" i="7"/>
  <c r="O736" i="7"/>
  <c r="P736" i="7"/>
  <c r="T736" i="7"/>
  <c r="U736" i="7"/>
  <c r="I740" i="7"/>
  <c r="K740" i="7" s="1"/>
  <c r="I742" i="7"/>
  <c r="K742" i="7" s="1"/>
  <c r="I744" i="7"/>
  <c r="K744" i="7" s="1"/>
  <c r="I746" i="7"/>
  <c r="K746" i="7" s="1"/>
  <c r="I749" i="7"/>
  <c r="K749" i="7" s="1"/>
  <c r="I752" i="7"/>
  <c r="K752" i="7" s="1"/>
  <c r="I755" i="7"/>
  <c r="K755" i="7" s="1"/>
  <c r="J758" i="7"/>
  <c r="J759" i="7"/>
  <c r="L761" i="7"/>
  <c r="O761" i="7" s="1"/>
  <c r="M761" i="7"/>
  <c r="M760" i="7" s="1"/>
  <c r="P760" i="7" s="1"/>
  <c r="N761" i="7"/>
  <c r="P761" i="7"/>
  <c r="Q761" i="7"/>
  <c r="R761" i="7"/>
  <c r="S761" i="7"/>
  <c r="L762" i="7"/>
  <c r="O762" i="7" s="1"/>
  <c r="M762" i="7"/>
  <c r="P762" i="7" s="1"/>
  <c r="N762" i="7"/>
  <c r="N760" i="7" s="1"/>
  <c r="L763" i="7"/>
  <c r="M763" i="7"/>
  <c r="P763" i="7" s="1"/>
  <c r="N763" i="7"/>
  <c r="O763" i="7"/>
  <c r="O764" i="7"/>
  <c r="P764" i="7"/>
  <c r="T764" i="7"/>
  <c r="U764" i="7"/>
  <c r="O765" i="7"/>
  <c r="P765" i="7"/>
  <c r="Q765" i="7"/>
  <c r="R765" i="7"/>
  <c r="R763" i="7" s="1"/>
  <c r="S765" i="7"/>
  <c r="S763" i="7" s="1"/>
  <c r="L766" i="7"/>
  <c r="O766" i="7" s="1"/>
  <c r="M766" i="7"/>
  <c r="N766" i="7"/>
  <c r="P766" i="7"/>
  <c r="Q766" i="7"/>
  <c r="T766" i="7" s="1"/>
  <c r="R766" i="7"/>
  <c r="U766" i="7" s="1"/>
  <c r="S766" i="7"/>
  <c r="O767" i="7"/>
  <c r="P767" i="7"/>
  <c r="T767" i="7"/>
  <c r="U767" i="7"/>
  <c r="O768" i="7"/>
  <c r="P768" i="7"/>
  <c r="T768" i="7"/>
  <c r="U768" i="7"/>
  <c r="I770" i="7"/>
  <c r="K770" i="7" s="1"/>
  <c r="I772" i="7"/>
  <c r="I758" i="7" s="1"/>
  <c r="K758" i="7" s="1"/>
  <c r="I774" i="7"/>
  <c r="I759" i="7" s="1"/>
  <c r="K759" i="7" s="1"/>
  <c r="I775" i="7"/>
  <c r="I776" i="7"/>
  <c r="H777" i="7"/>
  <c r="I778" i="7"/>
  <c r="J778" i="7"/>
  <c r="I779" i="7"/>
  <c r="J779" i="7"/>
  <c r="I780" i="7"/>
  <c r="J780" i="7"/>
  <c r="I781" i="7"/>
  <c r="J781" i="7"/>
  <c r="I782" i="7"/>
  <c r="J782" i="7"/>
  <c r="I783" i="7"/>
  <c r="J783" i="7"/>
  <c r="I784" i="7"/>
  <c r="J784" i="7"/>
  <c r="I785" i="7"/>
  <c r="J785" i="7"/>
  <c r="A788" i="7"/>
  <c r="A789" i="7"/>
  <c r="L22" i="6"/>
  <c r="M22" i="6"/>
  <c r="M19" i="6" s="1"/>
  <c r="N22" i="6"/>
  <c r="Q22" i="6"/>
  <c r="T22" i="6" s="1"/>
  <c r="R22" i="6"/>
  <c r="S22" i="6"/>
  <c r="L25" i="6"/>
  <c r="M25" i="6"/>
  <c r="N25" i="6"/>
  <c r="Q25" i="6"/>
  <c r="T25" i="6" s="1"/>
  <c r="R25" i="6"/>
  <c r="S25" i="6"/>
  <c r="L45" i="6"/>
  <c r="O45" i="6" s="1"/>
  <c r="M45" i="6"/>
  <c r="N45" i="6"/>
  <c r="Q45" i="6"/>
  <c r="T45" i="6" s="1"/>
  <c r="R45" i="6"/>
  <c r="U45" i="6" s="1"/>
  <c r="S45" i="6"/>
  <c r="S44" i="6" s="1"/>
  <c r="Q46" i="6"/>
  <c r="R46" i="6"/>
  <c r="U46" i="6" s="1"/>
  <c r="S46" i="6"/>
  <c r="Q47" i="6"/>
  <c r="T47" i="6" s="1"/>
  <c r="R47" i="6"/>
  <c r="U47" i="6" s="1"/>
  <c r="S47" i="6"/>
  <c r="O48" i="6"/>
  <c r="P48" i="6"/>
  <c r="T48" i="6"/>
  <c r="U48" i="6"/>
  <c r="L49" i="6"/>
  <c r="M49" i="6"/>
  <c r="M47" i="6" s="1"/>
  <c r="N49" i="6"/>
  <c r="N47" i="6" s="1"/>
  <c r="T49" i="6"/>
  <c r="U49" i="6"/>
  <c r="Q50" i="6"/>
  <c r="R50" i="6"/>
  <c r="S50" i="6"/>
  <c r="T50" i="6"/>
  <c r="U50" i="6"/>
  <c r="O51" i="6"/>
  <c r="P51" i="6"/>
  <c r="T51" i="6"/>
  <c r="U51" i="6"/>
  <c r="L52" i="6"/>
  <c r="M52" i="6"/>
  <c r="N52" i="6"/>
  <c r="N50" i="6" s="1"/>
  <c r="T52" i="6"/>
  <c r="U52" i="6"/>
  <c r="R59" i="6"/>
  <c r="U59" i="6" s="1"/>
  <c r="L60" i="6"/>
  <c r="O60" i="6" s="1"/>
  <c r="M60" i="6"/>
  <c r="N60" i="6"/>
  <c r="Q60" i="6"/>
  <c r="Q59" i="6" s="1"/>
  <c r="T59" i="6" s="1"/>
  <c r="R60" i="6"/>
  <c r="U60" i="6" s="1"/>
  <c r="S60" i="6"/>
  <c r="S59" i="6" s="1"/>
  <c r="T60" i="6"/>
  <c r="Q61" i="6"/>
  <c r="T61" i="6" s="1"/>
  <c r="R61" i="6"/>
  <c r="S61" i="6"/>
  <c r="U61" i="6"/>
  <c r="Q62" i="6"/>
  <c r="T62" i="6" s="1"/>
  <c r="R62" i="6"/>
  <c r="U62" i="6" s="1"/>
  <c r="S62" i="6"/>
  <c r="O63" i="6"/>
  <c r="P63" i="6"/>
  <c r="T63" i="6"/>
  <c r="U63" i="6"/>
  <c r="L64" i="6"/>
  <c r="L62" i="6" s="1"/>
  <c r="M64" i="6"/>
  <c r="M62" i="6" s="1"/>
  <c r="N64" i="6"/>
  <c r="N62" i="6" s="1"/>
  <c r="T64" i="6"/>
  <c r="U64" i="6"/>
  <c r="Q65" i="6"/>
  <c r="R65" i="6"/>
  <c r="U65" i="6" s="1"/>
  <c r="S65" i="6"/>
  <c r="T65" i="6"/>
  <c r="O66" i="6"/>
  <c r="P66" i="6"/>
  <c r="T66" i="6"/>
  <c r="U66" i="6"/>
  <c r="L67" i="6"/>
  <c r="M67" i="6"/>
  <c r="N67" i="6"/>
  <c r="N65" i="6" s="1"/>
  <c r="T67" i="6"/>
  <c r="U67" i="6"/>
  <c r="L73" i="6"/>
  <c r="O73" i="6" s="1"/>
  <c r="M73" i="6"/>
  <c r="N73" i="6"/>
  <c r="Q73" i="6"/>
  <c r="R73" i="6"/>
  <c r="U73" i="6" s="1"/>
  <c r="S73" i="6"/>
  <c r="T73" i="6"/>
  <c r="O76" i="6"/>
  <c r="P76" i="6"/>
  <c r="T76" i="6"/>
  <c r="U76" i="6"/>
  <c r="L77" i="6"/>
  <c r="M77" i="6"/>
  <c r="N77" i="6"/>
  <c r="N75" i="6" s="1"/>
  <c r="Q77" i="6"/>
  <c r="R77" i="6"/>
  <c r="S77" i="6"/>
  <c r="S75" i="6" s="1"/>
  <c r="O79" i="6"/>
  <c r="P79" i="6"/>
  <c r="T79" i="6"/>
  <c r="U79" i="6"/>
  <c r="L80" i="6"/>
  <c r="O80" i="6" s="1"/>
  <c r="M80" i="6"/>
  <c r="N80" i="6"/>
  <c r="N78" i="6" s="1"/>
  <c r="Q80" i="6"/>
  <c r="Q78" i="6" s="1"/>
  <c r="T78" i="6" s="1"/>
  <c r="R80" i="6"/>
  <c r="S80" i="6"/>
  <c r="S78" i="6" s="1"/>
  <c r="J82" i="6"/>
  <c r="J70" i="6" s="1"/>
  <c r="J83" i="6"/>
  <c r="J71" i="6" s="1"/>
  <c r="I84" i="6"/>
  <c r="K84" i="6" s="1"/>
  <c r="I85" i="6"/>
  <c r="K85" i="6" s="1"/>
  <c r="I86" i="6"/>
  <c r="K86" i="6" s="1"/>
  <c r="I87" i="6"/>
  <c r="I88" i="6"/>
  <c r="K88" i="6" s="1"/>
  <c r="I89" i="6"/>
  <c r="K89" i="6" s="1"/>
  <c r="I90" i="6"/>
  <c r="K90" i="6" s="1"/>
  <c r="J92" i="6"/>
  <c r="J93" i="6"/>
  <c r="L95" i="6"/>
  <c r="M95" i="6"/>
  <c r="N95" i="6"/>
  <c r="P95" i="6"/>
  <c r="Q95" i="6"/>
  <c r="R95" i="6"/>
  <c r="S95" i="6"/>
  <c r="O98" i="6"/>
  <c r="P98" i="6"/>
  <c r="T98" i="6"/>
  <c r="U98" i="6"/>
  <c r="L99" i="6"/>
  <c r="O99" i="6" s="1"/>
  <c r="M99" i="6"/>
  <c r="N99" i="6"/>
  <c r="Q99" i="6"/>
  <c r="Q97" i="6" s="1"/>
  <c r="R99" i="6"/>
  <c r="S99" i="6"/>
  <c r="Q100" i="6"/>
  <c r="R100" i="6"/>
  <c r="S100" i="6"/>
  <c r="T100" i="6"/>
  <c r="U100" i="6"/>
  <c r="O101" i="6"/>
  <c r="P101" i="6"/>
  <c r="T101" i="6"/>
  <c r="U101" i="6"/>
  <c r="L102" i="6"/>
  <c r="M102" i="6"/>
  <c r="N102" i="6"/>
  <c r="T102" i="6"/>
  <c r="U102" i="6"/>
  <c r="I108" i="6"/>
  <c r="I92" i="6" s="1"/>
  <c r="K92" i="6" s="1"/>
  <c r="I109" i="6"/>
  <c r="I113" i="6"/>
  <c r="K113" i="6" s="1"/>
  <c r="I114" i="6"/>
  <c r="K114" i="6" s="1"/>
  <c r="J116" i="6"/>
  <c r="L118" i="6"/>
  <c r="O118" i="6" s="1"/>
  <c r="M118" i="6"/>
  <c r="N118" i="6"/>
  <c r="P118" i="6"/>
  <c r="Q118" i="6"/>
  <c r="T118" i="6" s="1"/>
  <c r="R118" i="6"/>
  <c r="U118" i="6" s="1"/>
  <c r="S118" i="6"/>
  <c r="O121" i="6"/>
  <c r="P121" i="6"/>
  <c r="T121" i="6"/>
  <c r="U121" i="6"/>
  <c r="L122" i="6"/>
  <c r="M122" i="6"/>
  <c r="P122" i="6" s="1"/>
  <c r="N122" i="6"/>
  <c r="Q122" i="6"/>
  <c r="R122" i="6"/>
  <c r="S122" i="6"/>
  <c r="S120" i="6" s="1"/>
  <c r="O124" i="6"/>
  <c r="P124" i="6"/>
  <c r="T124" i="6"/>
  <c r="U124" i="6"/>
  <c r="L125" i="6"/>
  <c r="O125" i="6" s="1"/>
  <c r="M125" i="6"/>
  <c r="N125" i="6"/>
  <c r="N123" i="6" s="1"/>
  <c r="Q125" i="6"/>
  <c r="R125" i="6"/>
  <c r="S125" i="6"/>
  <c r="S123" i="6" s="1"/>
  <c r="I127" i="6"/>
  <c r="I128" i="6"/>
  <c r="K128" i="6" s="1"/>
  <c r="I129" i="6"/>
  <c r="K129" i="6" s="1"/>
  <c r="I130" i="6"/>
  <c r="K130" i="6" s="1"/>
  <c r="J136" i="6"/>
  <c r="J137" i="6"/>
  <c r="J138" i="6"/>
  <c r="L140" i="6"/>
  <c r="M140" i="6"/>
  <c r="N140" i="6"/>
  <c r="O140" i="6"/>
  <c r="P140" i="6"/>
  <c r="Q140" i="6"/>
  <c r="T140" i="6" s="1"/>
  <c r="R140" i="6"/>
  <c r="S140" i="6"/>
  <c r="U140" i="6"/>
  <c r="O143" i="6"/>
  <c r="P143" i="6"/>
  <c r="T143" i="6"/>
  <c r="U143" i="6"/>
  <c r="L144" i="6"/>
  <c r="M144" i="6"/>
  <c r="N144" i="6"/>
  <c r="N142" i="6" s="1"/>
  <c r="Q144" i="6"/>
  <c r="R144" i="6"/>
  <c r="S144" i="6"/>
  <c r="S142" i="6" s="1"/>
  <c r="O146" i="6"/>
  <c r="P146" i="6"/>
  <c r="T146" i="6"/>
  <c r="U146" i="6"/>
  <c r="L147" i="6"/>
  <c r="O147" i="6" s="1"/>
  <c r="M147" i="6"/>
  <c r="M145" i="6" s="1"/>
  <c r="P145" i="6" s="1"/>
  <c r="N147" i="6"/>
  <c r="N145" i="6" s="1"/>
  <c r="Q147" i="6"/>
  <c r="R147" i="6"/>
  <c r="S147" i="6"/>
  <c r="S145" i="6" s="1"/>
  <c r="I150" i="6"/>
  <c r="K150" i="6" s="1"/>
  <c r="I151" i="6"/>
  <c r="K151" i="6" s="1"/>
  <c r="I152" i="6"/>
  <c r="K152" i="6" s="1"/>
  <c r="I153" i="6"/>
  <c r="I154" i="6"/>
  <c r="K154" i="6" s="1"/>
  <c r="J156" i="6"/>
  <c r="L158" i="6"/>
  <c r="M158" i="6"/>
  <c r="P158" i="6" s="1"/>
  <c r="N158" i="6"/>
  <c r="O158" i="6"/>
  <c r="Q158" i="6"/>
  <c r="R158" i="6"/>
  <c r="S158" i="6"/>
  <c r="T158" i="6"/>
  <c r="U158" i="6"/>
  <c r="O161" i="6"/>
  <c r="P161" i="6"/>
  <c r="T161" i="6"/>
  <c r="U161" i="6"/>
  <c r="L162" i="6"/>
  <c r="O162" i="6" s="1"/>
  <c r="M162" i="6"/>
  <c r="P162" i="6" s="1"/>
  <c r="N162" i="6"/>
  <c r="Q162" i="6"/>
  <c r="T162" i="6" s="1"/>
  <c r="R162" i="6"/>
  <c r="S162" i="6"/>
  <c r="S159" i="6" s="1"/>
  <c r="Q163" i="6"/>
  <c r="T163" i="6" s="1"/>
  <c r="R163" i="6"/>
  <c r="U163" i="6" s="1"/>
  <c r="S163" i="6"/>
  <c r="O164" i="6"/>
  <c r="P164" i="6"/>
  <c r="T164" i="6"/>
  <c r="U164" i="6"/>
  <c r="L165" i="6"/>
  <c r="L163" i="6" s="1"/>
  <c r="O163" i="6" s="1"/>
  <c r="M165" i="6"/>
  <c r="M163" i="6" s="1"/>
  <c r="P163" i="6" s="1"/>
  <c r="N165" i="6"/>
  <c r="N163" i="6" s="1"/>
  <c r="T165" i="6"/>
  <c r="U165" i="6"/>
  <c r="I167" i="6"/>
  <c r="K167" i="6" s="1"/>
  <c r="I168" i="6"/>
  <c r="K168" i="6" s="1"/>
  <c r="I169" i="6"/>
  <c r="J172" i="6"/>
  <c r="L174" i="6"/>
  <c r="M174" i="6"/>
  <c r="N174" i="6"/>
  <c r="O174" i="6"/>
  <c r="P174" i="6"/>
  <c r="Q174" i="6"/>
  <c r="R174" i="6"/>
  <c r="S174" i="6"/>
  <c r="U174" i="6"/>
  <c r="O177" i="6"/>
  <c r="P177" i="6"/>
  <c r="T177" i="6"/>
  <c r="U177" i="6"/>
  <c r="L178" i="6"/>
  <c r="L176" i="6" s="1"/>
  <c r="M178" i="6"/>
  <c r="M176" i="6" s="1"/>
  <c r="N178" i="6"/>
  <c r="Q178" i="6"/>
  <c r="R178" i="6"/>
  <c r="S178" i="6"/>
  <c r="S176" i="6" s="1"/>
  <c r="Q179" i="6"/>
  <c r="T179" i="6" s="1"/>
  <c r="R179" i="6"/>
  <c r="U179" i="6" s="1"/>
  <c r="S179" i="6"/>
  <c r="O180" i="6"/>
  <c r="P180" i="6"/>
  <c r="T180" i="6"/>
  <c r="U180" i="6"/>
  <c r="L181" i="6"/>
  <c r="M181" i="6"/>
  <c r="P181" i="6" s="1"/>
  <c r="N181" i="6"/>
  <c r="N179" i="6" s="1"/>
  <c r="T181" i="6"/>
  <c r="U181" i="6"/>
  <c r="I183" i="6"/>
  <c r="K184" i="6"/>
  <c r="L187" i="6"/>
  <c r="M187" i="6"/>
  <c r="N187" i="6"/>
  <c r="O187" i="6"/>
  <c r="P187" i="6"/>
  <c r="Q187" i="6"/>
  <c r="R187" i="6"/>
  <c r="S187" i="6"/>
  <c r="T187" i="6"/>
  <c r="U187" i="6"/>
  <c r="O190" i="6"/>
  <c r="P190" i="6"/>
  <c r="T190" i="6"/>
  <c r="U190" i="6"/>
  <c r="L191" i="6"/>
  <c r="M191" i="6"/>
  <c r="N191" i="6"/>
  <c r="Q191" i="6"/>
  <c r="R191" i="6"/>
  <c r="R189" i="6" s="1"/>
  <c r="U189" i="6" s="1"/>
  <c r="S191" i="6"/>
  <c r="S189" i="6" s="1"/>
  <c r="O193" i="6"/>
  <c r="P193" i="6"/>
  <c r="T193" i="6"/>
  <c r="U193" i="6"/>
  <c r="L194" i="6"/>
  <c r="M194" i="6"/>
  <c r="N194" i="6"/>
  <c r="N192" i="6" s="1"/>
  <c r="Q194" i="6"/>
  <c r="R194" i="6"/>
  <c r="U194" i="6" s="1"/>
  <c r="S194" i="6"/>
  <c r="S192" i="6" s="1"/>
  <c r="J195" i="6"/>
  <c r="L196" i="6"/>
  <c r="O196" i="6" s="1"/>
  <c r="P196" i="6"/>
  <c r="I198" i="6"/>
  <c r="J199" i="6"/>
  <c r="J202" i="6"/>
  <c r="N203" i="6"/>
  <c r="P203" i="6"/>
  <c r="S203" i="6"/>
  <c r="U203" i="6"/>
  <c r="L204" i="6"/>
  <c r="L205" i="6"/>
  <c r="L206" i="6"/>
  <c r="Q206" i="6"/>
  <c r="Q203" i="6" s="1"/>
  <c r="T203" i="6" s="1"/>
  <c r="L207" i="6"/>
  <c r="I209" i="6"/>
  <c r="I202" i="6" s="1"/>
  <c r="K202" i="6" s="1"/>
  <c r="I211" i="6"/>
  <c r="K211" i="6" s="1"/>
  <c r="I212" i="6"/>
  <c r="K212" i="6" s="1"/>
  <c r="J213" i="6"/>
  <c r="N214" i="6"/>
  <c r="P214" i="6"/>
  <c r="S214" i="6"/>
  <c r="U214" i="6"/>
  <c r="L215" i="6"/>
  <c r="L216" i="6"/>
  <c r="L217" i="6"/>
  <c r="Q217" i="6"/>
  <c r="Q214" i="6" s="1"/>
  <c r="T214" i="6" s="1"/>
  <c r="I219" i="6"/>
  <c r="K219" i="6" s="1"/>
  <c r="I220" i="6"/>
  <c r="I213" i="6" s="1"/>
  <c r="K213" i="6" s="1"/>
  <c r="J221" i="6"/>
  <c r="N222" i="6"/>
  <c r="P222" i="6"/>
  <c r="L223" i="6"/>
  <c r="L224" i="6"/>
  <c r="L225" i="6"/>
  <c r="I228" i="6"/>
  <c r="K228" i="6" s="1"/>
  <c r="I229" i="6"/>
  <c r="I230" i="6"/>
  <c r="K230" i="6" s="1"/>
  <c r="N233" i="6"/>
  <c r="N234" i="6"/>
  <c r="N235" i="6"/>
  <c r="N236" i="6"/>
  <c r="J238" i="6"/>
  <c r="I240" i="6"/>
  <c r="J240" i="6"/>
  <c r="K240" i="6"/>
  <c r="I241" i="6"/>
  <c r="K241" i="6" s="1"/>
  <c r="J241" i="6"/>
  <c r="J242" i="6"/>
  <c r="N243" i="6"/>
  <c r="N232" i="6" s="1"/>
  <c r="P243" i="6"/>
  <c r="L244" i="6"/>
  <c r="L245" i="6"/>
  <c r="L246" i="6"/>
  <c r="L247" i="6"/>
  <c r="I249" i="6"/>
  <c r="I242" i="6" s="1"/>
  <c r="K251" i="6"/>
  <c r="K252" i="6"/>
  <c r="J253" i="6"/>
  <c r="N254" i="6"/>
  <c r="P254" i="6"/>
  <c r="L255" i="6"/>
  <c r="L256" i="6"/>
  <c r="L257" i="6"/>
  <c r="L258" i="6"/>
  <c r="I260" i="6"/>
  <c r="I253" i="6" s="1"/>
  <c r="K253" i="6" s="1"/>
  <c r="K262" i="6"/>
  <c r="K263" i="6"/>
  <c r="J265" i="6"/>
  <c r="L267" i="6"/>
  <c r="M267" i="6"/>
  <c r="N267" i="6"/>
  <c r="P267" i="6"/>
  <c r="Q267" i="6"/>
  <c r="R267" i="6"/>
  <c r="S267" i="6"/>
  <c r="T267" i="6"/>
  <c r="O270" i="6"/>
  <c r="P270" i="6"/>
  <c r="T270" i="6"/>
  <c r="U270" i="6"/>
  <c r="L271" i="6"/>
  <c r="L269" i="6" s="1"/>
  <c r="M271" i="6"/>
  <c r="N271" i="6"/>
  <c r="N269" i="6" s="1"/>
  <c r="Q271" i="6"/>
  <c r="Q268" i="6" s="1"/>
  <c r="R271" i="6"/>
  <c r="S271" i="6"/>
  <c r="Q272" i="6"/>
  <c r="T272" i="6" s="1"/>
  <c r="R272" i="6"/>
  <c r="U272" i="6" s="1"/>
  <c r="S272" i="6"/>
  <c r="O273" i="6"/>
  <c r="P273" i="6"/>
  <c r="T273" i="6"/>
  <c r="U273" i="6"/>
  <c r="L274" i="6"/>
  <c r="O274" i="6" s="1"/>
  <c r="M274" i="6"/>
  <c r="N274" i="6"/>
  <c r="N272" i="6" s="1"/>
  <c r="T274" i="6"/>
  <c r="U274" i="6"/>
  <c r="I276" i="6"/>
  <c r="J281" i="6"/>
  <c r="R282" i="6"/>
  <c r="U282" i="6" s="1"/>
  <c r="L283" i="6"/>
  <c r="M283" i="6"/>
  <c r="N283" i="6"/>
  <c r="O283" i="6"/>
  <c r="P283" i="6"/>
  <c r="Q283" i="6"/>
  <c r="T283" i="6" s="1"/>
  <c r="R283" i="6"/>
  <c r="S283" i="6"/>
  <c r="U283" i="6"/>
  <c r="Q284" i="6"/>
  <c r="T284" i="6" s="1"/>
  <c r="R284" i="6"/>
  <c r="U284" i="6" s="1"/>
  <c r="S284" i="6"/>
  <c r="Q285" i="6"/>
  <c r="T285" i="6" s="1"/>
  <c r="R285" i="6"/>
  <c r="U285" i="6" s="1"/>
  <c r="S285" i="6"/>
  <c r="O286" i="6"/>
  <c r="P286" i="6"/>
  <c r="T286" i="6"/>
  <c r="U286" i="6"/>
  <c r="L287" i="6"/>
  <c r="M287" i="6"/>
  <c r="N287" i="6"/>
  <c r="N285" i="6" s="1"/>
  <c r="T287" i="6"/>
  <c r="U287" i="6"/>
  <c r="Q288" i="6"/>
  <c r="T288" i="6" s="1"/>
  <c r="R288" i="6"/>
  <c r="S288" i="6"/>
  <c r="U288" i="6"/>
  <c r="O289" i="6"/>
  <c r="P289" i="6"/>
  <c r="T289" i="6"/>
  <c r="U289" i="6"/>
  <c r="L290" i="6"/>
  <c r="L288" i="6" s="1"/>
  <c r="O288" i="6" s="1"/>
  <c r="M290" i="6"/>
  <c r="M288" i="6" s="1"/>
  <c r="P288" i="6" s="1"/>
  <c r="N290" i="6"/>
  <c r="N288" i="6" s="1"/>
  <c r="T290" i="6"/>
  <c r="U290" i="6"/>
  <c r="I292" i="6"/>
  <c r="K292" i="6" s="1"/>
  <c r="I293" i="6"/>
  <c r="K293" i="6" s="1"/>
  <c r="J293" i="6"/>
  <c r="J280" i="6" s="1"/>
  <c r="I295" i="6"/>
  <c r="K295" i="6" s="1"/>
  <c r="I296" i="6"/>
  <c r="K296" i="6" s="1"/>
  <c r="J302" i="6"/>
  <c r="L304" i="6"/>
  <c r="O304" i="6" s="1"/>
  <c r="M304" i="6"/>
  <c r="P304" i="6" s="1"/>
  <c r="N304" i="6"/>
  <c r="Q304" i="6"/>
  <c r="R304" i="6"/>
  <c r="S304" i="6"/>
  <c r="T304" i="6"/>
  <c r="O307" i="6"/>
  <c r="P307" i="6"/>
  <c r="T307" i="6"/>
  <c r="U307" i="6"/>
  <c r="L308" i="6"/>
  <c r="M308" i="6"/>
  <c r="N308" i="6"/>
  <c r="Q308" i="6"/>
  <c r="R308" i="6"/>
  <c r="R306" i="6" s="1"/>
  <c r="U306" i="6" s="1"/>
  <c r="S308" i="6"/>
  <c r="S305" i="6" s="1"/>
  <c r="Q309" i="6"/>
  <c r="T309" i="6" s="1"/>
  <c r="R309" i="6"/>
  <c r="U309" i="6" s="1"/>
  <c r="S309" i="6"/>
  <c r="O310" i="6"/>
  <c r="P310" i="6"/>
  <c r="T310" i="6"/>
  <c r="U310" i="6"/>
  <c r="L311" i="6"/>
  <c r="M311" i="6"/>
  <c r="N311" i="6"/>
  <c r="N309" i="6" s="1"/>
  <c r="T311" i="6"/>
  <c r="U311" i="6"/>
  <c r="I314" i="6"/>
  <c r="J319" i="6"/>
  <c r="R320" i="6"/>
  <c r="U320" i="6" s="1"/>
  <c r="L321" i="6"/>
  <c r="M321" i="6"/>
  <c r="P321" i="6" s="1"/>
  <c r="N321" i="6"/>
  <c r="Q321" i="6"/>
  <c r="T321" i="6" s="1"/>
  <c r="R321" i="6"/>
  <c r="S321" i="6"/>
  <c r="S320" i="6" s="1"/>
  <c r="U321" i="6"/>
  <c r="Q322" i="6"/>
  <c r="T322" i="6" s="1"/>
  <c r="R322" i="6"/>
  <c r="S322" i="6"/>
  <c r="U322" i="6"/>
  <c r="Q323" i="6"/>
  <c r="T323" i="6" s="1"/>
  <c r="R323" i="6"/>
  <c r="U323" i="6" s="1"/>
  <c r="S323" i="6"/>
  <c r="O324" i="6"/>
  <c r="P324" i="6"/>
  <c r="T324" i="6"/>
  <c r="U324" i="6"/>
  <c r="L325" i="6"/>
  <c r="M325" i="6"/>
  <c r="M323" i="6" s="1"/>
  <c r="P323" i="6" s="1"/>
  <c r="N325" i="6"/>
  <c r="T325" i="6"/>
  <c r="U325" i="6"/>
  <c r="Q326" i="6"/>
  <c r="T326" i="6" s="1"/>
  <c r="R326" i="6"/>
  <c r="U326" i="6" s="1"/>
  <c r="S326" i="6"/>
  <c r="O327" i="6"/>
  <c r="P327" i="6"/>
  <c r="T327" i="6"/>
  <c r="U327" i="6"/>
  <c r="L328" i="6"/>
  <c r="O328" i="6" s="1"/>
  <c r="M328" i="6"/>
  <c r="N328" i="6"/>
  <c r="N326" i="6" s="1"/>
  <c r="T328" i="6"/>
  <c r="U328" i="6"/>
  <c r="I330" i="6"/>
  <c r="K330" i="6" s="1"/>
  <c r="L334" i="6"/>
  <c r="O334" i="6" s="1"/>
  <c r="M334" i="6"/>
  <c r="N334" i="6"/>
  <c r="Q334" i="6"/>
  <c r="R334" i="6"/>
  <c r="U334" i="6" s="1"/>
  <c r="S334" i="6"/>
  <c r="T334" i="6"/>
  <c r="Q335" i="6"/>
  <c r="Q333" i="6" s="1"/>
  <c r="T333" i="6" s="1"/>
  <c r="R335" i="6"/>
  <c r="U335" i="6" s="1"/>
  <c r="S335" i="6"/>
  <c r="T335" i="6"/>
  <c r="Q336" i="6"/>
  <c r="T336" i="6" s="1"/>
  <c r="R336" i="6"/>
  <c r="U336" i="6" s="1"/>
  <c r="S336" i="6"/>
  <c r="O337" i="6"/>
  <c r="P337" i="6"/>
  <c r="T337" i="6"/>
  <c r="U337" i="6"/>
  <c r="L338" i="6"/>
  <c r="L336" i="6" s="1"/>
  <c r="M338" i="6"/>
  <c r="N338" i="6"/>
  <c r="T338" i="6"/>
  <c r="U338" i="6"/>
  <c r="Q339" i="6"/>
  <c r="R339" i="6"/>
  <c r="S339" i="6"/>
  <c r="T339" i="6"/>
  <c r="U339" i="6"/>
  <c r="O340" i="6"/>
  <c r="P340" i="6"/>
  <c r="T340" i="6"/>
  <c r="U340" i="6"/>
  <c r="L341" i="6"/>
  <c r="M341" i="6"/>
  <c r="N341" i="6"/>
  <c r="N339" i="6" s="1"/>
  <c r="T341" i="6"/>
  <c r="U341" i="6"/>
  <c r="I344" i="6"/>
  <c r="J344" i="6"/>
  <c r="I346" i="6"/>
  <c r="J346" i="6"/>
  <c r="J347" i="6"/>
  <c r="J348" i="6"/>
  <c r="J349" i="6"/>
  <c r="D350" i="6"/>
  <c r="J352" i="6"/>
  <c r="J353" i="6"/>
  <c r="J354" i="6"/>
  <c r="L357" i="6"/>
  <c r="O357" i="6" s="1"/>
  <c r="M357" i="6"/>
  <c r="N357" i="6"/>
  <c r="P357" i="6"/>
  <c r="Q357" i="6"/>
  <c r="R357" i="6"/>
  <c r="S357" i="6"/>
  <c r="S356" i="6" s="1"/>
  <c r="T357" i="6"/>
  <c r="Q358" i="6"/>
  <c r="R358" i="6"/>
  <c r="U358" i="6" s="1"/>
  <c r="S358" i="6"/>
  <c r="T358" i="6"/>
  <c r="Q359" i="6"/>
  <c r="T359" i="6" s="1"/>
  <c r="R359" i="6"/>
  <c r="U359" i="6" s="1"/>
  <c r="S359" i="6"/>
  <c r="O360" i="6"/>
  <c r="P360" i="6"/>
  <c r="T360" i="6"/>
  <c r="U360" i="6"/>
  <c r="L361" i="6"/>
  <c r="M361" i="6"/>
  <c r="N361" i="6"/>
  <c r="N359" i="6" s="1"/>
  <c r="T361" i="6"/>
  <c r="U361" i="6"/>
  <c r="Q362" i="6"/>
  <c r="T362" i="6" s="1"/>
  <c r="R362" i="6"/>
  <c r="U362" i="6" s="1"/>
  <c r="S362" i="6"/>
  <c r="O363" i="6"/>
  <c r="P363" i="6"/>
  <c r="T363" i="6"/>
  <c r="U363" i="6"/>
  <c r="L364" i="6"/>
  <c r="M364" i="6"/>
  <c r="P364" i="6" s="1"/>
  <c r="N364" i="6"/>
  <c r="N362" i="6" s="1"/>
  <c r="T364" i="6"/>
  <c r="U364" i="6"/>
  <c r="J367" i="6"/>
  <c r="K367" i="6"/>
  <c r="I368" i="6"/>
  <c r="J368" i="6"/>
  <c r="I369" i="6"/>
  <c r="J369" i="6"/>
  <c r="J370" i="6"/>
  <c r="K370" i="6"/>
  <c r="I371" i="6"/>
  <c r="J371" i="6"/>
  <c r="J365" i="6" s="1"/>
  <c r="J372" i="6"/>
  <c r="K372" i="6"/>
  <c r="D373" i="6"/>
  <c r="L376" i="6"/>
  <c r="O376" i="6" s="1"/>
  <c r="M376" i="6"/>
  <c r="P376" i="6" s="1"/>
  <c r="N376" i="6"/>
  <c r="Q376" i="6"/>
  <c r="R376" i="6"/>
  <c r="U376" i="6" s="1"/>
  <c r="S376" i="6"/>
  <c r="T376" i="6"/>
  <c r="O379" i="6"/>
  <c r="P379" i="6"/>
  <c r="T379" i="6"/>
  <c r="U379" i="6"/>
  <c r="L380" i="6"/>
  <c r="L378" i="6" s="1"/>
  <c r="O378" i="6" s="1"/>
  <c r="M380" i="6"/>
  <c r="N380" i="6"/>
  <c r="Q380" i="6"/>
  <c r="R380" i="6"/>
  <c r="R378" i="6" s="1"/>
  <c r="S380" i="6"/>
  <c r="S378" i="6" s="1"/>
  <c r="Q381" i="6"/>
  <c r="T381" i="6" s="1"/>
  <c r="R381" i="6"/>
  <c r="S381" i="6"/>
  <c r="U381" i="6"/>
  <c r="O382" i="6"/>
  <c r="P382" i="6"/>
  <c r="T382" i="6"/>
  <c r="U382" i="6"/>
  <c r="L383" i="6"/>
  <c r="L381" i="6" s="1"/>
  <c r="O381" i="6" s="1"/>
  <c r="M383" i="6"/>
  <c r="M381" i="6" s="1"/>
  <c r="P381" i="6" s="1"/>
  <c r="N383" i="6"/>
  <c r="N381" i="6" s="1"/>
  <c r="T383" i="6"/>
  <c r="U383" i="6"/>
  <c r="J385" i="6"/>
  <c r="K385" i="6"/>
  <c r="I386" i="6"/>
  <c r="J386" i="6"/>
  <c r="J387" i="6"/>
  <c r="K387" i="6"/>
  <c r="I388" i="6"/>
  <c r="K388" i="6" s="1"/>
  <c r="J388" i="6"/>
  <c r="I391" i="6"/>
  <c r="K391" i="6" s="1"/>
  <c r="J391" i="6"/>
  <c r="L393" i="6"/>
  <c r="O393" i="6" s="1"/>
  <c r="M393" i="6"/>
  <c r="N393" i="6"/>
  <c r="N392" i="6" s="1"/>
  <c r="Q393" i="6"/>
  <c r="R393" i="6"/>
  <c r="S393" i="6"/>
  <c r="T393" i="6"/>
  <c r="L394" i="6"/>
  <c r="O394" i="6" s="1"/>
  <c r="M394" i="6"/>
  <c r="N394" i="6"/>
  <c r="P394" i="6"/>
  <c r="L395" i="6"/>
  <c r="O395" i="6" s="1"/>
  <c r="M395" i="6"/>
  <c r="P395" i="6" s="1"/>
  <c r="N395" i="6"/>
  <c r="O396" i="6"/>
  <c r="P396" i="6"/>
  <c r="T396" i="6"/>
  <c r="U396" i="6"/>
  <c r="O397" i="6"/>
  <c r="P397" i="6"/>
  <c r="Q397" i="6"/>
  <c r="Q394" i="6" s="1"/>
  <c r="T394" i="6" s="1"/>
  <c r="R397" i="6"/>
  <c r="R394" i="6" s="1"/>
  <c r="U394" i="6" s="1"/>
  <c r="S397" i="6"/>
  <c r="S394" i="6" s="1"/>
  <c r="L398" i="6"/>
  <c r="O398" i="6" s="1"/>
  <c r="M398" i="6"/>
  <c r="N398" i="6"/>
  <c r="P398" i="6"/>
  <c r="Q398" i="6"/>
  <c r="T398" i="6" s="1"/>
  <c r="R398" i="6"/>
  <c r="U398" i="6" s="1"/>
  <c r="S398" i="6"/>
  <c r="O399" i="6"/>
  <c r="P399" i="6"/>
  <c r="T399" i="6"/>
  <c r="U399" i="6"/>
  <c r="O400" i="6"/>
  <c r="P400" i="6"/>
  <c r="T400" i="6"/>
  <c r="U400" i="6"/>
  <c r="L414" i="6"/>
  <c r="O414" i="6" s="1"/>
  <c r="M414" i="6"/>
  <c r="N414" i="6"/>
  <c r="P414" i="6"/>
  <c r="Q414" i="6"/>
  <c r="R414" i="6"/>
  <c r="S414" i="6"/>
  <c r="T414" i="6"/>
  <c r="O417" i="6"/>
  <c r="P417" i="6"/>
  <c r="T417" i="6"/>
  <c r="U417" i="6"/>
  <c r="L418" i="6"/>
  <c r="M418" i="6"/>
  <c r="M416" i="6" s="1"/>
  <c r="N418" i="6"/>
  <c r="N416" i="6" s="1"/>
  <c r="Q418" i="6"/>
  <c r="R418" i="6"/>
  <c r="R415" i="6" s="1"/>
  <c r="S418" i="6"/>
  <c r="Q419" i="6"/>
  <c r="T419" i="6" s="1"/>
  <c r="R419" i="6"/>
  <c r="U419" i="6" s="1"/>
  <c r="S419" i="6"/>
  <c r="O420" i="6"/>
  <c r="P420" i="6"/>
  <c r="T420" i="6"/>
  <c r="U420" i="6"/>
  <c r="L421" i="6"/>
  <c r="L419" i="6" s="1"/>
  <c r="O419" i="6" s="1"/>
  <c r="M421" i="6"/>
  <c r="N421" i="6"/>
  <c r="N419" i="6" s="1"/>
  <c r="T421" i="6"/>
  <c r="U421" i="6"/>
  <c r="I424" i="6"/>
  <c r="J424" i="6"/>
  <c r="I425" i="6"/>
  <c r="K425" i="6" s="1"/>
  <c r="J425" i="6"/>
  <c r="I432" i="6"/>
  <c r="J432" i="6"/>
  <c r="I433" i="6"/>
  <c r="K433" i="6" s="1"/>
  <c r="J433" i="6"/>
  <c r="I440" i="6"/>
  <c r="I423" i="6" s="1"/>
  <c r="I412" i="6" s="1"/>
  <c r="I441" i="6"/>
  <c r="J446" i="6"/>
  <c r="J440" i="6" s="1"/>
  <c r="J447" i="6"/>
  <c r="J441" i="6" s="1"/>
  <c r="I457" i="6"/>
  <c r="K457" i="6" s="1"/>
  <c r="I458" i="6"/>
  <c r="K458" i="6" s="1"/>
  <c r="J459" i="6"/>
  <c r="J460" i="6"/>
  <c r="J458" i="6" s="1"/>
  <c r="J467" i="6"/>
  <c r="J468" i="6"/>
  <c r="J475" i="6"/>
  <c r="K475" i="6"/>
  <c r="J476" i="6"/>
  <c r="K476" i="6"/>
  <c r="J477" i="6"/>
  <c r="K477" i="6"/>
  <c r="J482" i="6"/>
  <c r="J483" i="6"/>
  <c r="I484" i="6"/>
  <c r="K484" i="6" s="1"/>
  <c r="J484" i="6"/>
  <c r="I485" i="6"/>
  <c r="J485" i="6"/>
  <c r="K485" i="6"/>
  <c r="L494" i="6"/>
  <c r="O494" i="6" s="1"/>
  <c r="M494" i="6"/>
  <c r="N494" i="6"/>
  <c r="P494" i="6"/>
  <c r="Q494" i="6"/>
  <c r="R494" i="6"/>
  <c r="S494" i="6"/>
  <c r="T494" i="6"/>
  <c r="O497" i="6"/>
  <c r="P497" i="6"/>
  <c r="T497" i="6"/>
  <c r="U497" i="6"/>
  <c r="L498" i="6"/>
  <c r="L496" i="6" s="1"/>
  <c r="O496" i="6" s="1"/>
  <c r="M498" i="6"/>
  <c r="M496" i="6" s="1"/>
  <c r="P496" i="6" s="1"/>
  <c r="N498" i="6"/>
  <c r="N496" i="6" s="1"/>
  <c r="Q498" i="6"/>
  <c r="R498" i="6"/>
  <c r="S498" i="6"/>
  <c r="S496" i="6" s="1"/>
  <c r="Q499" i="6"/>
  <c r="R499" i="6"/>
  <c r="U499" i="6" s="1"/>
  <c r="S499" i="6"/>
  <c r="T499" i="6"/>
  <c r="O500" i="6"/>
  <c r="P500" i="6"/>
  <c r="T500" i="6"/>
  <c r="U500" i="6"/>
  <c r="L501" i="6"/>
  <c r="M501" i="6"/>
  <c r="N501" i="6"/>
  <c r="N499" i="6" s="1"/>
  <c r="T501" i="6"/>
  <c r="U501" i="6"/>
  <c r="I503" i="6"/>
  <c r="I492" i="6" s="1"/>
  <c r="K492" i="6" s="1"/>
  <c r="I504" i="6"/>
  <c r="I505" i="6"/>
  <c r="K505" i="6" s="1"/>
  <c r="I506" i="6"/>
  <c r="K506" i="6" s="1"/>
  <c r="I507" i="6"/>
  <c r="K507" i="6" s="1"/>
  <c r="K508" i="6"/>
  <c r="I509" i="6"/>
  <c r="K509" i="6" s="1"/>
  <c r="I512" i="6"/>
  <c r="K512" i="6" s="1"/>
  <c r="J512" i="6"/>
  <c r="L514" i="6"/>
  <c r="M514" i="6"/>
  <c r="P514" i="6" s="1"/>
  <c r="N514" i="6"/>
  <c r="Q514" i="6"/>
  <c r="R514" i="6"/>
  <c r="U514" i="6" s="1"/>
  <c r="S514" i="6"/>
  <c r="S513" i="6" s="1"/>
  <c r="T514" i="6"/>
  <c r="Q515" i="6"/>
  <c r="T515" i="6" s="1"/>
  <c r="R515" i="6"/>
  <c r="U515" i="6" s="1"/>
  <c r="S515" i="6"/>
  <c r="Q516" i="6"/>
  <c r="R516" i="6"/>
  <c r="U516" i="6" s="1"/>
  <c r="S516" i="6"/>
  <c r="T516" i="6"/>
  <c r="O517" i="6"/>
  <c r="P517" i="6"/>
  <c r="T517" i="6"/>
  <c r="U517" i="6"/>
  <c r="L518" i="6"/>
  <c r="L516" i="6" s="1"/>
  <c r="O516" i="6" s="1"/>
  <c r="M518" i="6"/>
  <c r="P518" i="6" s="1"/>
  <c r="N518" i="6"/>
  <c r="N516" i="6" s="1"/>
  <c r="T518" i="6"/>
  <c r="U518" i="6"/>
  <c r="Q519" i="6"/>
  <c r="T519" i="6" s="1"/>
  <c r="R519" i="6"/>
  <c r="S519" i="6"/>
  <c r="U519" i="6"/>
  <c r="O520" i="6"/>
  <c r="P520" i="6"/>
  <c r="T520" i="6"/>
  <c r="U520" i="6"/>
  <c r="L521" i="6"/>
  <c r="L519" i="6" s="1"/>
  <c r="O519" i="6" s="1"/>
  <c r="M521" i="6"/>
  <c r="N521" i="6"/>
  <c r="N519" i="6" s="1"/>
  <c r="T521" i="6"/>
  <c r="U521" i="6"/>
  <c r="K523" i="6"/>
  <c r="K524" i="6"/>
  <c r="I533" i="6"/>
  <c r="J533" i="6"/>
  <c r="K533" i="6"/>
  <c r="L535" i="6"/>
  <c r="M535" i="6"/>
  <c r="P535" i="6" s="1"/>
  <c r="N535" i="6"/>
  <c r="O535" i="6"/>
  <c r="Q535" i="6"/>
  <c r="T535" i="6" s="1"/>
  <c r="R535" i="6"/>
  <c r="S535" i="6"/>
  <c r="S534" i="6" s="1"/>
  <c r="U535" i="6"/>
  <c r="Q536" i="6"/>
  <c r="R536" i="6"/>
  <c r="U536" i="6" s="1"/>
  <c r="S536" i="6"/>
  <c r="Q537" i="6"/>
  <c r="T537" i="6" s="1"/>
  <c r="R537" i="6"/>
  <c r="U537" i="6" s="1"/>
  <c r="S537" i="6"/>
  <c r="O538" i="6"/>
  <c r="P538" i="6"/>
  <c r="T538" i="6"/>
  <c r="U538" i="6"/>
  <c r="L539" i="6"/>
  <c r="O539" i="6" s="1"/>
  <c r="M539" i="6"/>
  <c r="M537" i="6" s="1"/>
  <c r="P537" i="6" s="1"/>
  <c r="N539" i="6"/>
  <c r="N537" i="6" s="1"/>
  <c r="T539" i="6"/>
  <c r="U539" i="6"/>
  <c r="Q540" i="6"/>
  <c r="R540" i="6"/>
  <c r="U540" i="6" s="1"/>
  <c r="S540" i="6"/>
  <c r="T540" i="6"/>
  <c r="O541" i="6"/>
  <c r="P541" i="6"/>
  <c r="T541" i="6"/>
  <c r="U541" i="6"/>
  <c r="L542" i="6"/>
  <c r="O542" i="6" s="1"/>
  <c r="M542" i="6"/>
  <c r="N542" i="6"/>
  <c r="N540" i="6" s="1"/>
  <c r="T542" i="6"/>
  <c r="U542" i="6"/>
  <c r="I554" i="6"/>
  <c r="K554" i="6" s="1"/>
  <c r="J554" i="6"/>
  <c r="L556" i="6"/>
  <c r="M556" i="6"/>
  <c r="N556" i="6"/>
  <c r="Q556" i="6"/>
  <c r="Q555" i="6" s="1"/>
  <c r="T555" i="6" s="1"/>
  <c r="R556" i="6"/>
  <c r="S556" i="6"/>
  <c r="T556" i="6"/>
  <c r="Q557" i="6"/>
  <c r="T557" i="6" s="1"/>
  <c r="R557" i="6"/>
  <c r="U557" i="6" s="1"/>
  <c r="S557" i="6"/>
  <c r="Q558" i="6"/>
  <c r="T558" i="6" s="1"/>
  <c r="R558" i="6"/>
  <c r="U558" i="6" s="1"/>
  <c r="S558" i="6"/>
  <c r="O559" i="6"/>
  <c r="P559" i="6"/>
  <c r="T559" i="6"/>
  <c r="U559" i="6"/>
  <c r="L560" i="6"/>
  <c r="O560" i="6" s="1"/>
  <c r="M560" i="6"/>
  <c r="N560" i="6"/>
  <c r="N558" i="6" s="1"/>
  <c r="T560" i="6"/>
  <c r="U560" i="6"/>
  <c r="Q561" i="6"/>
  <c r="T561" i="6" s="1"/>
  <c r="R561" i="6"/>
  <c r="U561" i="6" s="1"/>
  <c r="S561" i="6"/>
  <c r="O562" i="6"/>
  <c r="P562" i="6"/>
  <c r="T562" i="6"/>
  <c r="U562" i="6"/>
  <c r="L563" i="6"/>
  <c r="L561" i="6" s="1"/>
  <c r="O561" i="6" s="1"/>
  <c r="M563" i="6"/>
  <c r="P563" i="6" s="1"/>
  <c r="N563" i="6"/>
  <c r="N561" i="6" s="1"/>
  <c r="T563" i="6"/>
  <c r="U563" i="6"/>
  <c r="I575" i="6"/>
  <c r="J575" i="6"/>
  <c r="K575" i="6"/>
  <c r="L577" i="6"/>
  <c r="M577" i="6"/>
  <c r="P577" i="6" s="1"/>
  <c r="N577" i="6"/>
  <c r="Q577" i="6"/>
  <c r="T577" i="6" s="1"/>
  <c r="R577" i="6"/>
  <c r="S577" i="6"/>
  <c r="S576" i="6" s="1"/>
  <c r="U577" i="6"/>
  <c r="Q578" i="6"/>
  <c r="R578" i="6"/>
  <c r="S578" i="6"/>
  <c r="U578" i="6"/>
  <c r="Q579" i="6"/>
  <c r="R579" i="6"/>
  <c r="S579" i="6"/>
  <c r="T579" i="6"/>
  <c r="U579" i="6"/>
  <c r="O580" i="6"/>
  <c r="P580" i="6"/>
  <c r="T580" i="6"/>
  <c r="U580" i="6"/>
  <c r="L581" i="6"/>
  <c r="M581" i="6"/>
  <c r="N581" i="6"/>
  <c r="N579" i="6" s="1"/>
  <c r="T581" i="6"/>
  <c r="U581" i="6"/>
  <c r="Q582" i="6"/>
  <c r="T582" i="6" s="1"/>
  <c r="R582" i="6"/>
  <c r="U582" i="6" s="1"/>
  <c r="S582" i="6"/>
  <c r="O583" i="6"/>
  <c r="P583" i="6"/>
  <c r="T583" i="6"/>
  <c r="U583" i="6"/>
  <c r="L584" i="6"/>
  <c r="M584" i="6"/>
  <c r="M582" i="6" s="1"/>
  <c r="P582" i="6" s="1"/>
  <c r="N584" i="6"/>
  <c r="N582" i="6" s="1"/>
  <c r="T584" i="6"/>
  <c r="U584" i="6"/>
  <c r="L600" i="6"/>
  <c r="M600" i="6"/>
  <c r="N600" i="6"/>
  <c r="O600" i="6"/>
  <c r="P600" i="6"/>
  <c r="Q600" i="6"/>
  <c r="T600" i="6" s="1"/>
  <c r="R600" i="6"/>
  <c r="U600" i="6" s="1"/>
  <c r="S600" i="6"/>
  <c r="O603" i="6"/>
  <c r="P603" i="6"/>
  <c r="T603" i="6"/>
  <c r="U603" i="6"/>
  <c r="L604" i="6"/>
  <c r="M604" i="6"/>
  <c r="M602" i="6" s="1"/>
  <c r="N604" i="6"/>
  <c r="N602" i="6" s="1"/>
  <c r="Q604" i="6"/>
  <c r="R604" i="6"/>
  <c r="S604" i="6"/>
  <c r="O606" i="6"/>
  <c r="P606" i="6"/>
  <c r="T606" i="6"/>
  <c r="U606" i="6"/>
  <c r="L607" i="6"/>
  <c r="O607" i="6" s="1"/>
  <c r="M607" i="6"/>
  <c r="N607" i="6"/>
  <c r="N605" i="6" s="1"/>
  <c r="Q607" i="6"/>
  <c r="R607" i="6"/>
  <c r="U607" i="6" s="1"/>
  <c r="S607" i="6"/>
  <c r="S605" i="6" s="1"/>
  <c r="L617" i="6"/>
  <c r="M617" i="6"/>
  <c r="N617" i="6"/>
  <c r="Q617" i="6"/>
  <c r="T617" i="6" s="1"/>
  <c r="R617" i="6"/>
  <c r="S617" i="6"/>
  <c r="L618" i="6"/>
  <c r="M618" i="6"/>
  <c r="P618" i="6" s="1"/>
  <c r="N618" i="6"/>
  <c r="N616" i="6" s="1"/>
  <c r="O618" i="6"/>
  <c r="L619" i="6"/>
  <c r="O619" i="6" s="1"/>
  <c r="M619" i="6"/>
  <c r="N619" i="6"/>
  <c r="P619" i="6"/>
  <c r="O620" i="6"/>
  <c r="P620" i="6"/>
  <c r="T620" i="6"/>
  <c r="U620" i="6"/>
  <c r="O621" i="6"/>
  <c r="P621" i="6"/>
  <c r="Q621" i="6"/>
  <c r="R621" i="6"/>
  <c r="R619" i="6" s="1"/>
  <c r="S621" i="6"/>
  <c r="S619" i="6" s="1"/>
  <c r="L622" i="6"/>
  <c r="M622" i="6"/>
  <c r="P622" i="6" s="1"/>
  <c r="N622" i="6"/>
  <c r="O622" i="6"/>
  <c r="Q622" i="6"/>
  <c r="R622" i="6"/>
  <c r="S622" i="6"/>
  <c r="T622" i="6"/>
  <c r="U622" i="6"/>
  <c r="O623" i="6"/>
  <c r="P623" i="6"/>
  <c r="T623" i="6"/>
  <c r="U623" i="6"/>
  <c r="O624" i="6"/>
  <c r="P624" i="6"/>
  <c r="T624" i="6"/>
  <c r="U624" i="6"/>
  <c r="I626" i="6"/>
  <c r="I615" i="6" s="1"/>
  <c r="I627" i="6"/>
  <c r="K627" i="6" s="1"/>
  <c r="I628" i="6"/>
  <c r="K628" i="6" s="1"/>
  <c r="J632" i="6"/>
  <c r="J626" i="6" s="1"/>
  <c r="I635" i="6"/>
  <c r="K635" i="6" s="1"/>
  <c r="J635" i="6"/>
  <c r="J636" i="6"/>
  <c r="L643" i="6"/>
  <c r="M643" i="6"/>
  <c r="P643" i="6" s="1"/>
  <c r="N643" i="6"/>
  <c r="Q643" i="6"/>
  <c r="R643" i="6"/>
  <c r="S643" i="6"/>
  <c r="L644" i="6"/>
  <c r="O644" i="6" s="1"/>
  <c r="M644" i="6"/>
  <c r="N644" i="6"/>
  <c r="L645" i="6"/>
  <c r="M645" i="6"/>
  <c r="P645" i="6" s="1"/>
  <c r="N645" i="6"/>
  <c r="O645" i="6"/>
  <c r="O646" i="6"/>
  <c r="P646" i="6"/>
  <c r="T646" i="6"/>
  <c r="U646" i="6"/>
  <c r="O647" i="6"/>
  <c r="P647" i="6"/>
  <c r="Q647" i="6"/>
  <c r="Q645" i="6" s="1"/>
  <c r="T645" i="6" s="1"/>
  <c r="R647" i="6"/>
  <c r="R645" i="6" s="1"/>
  <c r="U645" i="6" s="1"/>
  <c r="S647" i="6"/>
  <c r="L648" i="6"/>
  <c r="O648" i="6" s="1"/>
  <c r="M648" i="6"/>
  <c r="P648" i="6" s="1"/>
  <c r="N648" i="6"/>
  <c r="Q648" i="6"/>
  <c r="R648" i="6"/>
  <c r="U648" i="6" s="1"/>
  <c r="S648" i="6"/>
  <c r="T648" i="6"/>
  <c r="O649" i="6"/>
  <c r="P649" i="6"/>
  <c r="T649" i="6"/>
  <c r="U649" i="6"/>
  <c r="O650" i="6"/>
  <c r="P650" i="6"/>
  <c r="T650" i="6"/>
  <c r="U650" i="6"/>
  <c r="I652" i="6"/>
  <c r="K652" i="6" s="1"/>
  <c r="J652" i="6"/>
  <c r="I653" i="6"/>
  <c r="K653" i="6" s="1"/>
  <c r="J653" i="6"/>
  <c r="I654" i="6"/>
  <c r="K654" i="6" s="1"/>
  <c r="J654" i="6"/>
  <c r="I657" i="6"/>
  <c r="I660" i="6"/>
  <c r="I661" i="6"/>
  <c r="K661" i="6" s="1"/>
  <c r="J661" i="6"/>
  <c r="J671" i="6"/>
  <c r="J672" i="6"/>
  <c r="I673" i="6"/>
  <c r="K673" i="6" s="1"/>
  <c r="J673" i="6"/>
  <c r="I674" i="6"/>
  <c r="K674" i="6" s="1"/>
  <c r="I675" i="6"/>
  <c r="K675" i="6" s="1"/>
  <c r="I676" i="6"/>
  <c r="K676" i="6" s="1"/>
  <c r="J676" i="6"/>
  <c r="J677" i="6"/>
  <c r="I678" i="6"/>
  <c r="K678" i="6" s="1"/>
  <c r="J678" i="6"/>
  <c r="I679" i="6"/>
  <c r="K679" i="6" s="1"/>
  <c r="J679" i="6"/>
  <c r="J680" i="6"/>
  <c r="I681" i="6"/>
  <c r="K681" i="6" s="1"/>
  <c r="J681" i="6"/>
  <c r="I682" i="6"/>
  <c r="K682" i="6" s="1"/>
  <c r="J682" i="6"/>
  <c r="L691" i="6"/>
  <c r="M691" i="6"/>
  <c r="P691" i="6" s="1"/>
  <c r="N691" i="6"/>
  <c r="Q691" i="6"/>
  <c r="R691" i="6"/>
  <c r="S691" i="6"/>
  <c r="L692" i="6"/>
  <c r="M692" i="6"/>
  <c r="N692" i="6"/>
  <c r="O692" i="6"/>
  <c r="L693" i="6"/>
  <c r="M693" i="6"/>
  <c r="N693" i="6"/>
  <c r="O693" i="6"/>
  <c r="P693" i="6"/>
  <c r="O694" i="6"/>
  <c r="P694" i="6"/>
  <c r="T694" i="6"/>
  <c r="U694" i="6"/>
  <c r="O695" i="6"/>
  <c r="P695" i="6"/>
  <c r="Q695" i="6"/>
  <c r="Q693" i="6" s="1"/>
  <c r="T693" i="6" s="1"/>
  <c r="R695" i="6"/>
  <c r="R693" i="6" s="1"/>
  <c r="U693" i="6" s="1"/>
  <c r="S695" i="6"/>
  <c r="L696" i="6"/>
  <c r="O696" i="6" s="1"/>
  <c r="M696" i="6"/>
  <c r="P696" i="6" s="1"/>
  <c r="N696" i="6"/>
  <c r="Q696" i="6"/>
  <c r="R696" i="6"/>
  <c r="U696" i="6" s="1"/>
  <c r="S696" i="6"/>
  <c r="T696" i="6"/>
  <c r="O697" i="6"/>
  <c r="P697" i="6"/>
  <c r="T697" i="6"/>
  <c r="U697" i="6"/>
  <c r="O698" i="6"/>
  <c r="P698" i="6"/>
  <c r="T698" i="6"/>
  <c r="U698" i="6"/>
  <c r="I700" i="6"/>
  <c r="K700" i="6" s="1"/>
  <c r="K702" i="6"/>
  <c r="I703" i="6"/>
  <c r="J703" i="6"/>
  <c r="J704" i="6"/>
  <c r="K704" i="6"/>
  <c r="I705" i="6"/>
  <c r="K705" i="6" s="1"/>
  <c r="J705" i="6"/>
  <c r="J706" i="6"/>
  <c r="K706" i="6"/>
  <c r="I707" i="6"/>
  <c r="K707" i="6" s="1"/>
  <c r="J707" i="6"/>
  <c r="J689" i="6" s="1"/>
  <c r="J708" i="6"/>
  <c r="K708" i="6"/>
  <c r="I709" i="6"/>
  <c r="K709" i="6" s="1"/>
  <c r="J709" i="6"/>
  <c r="J710" i="6"/>
  <c r="K710" i="6"/>
  <c r="J712" i="6"/>
  <c r="K712" i="6"/>
  <c r="N714" i="6"/>
  <c r="L715" i="6"/>
  <c r="M715" i="6"/>
  <c r="N715" i="6"/>
  <c r="O715" i="6"/>
  <c r="P715" i="6"/>
  <c r="Q715" i="6"/>
  <c r="T715" i="6" s="1"/>
  <c r="R715" i="6"/>
  <c r="R714" i="6" s="1"/>
  <c r="U714" i="6" s="1"/>
  <c r="S715" i="6"/>
  <c r="S714" i="6" s="1"/>
  <c r="L716" i="6"/>
  <c r="O716" i="6" s="1"/>
  <c r="M716" i="6"/>
  <c r="P716" i="6" s="1"/>
  <c r="N716" i="6"/>
  <c r="Q716" i="6"/>
  <c r="R716" i="6"/>
  <c r="U716" i="6" s="1"/>
  <c r="S716" i="6"/>
  <c r="L717" i="6"/>
  <c r="O717" i="6" s="1"/>
  <c r="M717" i="6"/>
  <c r="P717" i="6" s="1"/>
  <c r="N717" i="6"/>
  <c r="Q717" i="6"/>
  <c r="R717" i="6"/>
  <c r="S717" i="6"/>
  <c r="T717" i="6"/>
  <c r="U717" i="6"/>
  <c r="O718" i="6"/>
  <c r="P718" i="6"/>
  <c r="T718" i="6"/>
  <c r="U718" i="6"/>
  <c r="O719" i="6"/>
  <c r="P719" i="6"/>
  <c r="T719" i="6"/>
  <c r="U719" i="6"/>
  <c r="L720" i="6"/>
  <c r="M720" i="6"/>
  <c r="P720" i="6" s="1"/>
  <c r="N720" i="6"/>
  <c r="O720" i="6"/>
  <c r="Q720" i="6"/>
  <c r="R720" i="6"/>
  <c r="S720" i="6"/>
  <c r="T720" i="6"/>
  <c r="U720" i="6"/>
  <c r="O721" i="6"/>
  <c r="P721" i="6"/>
  <c r="T721" i="6"/>
  <c r="U721" i="6"/>
  <c r="O722" i="6"/>
  <c r="P722" i="6"/>
  <c r="T722" i="6"/>
  <c r="U722" i="6"/>
  <c r="I726" i="6"/>
  <c r="J726" i="6"/>
  <c r="I727" i="6"/>
  <c r="J727" i="6"/>
  <c r="L729" i="6"/>
  <c r="M729" i="6"/>
  <c r="N729" i="6"/>
  <c r="N728" i="6" s="1"/>
  <c r="Q729" i="6"/>
  <c r="T729" i="6" s="1"/>
  <c r="R729" i="6"/>
  <c r="S729" i="6"/>
  <c r="L730" i="6"/>
  <c r="O730" i="6" s="1"/>
  <c r="M730" i="6"/>
  <c r="P730" i="6" s="1"/>
  <c r="N730" i="6"/>
  <c r="L731" i="6"/>
  <c r="M731" i="6"/>
  <c r="P731" i="6" s="1"/>
  <c r="N731" i="6"/>
  <c r="O731" i="6"/>
  <c r="O732" i="6"/>
  <c r="P732" i="6"/>
  <c r="T732" i="6"/>
  <c r="U732" i="6"/>
  <c r="O733" i="6"/>
  <c r="P733" i="6"/>
  <c r="Q733" i="6"/>
  <c r="Q730" i="6" s="1"/>
  <c r="R733" i="6"/>
  <c r="R731" i="6" s="1"/>
  <c r="S733" i="6"/>
  <c r="S730" i="6" s="1"/>
  <c r="L734" i="6"/>
  <c r="O734" i="6" s="1"/>
  <c r="M734" i="6"/>
  <c r="P734" i="6" s="1"/>
  <c r="N734" i="6"/>
  <c r="Q734" i="6"/>
  <c r="T734" i="6" s="1"/>
  <c r="R734" i="6"/>
  <c r="U734" i="6" s="1"/>
  <c r="S734" i="6"/>
  <c r="O735" i="6"/>
  <c r="P735" i="6"/>
  <c r="T735" i="6"/>
  <c r="U735" i="6"/>
  <c r="O736" i="6"/>
  <c r="P736" i="6"/>
  <c r="T736" i="6"/>
  <c r="U736" i="6"/>
  <c r="I740" i="6"/>
  <c r="K740" i="6" s="1"/>
  <c r="I742" i="6"/>
  <c r="K742" i="6" s="1"/>
  <c r="I744" i="6"/>
  <c r="K744" i="6" s="1"/>
  <c r="I746" i="6"/>
  <c r="K746" i="6" s="1"/>
  <c r="I749" i="6"/>
  <c r="K749" i="6" s="1"/>
  <c r="I752" i="6"/>
  <c r="K752" i="6" s="1"/>
  <c r="I755" i="6"/>
  <c r="K755" i="6" s="1"/>
  <c r="J758" i="6"/>
  <c r="J759" i="6"/>
  <c r="L761" i="6"/>
  <c r="O761" i="6" s="1"/>
  <c r="M761" i="6"/>
  <c r="N761" i="6"/>
  <c r="Q761" i="6"/>
  <c r="R761" i="6"/>
  <c r="U761" i="6" s="1"/>
  <c r="S761" i="6"/>
  <c r="L762" i="6"/>
  <c r="M762" i="6"/>
  <c r="P762" i="6" s="1"/>
  <c r="N762" i="6"/>
  <c r="N760" i="6" s="1"/>
  <c r="L763" i="6"/>
  <c r="M763" i="6"/>
  <c r="N763" i="6"/>
  <c r="O763" i="6"/>
  <c r="P763" i="6"/>
  <c r="O764" i="6"/>
  <c r="P764" i="6"/>
  <c r="T764" i="6"/>
  <c r="U764" i="6"/>
  <c r="O765" i="6"/>
  <c r="P765" i="6"/>
  <c r="Q765" i="6"/>
  <c r="Q763" i="6" s="1"/>
  <c r="T763" i="6" s="1"/>
  <c r="R765" i="6"/>
  <c r="S765" i="6"/>
  <c r="S763" i="6" s="1"/>
  <c r="L766" i="6"/>
  <c r="O766" i="6" s="1"/>
  <c r="M766" i="6"/>
  <c r="P766" i="6" s="1"/>
  <c r="N766" i="6"/>
  <c r="Q766" i="6"/>
  <c r="T766" i="6" s="1"/>
  <c r="R766" i="6"/>
  <c r="U766" i="6" s="1"/>
  <c r="S766" i="6"/>
  <c r="O767" i="6"/>
  <c r="P767" i="6"/>
  <c r="T767" i="6"/>
  <c r="U767" i="6"/>
  <c r="O768" i="6"/>
  <c r="P768" i="6"/>
  <c r="T768" i="6"/>
  <c r="U768" i="6"/>
  <c r="I770" i="6"/>
  <c r="K770" i="6" s="1"/>
  <c r="I772" i="6"/>
  <c r="K772" i="6" s="1"/>
  <c r="I774" i="6"/>
  <c r="I759" i="6" s="1"/>
  <c r="K759" i="6" s="1"/>
  <c r="I775" i="6"/>
  <c r="I776" i="6"/>
  <c r="H777" i="6"/>
  <c r="I778" i="6"/>
  <c r="J778" i="6"/>
  <c r="I779" i="6"/>
  <c r="J779" i="6"/>
  <c r="I780" i="6"/>
  <c r="J780" i="6"/>
  <c r="I781" i="6"/>
  <c r="J781" i="6"/>
  <c r="I782" i="6"/>
  <c r="J782" i="6"/>
  <c r="I783" i="6"/>
  <c r="J783" i="6"/>
  <c r="I784" i="6"/>
  <c r="J784" i="6"/>
  <c r="I785" i="6"/>
  <c r="J785" i="6"/>
  <c r="A788" i="6"/>
  <c r="A789" i="6"/>
  <c r="M19" i="5"/>
  <c r="L22" i="5"/>
  <c r="L19" i="5" s="1"/>
  <c r="M22" i="5"/>
  <c r="N22" i="5"/>
  <c r="Q22" i="5"/>
  <c r="R22" i="5"/>
  <c r="S22" i="5"/>
  <c r="L25" i="5"/>
  <c r="M25" i="5"/>
  <c r="N25" i="5"/>
  <c r="Q25" i="5"/>
  <c r="T25" i="5" s="1"/>
  <c r="R25" i="5"/>
  <c r="S25" i="5"/>
  <c r="L45" i="5"/>
  <c r="M45" i="5"/>
  <c r="N45" i="5"/>
  <c r="Q45" i="5"/>
  <c r="Q44" i="5" s="1"/>
  <c r="T44" i="5" s="1"/>
  <c r="R45" i="5"/>
  <c r="U45" i="5" s="1"/>
  <c r="S45" i="5"/>
  <c r="T45" i="5"/>
  <c r="Q46" i="5"/>
  <c r="T46" i="5" s="1"/>
  <c r="R46" i="5"/>
  <c r="U46" i="5" s="1"/>
  <c r="S46" i="5"/>
  <c r="Q47" i="5"/>
  <c r="T47" i="5" s="1"/>
  <c r="R47" i="5"/>
  <c r="U47" i="5" s="1"/>
  <c r="S47" i="5"/>
  <c r="O48" i="5"/>
  <c r="P48" i="5"/>
  <c r="T48" i="5"/>
  <c r="U48" i="5"/>
  <c r="L49" i="5"/>
  <c r="L47" i="5" s="1"/>
  <c r="M49" i="5"/>
  <c r="N49" i="5"/>
  <c r="N47" i="5" s="1"/>
  <c r="T49" i="5"/>
  <c r="U49" i="5"/>
  <c r="Q50" i="5"/>
  <c r="R50" i="5"/>
  <c r="U50" i="5" s="1"/>
  <c r="S50" i="5"/>
  <c r="T50" i="5"/>
  <c r="O51" i="5"/>
  <c r="P51" i="5"/>
  <c r="T51" i="5"/>
  <c r="U51" i="5"/>
  <c r="L52" i="5"/>
  <c r="M52" i="5"/>
  <c r="P52" i="5" s="1"/>
  <c r="N52" i="5"/>
  <c r="N50" i="5" s="1"/>
  <c r="T52" i="5"/>
  <c r="U52" i="5"/>
  <c r="Q59" i="5"/>
  <c r="T59" i="5" s="1"/>
  <c r="L60" i="5"/>
  <c r="M60" i="5"/>
  <c r="N60" i="5"/>
  <c r="Q60" i="5"/>
  <c r="R60" i="5"/>
  <c r="U60" i="5" s="1"/>
  <c r="S60" i="5"/>
  <c r="T60" i="5"/>
  <c r="Q61" i="5"/>
  <c r="R61" i="5"/>
  <c r="S61" i="5"/>
  <c r="T61" i="5"/>
  <c r="U61" i="5"/>
  <c r="Q62" i="5"/>
  <c r="T62" i="5" s="1"/>
  <c r="R62" i="5"/>
  <c r="U62" i="5" s="1"/>
  <c r="S62" i="5"/>
  <c r="O63" i="5"/>
  <c r="P63" i="5"/>
  <c r="T63" i="5"/>
  <c r="U63" i="5"/>
  <c r="L64" i="5"/>
  <c r="M64" i="5"/>
  <c r="N64" i="5"/>
  <c r="T64" i="5"/>
  <c r="U64" i="5"/>
  <c r="Q65" i="5"/>
  <c r="T65" i="5" s="1"/>
  <c r="R65" i="5"/>
  <c r="S65" i="5"/>
  <c r="U65" i="5"/>
  <c r="O66" i="5"/>
  <c r="P66" i="5"/>
  <c r="T66" i="5"/>
  <c r="U66" i="5"/>
  <c r="L67" i="5"/>
  <c r="L65" i="5" s="1"/>
  <c r="M67" i="5"/>
  <c r="M65" i="5" s="1"/>
  <c r="N67" i="5"/>
  <c r="T67" i="5"/>
  <c r="U67" i="5"/>
  <c r="L73" i="5"/>
  <c r="O73" i="5" s="1"/>
  <c r="M73" i="5"/>
  <c r="P73" i="5" s="1"/>
  <c r="N73" i="5"/>
  <c r="Q73" i="5"/>
  <c r="R73" i="5"/>
  <c r="U73" i="5" s="1"/>
  <c r="S73" i="5"/>
  <c r="T73" i="5"/>
  <c r="O76" i="5"/>
  <c r="P76" i="5"/>
  <c r="T76" i="5"/>
  <c r="U76" i="5"/>
  <c r="L77" i="5"/>
  <c r="L75" i="5" s="1"/>
  <c r="O75" i="5" s="1"/>
  <c r="M77" i="5"/>
  <c r="N77" i="5"/>
  <c r="N75" i="5" s="1"/>
  <c r="Q77" i="5"/>
  <c r="T77" i="5" s="1"/>
  <c r="R77" i="5"/>
  <c r="U77" i="5" s="1"/>
  <c r="S77" i="5"/>
  <c r="S75" i="5" s="1"/>
  <c r="O79" i="5"/>
  <c r="P79" i="5"/>
  <c r="T79" i="5"/>
  <c r="U79" i="5"/>
  <c r="L80" i="5"/>
  <c r="O80" i="5" s="1"/>
  <c r="M80" i="5"/>
  <c r="M78" i="5" s="1"/>
  <c r="P78" i="5" s="1"/>
  <c r="N80" i="5"/>
  <c r="Q80" i="5"/>
  <c r="R80" i="5"/>
  <c r="S80" i="5"/>
  <c r="S78" i="5" s="1"/>
  <c r="J82" i="5"/>
  <c r="J70" i="5" s="1"/>
  <c r="J83" i="5"/>
  <c r="J71" i="5" s="1"/>
  <c r="I84" i="5"/>
  <c r="K84" i="5" s="1"/>
  <c r="I85" i="5"/>
  <c r="I86" i="5"/>
  <c r="K86" i="5" s="1"/>
  <c r="I87" i="5"/>
  <c r="K87" i="5" s="1"/>
  <c r="I88" i="5"/>
  <c r="K88" i="5" s="1"/>
  <c r="I89" i="5"/>
  <c r="K89" i="5" s="1"/>
  <c r="I90" i="5"/>
  <c r="K90" i="5" s="1"/>
  <c r="J92" i="5"/>
  <c r="J93" i="5"/>
  <c r="L95" i="5"/>
  <c r="O95" i="5" s="1"/>
  <c r="M95" i="5"/>
  <c r="N95" i="5"/>
  <c r="P95" i="5"/>
  <c r="Q95" i="5"/>
  <c r="R95" i="5"/>
  <c r="U95" i="5" s="1"/>
  <c r="S95" i="5"/>
  <c r="T95" i="5"/>
  <c r="O98" i="5"/>
  <c r="P98" i="5"/>
  <c r="T98" i="5"/>
  <c r="U98" i="5"/>
  <c r="L99" i="5"/>
  <c r="M99" i="5"/>
  <c r="M97" i="5" s="1"/>
  <c r="P97" i="5" s="1"/>
  <c r="N99" i="5"/>
  <c r="Q99" i="5"/>
  <c r="Q97" i="5" s="1"/>
  <c r="T97" i="5" s="1"/>
  <c r="R99" i="5"/>
  <c r="S99" i="5"/>
  <c r="Q100" i="5"/>
  <c r="R100" i="5"/>
  <c r="U100" i="5" s="1"/>
  <c r="S100" i="5"/>
  <c r="T100" i="5"/>
  <c r="O101" i="5"/>
  <c r="P101" i="5"/>
  <c r="T101" i="5"/>
  <c r="U101" i="5"/>
  <c r="L102" i="5"/>
  <c r="O102" i="5" s="1"/>
  <c r="M102" i="5"/>
  <c r="N102" i="5"/>
  <c r="N100" i="5" s="1"/>
  <c r="T102" i="5"/>
  <c r="U102" i="5"/>
  <c r="I108" i="5"/>
  <c r="I109" i="5"/>
  <c r="I93" i="5" s="1"/>
  <c r="K93" i="5" s="1"/>
  <c r="I114" i="5"/>
  <c r="K114" i="5" s="1"/>
  <c r="J116" i="5"/>
  <c r="L118" i="5"/>
  <c r="O118" i="5" s="1"/>
  <c r="M118" i="5"/>
  <c r="N118" i="5"/>
  <c r="P118" i="5"/>
  <c r="Q118" i="5"/>
  <c r="R118" i="5"/>
  <c r="S118" i="5"/>
  <c r="O121" i="5"/>
  <c r="P121" i="5"/>
  <c r="T121" i="5"/>
  <c r="U121" i="5"/>
  <c r="L122" i="5"/>
  <c r="O122" i="5" s="1"/>
  <c r="M122" i="5"/>
  <c r="N122" i="5"/>
  <c r="Q122" i="5"/>
  <c r="Q120" i="5" s="1"/>
  <c r="R122" i="5"/>
  <c r="S122" i="5"/>
  <c r="S120" i="5" s="1"/>
  <c r="O124" i="5"/>
  <c r="P124" i="5"/>
  <c r="T124" i="5"/>
  <c r="U124" i="5"/>
  <c r="L125" i="5"/>
  <c r="O125" i="5" s="1"/>
  <c r="M125" i="5"/>
  <c r="N125" i="5"/>
  <c r="N123" i="5" s="1"/>
  <c r="Q125" i="5"/>
  <c r="Q123" i="5" s="1"/>
  <c r="T123" i="5" s="1"/>
  <c r="R125" i="5"/>
  <c r="U125" i="5" s="1"/>
  <c r="S125" i="5"/>
  <c r="S123" i="5" s="1"/>
  <c r="I127" i="5"/>
  <c r="I128" i="5"/>
  <c r="K128" i="5" s="1"/>
  <c r="I129" i="5"/>
  <c r="K129" i="5" s="1"/>
  <c r="I130" i="5"/>
  <c r="K130" i="5" s="1"/>
  <c r="J136" i="5"/>
  <c r="J137" i="5"/>
  <c r="J138" i="5"/>
  <c r="L140" i="5"/>
  <c r="M140" i="5"/>
  <c r="P140" i="5" s="1"/>
  <c r="N140" i="5"/>
  <c r="Q140" i="5"/>
  <c r="T140" i="5" s="1"/>
  <c r="R140" i="5"/>
  <c r="U140" i="5" s="1"/>
  <c r="S140" i="5"/>
  <c r="O143" i="5"/>
  <c r="P143" i="5"/>
  <c r="T143" i="5"/>
  <c r="U143" i="5"/>
  <c r="L144" i="5"/>
  <c r="M144" i="5"/>
  <c r="N144" i="5"/>
  <c r="N142" i="5" s="1"/>
  <c r="Q144" i="5"/>
  <c r="Q142" i="5" s="1"/>
  <c r="R144" i="5"/>
  <c r="R142" i="5" s="1"/>
  <c r="S144" i="5"/>
  <c r="S142" i="5" s="1"/>
  <c r="O146" i="5"/>
  <c r="P146" i="5"/>
  <c r="T146" i="5"/>
  <c r="U146" i="5"/>
  <c r="L147" i="5"/>
  <c r="L145" i="5" s="1"/>
  <c r="O145" i="5" s="1"/>
  <c r="M147" i="5"/>
  <c r="P147" i="5" s="1"/>
  <c r="N147" i="5"/>
  <c r="N145" i="5" s="1"/>
  <c r="Q147" i="5"/>
  <c r="Q145" i="5" s="1"/>
  <c r="T145" i="5" s="1"/>
  <c r="R147" i="5"/>
  <c r="R145" i="5" s="1"/>
  <c r="U145" i="5" s="1"/>
  <c r="S147" i="5"/>
  <c r="S145" i="5" s="1"/>
  <c r="I150" i="5"/>
  <c r="K150" i="5" s="1"/>
  <c r="I151" i="5"/>
  <c r="K151" i="5" s="1"/>
  <c r="I152" i="5"/>
  <c r="I137" i="5" s="1"/>
  <c r="I153" i="5"/>
  <c r="I138" i="5" s="1"/>
  <c r="I154" i="5"/>
  <c r="J156" i="5"/>
  <c r="L158" i="5"/>
  <c r="M158" i="5"/>
  <c r="P158" i="5" s="1"/>
  <c r="N158" i="5"/>
  <c r="Q158" i="5"/>
  <c r="R158" i="5"/>
  <c r="U158" i="5" s="1"/>
  <c r="S158" i="5"/>
  <c r="T158" i="5"/>
  <c r="O161" i="5"/>
  <c r="P161" i="5"/>
  <c r="T161" i="5"/>
  <c r="U161" i="5"/>
  <c r="L162" i="5"/>
  <c r="O162" i="5" s="1"/>
  <c r="M162" i="5"/>
  <c r="N162" i="5"/>
  <c r="Q162" i="5"/>
  <c r="R162" i="5"/>
  <c r="S162" i="5"/>
  <c r="Q163" i="5"/>
  <c r="R163" i="5"/>
  <c r="U163" i="5" s="1"/>
  <c r="S163" i="5"/>
  <c r="T163" i="5"/>
  <c r="O164" i="5"/>
  <c r="P164" i="5"/>
  <c r="T164" i="5"/>
  <c r="U164" i="5"/>
  <c r="L165" i="5"/>
  <c r="O165" i="5" s="1"/>
  <c r="M165" i="5"/>
  <c r="N165" i="5"/>
  <c r="N163" i="5" s="1"/>
  <c r="T165" i="5"/>
  <c r="U165" i="5"/>
  <c r="I167" i="5"/>
  <c r="K167" i="5" s="1"/>
  <c r="I168" i="5"/>
  <c r="K168" i="5" s="1"/>
  <c r="I169" i="5"/>
  <c r="K169" i="5" s="1"/>
  <c r="J172" i="5"/>
  <c r="L174" i="5"/>
  <c r="O174" i="5" s="1"/>
  <c r="M174" i="5"/>
  <c r="P174" i="5" s="1"/>
  <c r="N174" i="5"/>
  <c r="Q174" i="5"/>
  <c r="R174" i="5"/>
  <c r="S174" i="5"/>
  <c r="O177" i="5"/>
  <c r="P177" i="5"/>
  <c r="T177" i="5"/>
  <c r="U177" i="5"/>
  <c r="L178" i="5"/>
  <c r="M178" i="5"/>
  <c r="N178" i="5"/>
  <c r="N176" i="5" s="1"/>
  <c r="Q178" i="5"/>
  <c r="T178" i="5" s="1"/>
  <c r="R178" i="5"/>
  <c r="S178" i="5"/>
  <c r="S175" i="5" s="1"/>
  <c r="Q179" i="5"/>
  <c r="T179" i="5" s="1"/>
  <c r="R179" i="5"/>
  <c r="S179" i="5"/>
  <c r="U179" i="5"/>
  <c r="O180" i="5"/>
  <c r="P180" i="5"/>
  <c r="T180" i="5"/>
  <c r="U180" i="5"/>
  <c r="L181" i="5"/>
  <c r="M181" i="5"/>
  <c r="P181" i="5" s="1"/>
  <c r="N181" i="5"/>
  <c r="N179" i="5" s="1"/>
  <c r="T181" i="5"/>
  <c r="U181" i="5"/>
  <c r="I183" i="5"/>
  <c r="I172" i="5" s="1"/>
  <c r="K184" i="5"/>
  <c r="L187" i="5"/>
  <c r="M187" i="5"/>
  <c r="N187" i="5"/>
  <c r="O187" i="5"/>
  <c r="Q187" i="5"/>
  <c r="R187" i="5"/>
  <c r="S187" i="5"/>
  <c r="T187" i="5"/>
  <c r="U187" i="5"/>
  <c r="O190" i="5"/>
  <c r="P190" i="5"/>
  <c r="T190" i="5"/>
  <c r="U190" i="5"/>
  <c r="L191" i="5"/>
  <c r="M191" i="5"/>
  <c r="M189" i="5" s="1"/>
  <c r="N191" i="5"/>
  <c r="Q191" i="5"/>
  <c r="R191" i="5"/>
  <c r="S191" i="5"/>
  <c r="S189" i="5" s="1"/>
  <c r="O193" i="5"/>
  <c r="P193" i="5"/>
  <c r="T193" i="5"/>
  <c r="U193" i="5"/>
  <c r="L194" i="5"/>
  <c r="M194" i="5"/>
  <c r="N194" i="5"/>
  <c r="N192" i="5" s="1"/>
  <c r="Q194" i="5"/>
  <c r="R194" i="5"/>
  <c r="S194" i="5"/>
  <c r="S192" i="5" s="1"/>
  <c r="J195" i="5"/>
  <c r="L196" i="5"/>
  <c r="O196" i="5" s="1"/>
  <c r="N196" i="5"/>
  <c r="P196" i="5"/>
  <c r="I198" i="5"/>
  <c r="J200" i="5"/>
  <c r="J199" i="5" s="1"/>
  <c r="J202" i="5"/>
  <c r="N203" i="5"/>
  <c r="P203" i="5"/>
  <c r="S203" i="5"/>
  <c r="U203" i="5"/>
  <c r="L204" i="5"/>
  <c r="L205" i="5"/>
  <c r="L206" i="5"/>
  <c r="Q206" i="5"/>
  <c r="Q203" i="5" s="1"/>
  <c r="L207" i="5"/>
  <c r="I209" i="5"/>
  <c r="K209" i="5" s="1"/>
  <c r="I211" i="5"/>
  <c r="K211" i="5" s="1"/>
  <c r="I212" i="5"/>
  <c r="K212" i="5" s="1"/>
  <c r="J213" i="5"/>
  <c r="N214" i="5"/>
  <c r="P214" i="5"/>
  <c r="S214" i="5"/>
  <c r="U214" i="5"/>
  <c r="L215" i="5"/>
  <c r="L216" i="5"/>
  <c r="L217" i="5"/>
  <c r="Q217" i="5"/>
  <c r="Q214" i="5" s="1"/>
  <c r="T214" i="5" s="1"/>
  <c r="I219" i="5"/>
  <c r="K219" i="5" s="1"/>
  <c r="I220" i="5"/>
  <c r="J221" i="5"/>
  <c r="N222" i="5"/>
  <c r="P222" i="5"/>
  <c r="L223" i="5"/>
  <c r="L224" i="5"/>
  <c r="L225" i="5"/>
  <c r="I228" i="5"/>
  <c r="K228" i="5" s="1"/>
  <c r="I229" i="5"/>
  <c r="I221" i="5" s="1"/>
  <c r="K221" i="5" s="1"/>
  <c r="I230" i="5"/>
  <c r="K230" i="5" s="1"/>
  <c r="N235" i="5"/>
  <c r="J238" i="5"/>
  <c r="J240" i="5"/>
  <c r="J241" i="5"/>
  <c r="J242" i="5"/>
  <c r="P243" i="5"/>
  <c r="L244" i="5"/>
  <c r="N244" i="5"/>
  <c r="N243" i="5" s="1"/>
  <c r="N232" i="5" s="1"/>
  <c r="L245" i="5"/>
  <c r="N245" i="5"/>
  <c r="N234" i="5" s="1"/>
  <c r="L246" i="5"/>
  <c r="L247" i="5"/>
  <c r="N247" i="5"/>
  <c r="N236" i="5" s="1"/>
  <c r="I249" i="5"/>
  <c r="I251" i="5"/>
  <c r="I252" i="5"/>
  <c r="I241" i="5" s="1"/>
  <c r="K241" i="5" s="1"/>
  <c r="J253" i="5"/>
  <c r="N254" i="5"/>
  <c r="P254" i="5"/>
  <c r="L255" i="5"/>
  <c r="L256" i="5"/>
  <c r="L257" i="5"/>
  <c r="L258" i="5"/>
  <c r="I260" i="5"/>
  <c r="K262" i="5"/>
  <c r="K263" i="5"/>
  <c r="J265" i="5"/>
  <c r="L267" i="5"/>
  <c r="O267" i="5" s="1"/>
  <c r="M267" i="5"/>
  <c r="N267" i="5"/>
  <c r="Q267" i="5"/>
  <c r="R267" i="5"/>
  <c r="U267" i="5" s="1"/>
  <c r="S267" i="5"/>
  <c r="T267" i="5"/>
  <c r="O270" i="5"/>
  <c r="P270" i="5"/>
  <c r="T270" i="5"/>
  <c r="U270" i="5"/>
  <c r="L271" i="5"/>
  <c r="L269" i="5" s="1"/>
  <c r="M271" i="5"/>
  <c r="M269" i="5" s="1"/>
  <c r="N271" i="5"/>
  <c r="Q271" i="5"/>
  <c r="Q268" i="5" s="1"/>
  <c r="R271" i="5"/>
  <c r="S271" i="5"/>
  <c r="Q272" i="5"/>
  <c r="T272" i="5" s="1"/>
  <c r="R272" i="5"/>
  <c r="U272" i="5" s="1"/>
  <c r="S272" i="5"/>
  <c r="O273" i="5"/>
  <c r="P273" i="5"/>
  <c r="T273" i="5"/>
  <c r="U273" i="5"/>
  <c r="L274" i="5"/>
  <c r="M274" i="5"/>
  <c r="M272" i="5" s="1"/>
  <c r="P272" i="5" s="1"/>
  <c r="N274" i="5"/>
  <c r="N272" i="5" s="1"/>
  <c r="T274" i="5"/>
  <c r="U274" i="5"/>
  <c r="I276" i="5"/>
  <c r="I265" i="5" s="1"/>
  <c r="K265" i="5" s="1"/>
  <c r="J281" i="5"/>
  <c r="R282" i="5"/>
  <c r="U282" i="5" s="1"/>
  <c r="L283" i="5"/>
  <c r="O283" i="5" s="1"/>
  <c r="M283" i="5"/>
  <c r="N283" i="5"/>
  <c r="Q283" i="5"/>
  <c r="T283" i="5" s="1"/>
  <c r="R283" i="5"/>
  <c r="U283" i="5" s="1"/>
  <c r="S283" i="5"/>
  <c r="Q284" i="5"/>
  <c r="R284" i="5"/>
  <c r="U284" i="5" s="1"/>
  <c r="S284" i="5"/>
  <c r="Q285" i="5"/>
  <c r="T285" i="5" s="1"/>
  <c r="R285" i="5"/>
  <c r="U285" i="5" s="1"/>
  <c r="S285" i="5"/>
  <c r="O286" i="5"/>
  <c r="P286" i="5"/>
  <c r="T286" i="5"/>
  <c r="U286" i="5"/>
  <c r="L287" i="5"/>
  <c r="M287" i="5"/>
  <c r="P287" i="5" s="1"/>
  <c r="N287" i="5"/>
  <c r="N285" i="5" s="1"/>
  <c r="T287" i="5"/>
  <c r="U287" i="5"/>
  <c r="Q288" i="5"/>
  <c r="T288" i="5" s="1"/>
  <c r="R288" i="5"/>
  <c r="S288" i="5"/>
  <c r="U288" i="5"/>
  <c r="O289" i="5"/>
  <c r="P289" i="5"/>
  <c r="T289" i="5"/>
  <c r="U289" i="5"/>
  <c r="L290" i="5"/>
  <c r="M290" i="5"/>
  <c r="N290" i="5"/>
  <c r="N288" i="5" s="1"/>
  <c r="T290" i="5"/>
  <c r="U290" i="5"/>
  <c r="I292" i="5"/>
  <c r="I281" i="5" s="1"/>
  <c r="K281" i="5" s="1"/>
  <c r="I293" i="5"/>
  <c r="I280" i="5" s="1"/>
  <c r="K280" i="5" s="1"/>
  <c r="J293" i="5"/>
  <c r="J280" i="5" s="1"/>
  <c r="I295" i="5"/>
  <c r="K295" i="5" s="1"/>
  <c r="I296" i="5"/>
  <c r="K296" i="5" s="1"/>
  <c r="J302" i="5"/>
  <c r="L304" i="5"/>
  <c r="M304" i="5"/>
  <c r="N304" i="5"/>
  <c r="P304" i="5"/>
  <c r="Q304" i="5"/>
  <c r="T304" i="5" s="1"/>
  <c r="R304" i="5"/>
  <c r="S304" i="5"/>
  <c r="O307" i="5"/>
  <c r="P307" i="5"/>
  <c r="T307" i="5"/>
  <c r="U307" i="5"/>
  <c r="L308" i="5"/>
  <c r="L306" i="5" s="1"/>
  <c r="O306" i="5" s="1"/>
  <c r="M308" i="5"/>
  <c r="M306" i="5" s="1"/>
  <c r="P306" i="5" s="1"/>
  <c r="N308" i="5"/>
  <c r="N306" i="5" s="1"/>
  <c r="Q308" i="5"/>
  <c r="R308" i="5"/>
  <c r="R305" i="5" s="1"/>
  <c r="S308" i="5"/>
  <c r="S305" i="5" s="1"/>
  <c r="S303" i="5" s="1"/>
  <c r="Q309" i="5"/>
  <c r="T309" i="5" s="1"/>
  <c r="R309" i="5"/>
  <c r="U309" i="5" s="1"/>
  <c r="S309" i="5"/>
  <c r="O310" i="5"/>
  <c r="P310" i="5"/>
  <c r="T310" i="5"/>
  <c r="U310" i="5"/>
  <c r="L311" i="5"/>
  <c r="O311" i="5" s="1"/>
  <c r="M311" i="5"/>
  <c r="M309" i="5" s="1"/>
  <c r="P309" i="5" s="1"/>
  <c r="N311" i="5"/>
  <c r="N309" i="5" s="1"/>
  <c r="T311" i="5"/>
  <c r="U311" i="5"/>
  <c r="I314" i="5"/>
  <c r="I302" i="5" s="1"/>
  <c r="K302" i="5" s="1"/>
  <c r="J319" i="5"/>
  <c r="Q320" i="5"/>
  <c r="T320" i="5" s="1"/>
  <c r="L321" i="5"/>
  <c r="M321" i="5"/>
  <c r="N321" i="5"/>
  <c r="P321" i="5"/>
  <c r="Q321" i="5"/>
  <c r="R321" i="5"/>
  <c r="S321" i="5"/>
  <c r="S320" i="5" s="1"/>
  <c r="T321" i="5"/>
  <c r="Q322" i="5"/>
  <c r="R322" i="5"/>
  <c r="S322" i="5"/>
  <c r="T322" i="5"/>
  <c r="U322" i="5"/>
  <c r="Q323" i="5"/>
  <c r="T323" i="5" s="1"/>
  <c r="R323" i="5"/>
  <c r="U323" i="5" s="1"/>
  <c r="S323" i="5"/>
  <c r="O324" i="5"/>
  <c r="P324" i="5"/>
  <c r="T324" i="5"/>
  <c r="U324" i="5"/>
  <c r="L325" i="5"/>
  <c r="L323" i="5" s="1"/>
  <c r="O323" i="5" s="1"/>
  <c r="M325" i="5"/>
  <c r="M323" i="5" s="1"/>
  <c r="P323" i="5" s="1"/>
  <c r="N325" i="5"/>
  <c r="N323" i="5" s="1"/>
  <c r="T325" i="5"/>
  <c r="U325" i="5"/>
  <c r="Q326" i="5"/>
  <c r="T326" i="5" s="1"/>
  <c r="R326" i="5"/>
  <c r="S326" i="5"/>
  <c r="U326" i="5"/>
  <c r="O327" i="5"/>
  <c r="P327" i="5"/>
  <c r="T327" i="5"/>
  <c r="U327" i="5"/>
  <c r="L328" i="5"/>
  <c r="L326" i="5" s="1"/>
  <c r="O326" i="5" s="1"/>
  <c r="M328" i="5"/>
  <c r="P328" i="5" s="1"/>
  <c r="N328" i="5"/>
  <c r="N326" i="5" s="1"/>
  <c r="T328" i="5"/>
  <c r="U328" i="5"/>
  <c r="I330" i="5"/>
  <c r="K330" i="5" s="1"/>
  <c r="L334" i="5"/>
  <c r="O334" i="5" s="1"/>
  <c r="M334" i="5"/>
  <c r="N334" i="5"/>
  <c r="Q334" i="5"/>
  <c r="R334" i="5"/>
  <c r="S334" i="5"/>
  <c r="S333" i="5" s="1"/>
  <c r="T334" i="5"/>
  <c r="Q335" i="5"/>
  <c r="T335" i="5" s="1"/>
  <c r="R335" i="5"/>
  <c r="S335" i="5"/>
  <c r="U335" i="5"/>
  <c r="Q336" i="5"/>
  <c r="T336" i="5" s="1"/>
  <c r="R336" i="5"/>
  <c r="U336" i="5" s="1"/>
  <c r="S336" i="5"/>
  <c r="O337" i="5"/>
  <c r="P337" i="5"/>
  <c r="T337" i="5"/>
  <c r="U337" i="5"/>
  <c r="L338" i="5"/>
  <c r="L336" i="5" s="1"/>
  <c r="M338" i="5"/>
  <c r="N338" i="5"/>
  <c r="T338" i="5"/>
  <c r="U338" i="5"/>
  <c r="Q339" i="5"/>
  <c r="T339" i="5" s="1"/>
  <c r="R339" i="5"/>
  <c r="U339" i="5" s="1"/>
  <c r="S339" i="5"/>
  <c r="O340" i="5"/>
  <c r="P340" i="5"/>
  <c r="T340" i="5"/>
  <c r="U340" i="5"/>
  <c r="L341" i="5"/>
  <c r="O341" i="5" s="1"/>
  <c r="M341" i="5"/>
  <c r="N341" i="5"/>
  <c r="N339" i="5" s="1"/>
  <c r="T341" i="5"/>
  <c r="U341" i="5"/>
  <c r="I344" i="5"/>
  <c r="I332" i="5" s="1"/>
  <c r="J344" i="5"/>
  <c r="I346" i="5"/>
  <c r="J346" i="5"/>
  <c r="J347" i="5"/>
  <c r="J348" i="5"/>
  <c r="J349" i="5"/>
  <c r="D350" i="5"/>
  <c r="J352" i="5"/>
  <c r="J353" i="5"/>
  <c r="D354" i="5"/>
  <c r="L357" i="5"/>
  <c r="O357" i="5" s="1"/>
  <c r="M357" i="5"/>
  <c r="P357" i="5" s="1"/>
  <c r="N357" i="5"/>
  <c r="Q357" i="5"/>
  <c r="Q356" i="5" s="1"/>
  <c r="T356" i="5" s="1"/>
  <c r="R357" i="5"/>
  <c r="U357" i="5" s="1"/>
  <c r="S357" i="5"/>
  <c r="T357" i="5"/>
  <c r="Q358" i="5"/>
  <c r="T358" i="5" s="1"/>
  <c r="R358" i="5"/>
  <c r="S358" i="5"/>
  <c r="S356" i="5" s="1"/>
  <c r="Q359" i="5"/>
  <c r="T359" i="5" s="1"/>
  <c r="R359" i="5"/>
  <c r="U359" i="5" s="1"/>
  <c r="S359" i="5"/>
  <c r="O360" i="5"/>
  <c r="P360" i="5"/>
  <c r="T360" i="5"/>
  <c r="U360" i="5"/>
  <c r="L361" i="5"/>
  <c r="M361" i="5"/>
  <c r="M359" i="5" s="1"/>
  <c r="N361" i="5"/>
  <c r="N359" i="5" s="1"/>
  <c r="T361" i="5"/>
  <c r="U361" i="5"/>
  <c r="Q362" i="5"/>
  <c r="T362" i="5" s="1"/>
  <c r="R362" i="5"/>
  <c r="U362" i="5" s="1"/>
  <c r="S362" i="5"/>
  <c r="O363" i="5"/>
  <c r="P363" i="5"/>
  <c r="T363" i="5"/>
  <c r="U363" i="5"/>
  <c r="L364" i="5"/>
  <c r="M364" i="5"/>
  <c r="N364" i="5"/>
  <c r="N362" i="5" s="1"/>
  <c r="T364" i="5"/>
  <c r="U364" i="5"/>
  <c r="J367" i="5"/>
  <c r="K367" i="5"/>
  <c r="I368" i="5"/>
  <c r="J368" i="5"/>
  <c r="I369" i="5"/>
  <c r="J369" i="5"/>
  <c r="J370" i="5"/>
  <c r="K370" i="5"/>
  <c r="I371" i="5"/>
  <c r="J371" i="5"/>
  <c r="J365" i="5" s="1"/>
  <c r="J372" i="5"/>
  <c r="K372" i="5"/>
  <c r="D373" i="5"/>
  <c r="L376" i="5"/>
  <c r="M376" i="5"/>
  <c r="P376" i="5" s="1"/>
  <c r="N376" i="5"/>
  <c r="Q376" i="5"/>
  <c r="R376" i="5"/>
  <c r="S376" i="5"/>
  <c r="T376" i="5"/>
  <c r="O379" i="5"/>
  <c r="P379" i="5"/>
  <c r="T379" i="5"/>
  <c r="U379" i="5"/>
  <c r="L380" i="5"/>
  <c r="M380" i="5"/>
  <c r="M378" i="5" s="1"/>
  <c r="P378" i="5" s="1"/>
  <c r="N380" i="5"/>
  <c r="Q380" i="5"/>
  <c r="R380" i="5"/>
  <c r="R377" i="5" s="1"/>
  <c r="S380" i="5"/>
  <c r="S378" i="5" s="1"/>
  <c r="Q381" i="5"/>
  <c r="R381" i="5"/>
  <c r="U381" i="5" s="1"/>
  <c r="S381" i="5"/>
  <c r="T381" i="5"/>
  <c r="O382" i="5"/>
  <c r="P382" i="5"/>
  <c r="T382" i="5"/>
  <c r="U382" i="5"/>
  <c r="L383" i="5"/>
  <c r="M383" i="5"/>
  <c r="N383" i="5"/>
  <c r="N381" i="5" s="1"/>
  <c r="T383" i="5"/>
  <c r="U383" i="5"/>
  <c r="J385" i="5"/>
  <c r="K385" i="5"/>
  <c r="I386" i="5"/>
  <c r="J386" i="5"/>
  <c r="J387" i="5"/>
  <c r="K387" i="5"/>
  <c r="I388" i="5"/>
  <c r="K388" i="5" s="1"/>
  <c r="J388" i="5"/>
  <c r="I391" i="5"/>
  <c r="K391" i="5" s="1"/>
  <c r="J391" i="5"/>
  <c r="M392" i="5"/>
  <c r="P392" i="5"/>
  <c r="L393" i="5"/>
  <c r="O393" i="5" s="1"/>
  <c r="M393" i="5"/>
  <c r="P393" i="5" s="1"/>
  <c r="N393" i="5"/>
  <c r="Q393" i="5"/>
  <c r="T393" i="5" s="1"/>
  <c r="R393" i="5"/>
  <c r="S393" i="5"/>
  <c r="L394" i="5"/>
  <c r="O394" i="5" s="1"/>
  <c r="M394" i="5"/>
  <c r="N394" i="5"/>
  <c r="P394" i="5"/>
  <c r="L395" i="5"/>
  <c r="O395" i="5" s="1"/>
  <c r="M395" i="5"/>
  <c r="P395" i="5" s="1"/>
  <c r="N395" i="5"/>
  <c r="O396" i="5"/>
  <c r="P396" i="5"/>
  <c r="T396" i="5"/>
  <c r="U396" i="5"/>
  <c r="O397" i="5"/>
  <c r="P397" i="5"/>
  <c r="Q397" i="5"/>
  <c r="R397" i="5"/>
  <c r="R394" i="5" s="1"/>
  <c r="U394" i="5" s="1"/>
  <c r="S397" i="5"/>
  <c r="S394" i="5" s="1"/>
  <c r="S392" i="5" s="1"/>
  <c r="L398" i="5"/>
  <c r="M398" i="5"/>
  <c r="P398" i="5" s="1"/>
  <c r="N398" i="5"/>
  <c r="O398" i="5"/>
  <c r="Q398" i="5"/>
  <c r="T398" i="5" s="1"/>
  <c r="R398" i="5"/>
  <c r="S398" i="5"/>
  <c r="U398" i="5"/>
  <c r="O399" i="5"/>
  <c r="P399" i="5"/>
  <c r="T399" i="5"/>
  <c r="U399" i="5"/>
  <c r="O400" i="5"/>
  <c r="P400" i="5"/>
  <c r="T400" i="5"/>
  <c r="U400" i="5"/>
  <c r="L414" i="5"/>
  <c r="M414" i="5"/>
  <c r="N414" i="5"/>
  <c r="Q414" i="5"/>
  <c r="R414" i="5"/>
  <c r="S414" i="5"/>
  <c r="T414" i="5"/>
  <c r="O417" i="5"/>
  <c r="P417" i="5"/>
  <c r="T417" i="5"/>
  <c r="U417" i="5"/>
  <c r="L418" i="5"/>
  <c r="M418" i="5"/>
  <c r="M416" i="5" s="1"/>
  <c r="N418" i="5"/>
  <c r="N416" i="5" s="1"/>
  <c r="Q418" i="5"/>
  <c r="R418" i="5"/>
  <c r="S418" i="5"/>
  <c r="S415" i="5" s="1"/>
  <c r="S413" i="5" s="1"/>
  <c r="Q419" i="5"/>
  <c r="T419" i="5" s="1"/>
  <c r="R419" i="5"/>
  <c r="U419" i="5" s="1"/>
  <c r="S419" i="5"/>
  <c r="O420" i="5"/>
  <c r="P420" i="5"/>
  <c r="T420" i="5"/>
  <c r="U420" i="5"/>
  <c r="L421" i="5"/>
  <c r="O421" i="5" s="1"/>
  <c r="M421" i="5"/>
  <c r="M419" i="5" s="1"/>
  <c r="P419" i="5" s="1"/>
  <c r="N421" i="5"/>
  <c r="N419" i="5" s="1"/>
  <c r="T421" i="5"/>
  <c r="U421" i="5"/>
  <c r="I424" i="5"/>
  <c r="J424" i="5"/>
  <c r="I425" i="5"/>
  <c r="J425" i="5"/>
  <c r="I432" i="5"/>
  <c r="J432" i="5"/>
  <c r="I433" i="5"/>
  <c r="J433" i="5"/>
  <c r="I440" i="5"/>
  <c r="I423" i="5" s="1"/>
  <c r="I441" i="5"/>
  <c r="J441" i="5"/>
  <c r="J446" i="5"/>
  <c r="J440" i="5" s="1"/>
  <c r="J423" i="5" s="1"/>
  <c r="J412" i="5" s="1"/>
  <c r="J447" i="5"/>
  <c r="I457" i="5"/>
  <c r="I458" i="5"/>
  <c r="K458" i="5" s="1"/>
  <c r="J459" i="5"/>
  <c r="J457" i="5" s="1"/>
  <c r="J456" i="5" s="1"/>
  <c r="J460" i="5"/>
  <c r="J467" i="5"/>
  <c r="J468" i="5"/>
  <c r="J475" i="5"/>
  <c r="K475" i="5"/>
  <c r="J476" i="5"/>
  <c r="K476" i="5"/>
  <c r="J477" i="5"/>
  <c r="K477" i="5"/>
  <c r="J482" i="5"/>
  <c r="J483" i="5"/>
  <c r="I484" i="5"/>
  <c r="K484" i="5" s="1"/>
  <c r="J484" i="5"/>
  <c r="I485" i="5"/>
  <c r="K485" i="5" s="1"/>
  <c r="J485" i="5"/>
  <c r="L494" i="5"/>
  <c r="O494" i="5" s="1"/>
  <c r="M494" i="5"/>
  <c r="N494" i="5"/>
  <c r="Q494" i="5"/>
  <c r="R494" i="5"/>
  <c r="U494" i="5" s="1"/>
  <c r="S494" i="5"/>
  <c r="T494" i="5"/>
  <c r="O497" i="5"/>
  <c r="P497" i="5"/>
  <c r="T497" i="5"/>
  <c r="U497" i="5"/>
  <c r="L498" i="5"/>
  <c r="M498" i="5"/>
  <c r="M496" i="5" s="1"/>
  <c r="P496" i="5" s="1"/>
  <c r="N498" i="5"/>
  <c r="Q498" i="5"/>
  <c r="Q496" i="5" s="1"/>
  <c r="T496" i="5" s="1"/>
  <c r="R498" i="5"/>
  <c r="S498" i="5"/>
  <c r="S496" i="5" s="1"/>
  <c r="Q499" i="5"/>
  <c r="T499" i="5" s="1"/>
  <c r="R499" i="5"/>
  <c r="U499" i="5" s="1"/>
  <c r="S499" i="5"/>
  <c r="O500" i="5"/>
  <c r="P500" i="5"/>
  <c r="T500" i="5"/>
  <c r="U500" i="5"/>
  <c r="L501" i="5"/>
  <c r="L499" i="5" s="1"/>
  <c r="O499" i="5" s="1"/>
  <c r="M501" i="5"/>
  <c r="M499" i="5" s="1"/>
  <c r="P499" i="5" s="1"/>
  <c r="N501" i="5"/>
  <c r="N499" i="5" s="1"/>
  <c r="T501" i="5"/>
  <c r="U501" i="5"/>
  <c r="I503" i="5"/>
  <c r="K503" i="5" s="1"/>
  <c r="I504" i="5"/>
  <c r="I505" i="5"/>
  <c r="K505" i="5" s="1"/>
  <c r="I506" i="5"/>
  <c r="K506" i="5" s="1"/>
  <c r="I507" i="5"/>
  <c r="K507" i="5" s="1"/>
  <c r="K508" i="5"/>
  <c r="I509" i="5"/>
  <c r="K509" i="5" s="1"/>
  <c r="I512" i="5"/>
  <c r="K512" i="5" s="1"/>
  <c r="J512" i="5"/>
  <c r="L514" i="5"/>
  <c r="M514" i="5"/>
  <c r="P514" i="5" s="1"/>
  <c r="N514" i="5"/>
  <c r="Q514" i="5"/>
  <c r="R514" i="5"/>
  <c r="S514" i="5"/>
  <c r="Q515" i="5"/>
  <c r="R515" i="5"/>
  <c r="U515" i="5" s="1"/>
  <c r="S515" i="5"/>
  <c r="S513" i="5" s="1"/>
  <c r="T515" i="5"/>
  <c r="Q516" i="5"/>
  <c r="R516" i="5"/>
  <c r="S516" i="5"/>
  <c r="T516" i="5"/>
  <c r="U516" i="5"/>
  <c r="O517" i="5"/>
  <c r="P517" i="5"/>
  <c r="T517" i="5"/>
  <c r="U517" i="5"/>
  <c r="L518" i="5"/>
  <c r="M518" i="5"/>
  <c r="N518" i="5"/>
  <c r="T518" i="5"/>
  <c r="U518" i="5"/>
  <c r="Q519" i="5"/>
  <c r="T519" i="5" s="1"/>
  <c r="R519" i="5"/>
  <c r="S519" i="5"/>
  <c r="U519" i="5"/>
  <c r="O520" i="5"/>
  <c r="P520" i="5"/>
  <c r="T520" i="5"/>
  <c r="U520" i="5"/>
  <c r="L521" i="5"/>
  <c r="L519" i="5" s="1"/>
  <c r="O519" i="5" s="1"/>
  <c r="M521" i="5"/>
  <c r="P521" i="5" s="1"/>
  <c r="N521" i="5"/>
  <c r="N519" i="5" s="1"/>
  <c r="T521" i="5"/>
  <c r="U521" i="5"/>
  <c r="K523" i="5"/>
  <c r="K524" i="5"/>
  <c r="I533" i="5"/>
  <c r="K533" i="5" s="1"/>
  <c r="J533" i="5"/>
  <c r="L535" i="5"/>
  <c r="M535" i="5"/>
  <c r="N535" i="5"/>
  <c r="O535" i="5"/>
  <c r="Q535" i="5"/>
  <c r="R535" i="5"/>
  <c r="S535" i="5"/>
  <c r="S534" i="5" s="1"/>
  <c r="U535" i="5"/>
  <c r="Q536" i="5"/>
  <c r="T536" i="5" s="1"/>
  <c r="R536" i="5"/>
  <c r="U536" i="5" s="1"/>
  <c r="S536" i="5"/>
  <c r="Q537" i="5"/>
  <c r="T537" i="5" s="1"/>
  <c r="R537" i="5"/>
  <c r="S537" i="5"/>
  <c r="U537" i="5"/>
  <c r="O538" i="5"/>
  <c r="P538" i="5"/>
  <c r="T538" i="5"/>
  <c r="U538" i="5"/>
  <c r="L539" i="5"/>
  <c r="M539" i="5"/>
  <c r="N539" i="5"/>
  <c r="N537" i="5" s="1"/>
  <c r="T539" i="5"/>
  <c r="U539" i="5"/>
  <c r="Q540" i="5"/>
  <c r="T540" i="5" s="1"/>
  <c r="R540" i="5"/>
  <c r="U540" i="5" s="1"/>
  <c r="S540" i="5"/>
  <c r="O541" i="5"/>
  <c r="P541" i="5"/>
  <c r="T541" i="5"/>
  <c r="U541" i="5"/>
  <c r="L542" i="5"/>
  <c r="L536" i="5" s="1"/>
  <c r="O536" i="5" s="1"/>
  <c r="M542" i="5"/>
  <c r="M540" i="5" s="1"/>
  <c r="P540" i="5" s="1"/>
  <c r="N542" i="5"/>
  <c r="N540" i="5" s="1"/>
  <c r="T542" i="5"/>
  <c r="U542" i="5"/>
  <c r="I554" i="5"/>
  <c r="K554" i="5" s="1"/>
  <c r="J554" i="5"/>
  <c r="Q555" i="5"/>
  <c r="T555" i="5" s="1"/>
  <c r="L556" i="5"/>
  <c r="M556" i="5"/>
  <c r="N556" i="5"/>
  <c r="Q556" i="5"/>
  <c r="R556" i="5"/>
  <c r="S556" i="5"/>
  <c r="S555" i="5" s="1"/>
  <c r="T556" i="5"/>
  <c r="Q557" i="5"/>
  <c r="R557" i="5"/>
  <c r="S557" i="5"/>
  <c r="T557" i="5"/>
  <c r="U557" i="5"/>
  <c r="Q558" i="5"/>
  <c r="T558" i="5" s="1"/>
  <c r="R558" i="5"/>
  <c r="U558" i="5" s="1"/>
  <c r="S558" i="5"/>
  <c r="O559" i="5"/>
  <c r="P559" i="5"/>
  <c r="T559" i="5"/>
  <c r="U559" i="5"/>
  <c r="L560" i="5"/>
  <c r="M560" i="5"/>
  <c r="N560" i="5"/>
  <c r="N558" i="5" s="1"/>
  <c r="T560" i="5"/>
  <c r="U560" i="5"/>
  <c r="Q561" i="5"/>
  <c r="R561" i="5"/>
  <c r="S561" i="5"/>
  <c r="T561" i="5"/>
  <c r="U561" i="5"/>
  <c r="O562" i="5"/>
  <c r="P562" i="5"/>
  <c r="T562" i="5"/>
  <c r="U562" i="5"/>
  <c r="L563" i="5"/>
  <c r="M563" i="5"/>
  <c r="P563" i="5" s="1"/>
  <c r="N563" i="5"/>
  <c r="N561" i="5" s="1"/>
  <c r="T563" i="5"/>
  <c r="U563" i="5"/>
  <c r="I575" i="5"/>
  <c r="J575" i="5"/>
  <c r="L577" i="5"/>
  <c r="M577" i="5"/>
  <c r="N577" i="5"/>
  <c r="O577" i="5"/>
  <c r="P577" i="5"/>
  <c r="Q577" i="5"/>
  <c r="R577" i="5"/>
  <c r="R576" i="5" s="1"/>
  <c r="U576" i="5" s="1"/>
  <c r="S577" i="5"/>
  <c r="S576" i="5" s="1"/>
  <c r="Q578" i="5"/>
  <c r="T578" i="5" s="1"/>
  <c r="R578" i="5"/>
  <c r="U578" i="5" s="1"/>
  <c r="S578" i="5"/>
  <c r="Q579" i="5"/>
  <c r="T579" i="5" s="1"/>
  <c r="R579" i="5"/>
  <c r="U579" i="5" s="1"/>
  <c r="S579" i="5"/>
  <c r="O580" i="5"/>
  <c r="P580" i="5"/>
  <c r="T580" i="5"/>
  <c r="U580" i="5"/>
  <c r="L581" i="5"/>
  <c r="M581" i="5"/>
  <c r="N581" i="5"/>
  <c r="T581" i="5"/>
  <c r="U581" i="5"/>
  <c r="Q582" i="5"/>
  <c r="T582" i="5" s="1"/>
  <c r="R582" i="5"/>
  <c r="U582" i="5" s="1"/>
  <c r="S582" i="5"/>
  <c r="O583" i="5"/>
  <c r="P583" i="5"/>
  <c r="T583" i="5"/>
  <c r="U583" i="5"/>
  <c r="L584" i="5"/>
  <c r="M584" i="5"/>
  <c r="N584" i="5"/>
  <c r="N582" i="5" s="1"/>
  <c r="T584" i="5"/>
  <c r="U584" i="5"/>
  <c r="K586" i="5"/>
  <c r="K587" i="5"/>
  <c r="L600" i="5"/>
  <c r="M600" i="5"/>
  <c r="N600" i="5"/>
  <c r="O600" i="5"/>
  <c r="Q600" i="5"/>
  <c r="R600" i="5"/>
  <c r="S600" i="5"/>
  <c r="T600" i="5"/>
  <c r="U600" i="5"/>
  <c r="O603" i="5"/>
  <c r="P603" i="5"/>
  <c r="T603" i="5"/>
  <c r="U603" i="5"/>
  <c r="L604" i="5"/>
  <c r="M604" i="5"/>
  <c r="N604" i="5"/>
  <c r="N602" i="5" s="1"/>
  <c r="Q604" i="5"/>
  <c r="R604" i="5"/>
  <c r="R602" i="5" s="1"/>
  <c r="U602" i="5" s="1"/>
  <c r="S604" i="5"/>
  <c r="O606" i="5"/>
  <c r="P606" i="5"/>
  <c r="T606" i="5"/>
  <c r="U606" i="5"/>
  <c r="L607" i="5"/>
  <c r="O607" i="5" s="1"/>
  <c r="M607" i="5"/>
  <c r="M605" i="5" s="1"/>
  <c r="P605" i="5" s="1"/>
  <c r="N607" i="5"/>
  <c r="N605" i="5" s="1"/>
  <c r="Q607" i="5"/>
  <c r="T607" i="5" s="1"/>
  <c r="R607" i="5"/>
  <c r="R605" i="5" s="1"/>
  <c r="U605" i="5" s="1"/>
  <c r="S607" i="5"/>
  <c r="S605" i="5" s="1"/>
  <c r="L617" i="5"/>
  <c r="L616" i="5" s="1"/>
  <c r="O616" i="5" s="1"/>
  <c r="M617" i="5"/>
  <c r="N617" i="5"/>
  <c r="N616" i="5" s="1"/>
  <c r="P617" i="5"/>
  <c r="Q617" i="5"/>
  <c r="R617" i="5"/>
  <c r="S617" i="5"/>
  <c r="L618" i="5"/>
  <c r="O618" i="5" s="1"/>
  <c r="M618" i="5"/>
  <c r="P618" i="5" s="1"/>
  <c r="N618" i="5"/>
  <c r="L619" i="5"/>
  <c r="O619" i="5" s="1"/>
  <c r="M619" i="5"/>
  <c r="P619" i="5" s="1"/>
  <c r="N619" i="5"/>
  <c r="O620" i="5"/>
  <c r="P620" i="5"/>
  <c r="T620" i="5"/>
  <c r="U620" i="5"/>
  <c r="O621" i="5"/>
  <c r="P621" i="5"/>
  <c r="Q621" i="5"/>
  <c r="Q618" i="5" s="1"/>
  <c r="R621" i="5"/>
  <c r="R619" i="5" s="1"/>
  <c r="S621" i="5"/>
  <c r="S618" i="5" s="1"/>
  <c r="L622" i="5"/>
  <c r="O622" i="5" s="1"/>
  <c r="M622" i="5"/>
  <c r="P622" i="5" s="1"/>
  <c r="N622" i="5"/>
  <c r="Q622" i="5"/>
  <c r="T622" i="5" s="1"/>
  <c r="R622" i="5"/>
  <c r="U622" i="5" s="1"/>
  <c r="S622" i="5"/>
  <c r="O623" i="5"/>
  <c r="P623" i="5"/>
  <c r="T623" i="5"/>
  <c r="U623" i="5"/>
  <c r="O624" i="5"/>
  <c r="P624" i="5"/>
  <c r="T624" i="5"/>
  <c r="U624" i="5"/>
  <c r="I626" i="5"/>
  <c r="K632" i="5" s="1"/>
  <c r="J626" i="5"/>
  <c r="J615" i="5" s="1"/>
  <c r="I627" i="5"/>
  <c r="K627" i="5" s="1"/>
  <c r="I628" i="5"/>
  <c r="K628" i="5" s="1"/>
  <c r="J632" i="5"/>
  <c r="I635" i="5"/>
  <c r="K635" i="5" s="1"/>
  <c r="J636" i="5"/>
  <c r="J635" i="5" s="1"/>
  <c r="L643" i="5"/>
  <c r="O643" i="5" s="1"/>
  <c r="M643" i="5"/>
  <c r="N643" i="5"/>
  <c r="N642" i="5" s="1"/>
  <c r="Q643" i="5"/>
  <c r="R643" i="5"/>
  <c r="S643" i="5"/>
  <c r="U643" i="5"/>
  <c r="L644" i="5"/>
  <c r="O644" i="5" s="1"/>
  <c r="M644" i="5"/>
  <c r="P644" i="5" s="1"/>
  <c r="N644" i="5"/>
  <c r="L645" i="5"/>
  <c r="M645" i="5"/>
  <c r="P645" i="5" s="1"/>
  <c r="N645" i="5"/>
  <c r="O645" i="5"/>
  <c r="O646" i="5"/>
  <c r="P646" i="5"/>
  <c r="T646" i="5"/>
  <c r="U646" i="5"/>
  <c r="O647" i="5"/>
  <c r="P647" i="5"/>
  <c r="Q647" i="5"/>
  <c r="Q645" i="5" s="1"/>
  <c r="T645" i="5" s="1"/>
  <c r="R647" i="5"/>
  <c r="S647" i="5"/>
  <c r="S644" i="5" s="1"/>
  <c r="L648" i="5"/>
  <c r="O648" i="5" s="1"/>
  <c r="M648" i="5"/>
  <c r="N648" i="5"/>
  <c r="P648" i="5"/>
  <c r="Q648" i="5"/>
  <c r="T648" i="5" s="1"/>
  <c r="R648" i="5"/>
  <c r="U648" i="5" s="1"/>
  <c r="S648" i="5"/>
  <c r="O649" i="5"/>
  <c r="P649" i="5"/>
  <c r="T649" i="5"/>
  <c r="U649" i="5"/>
  <c r="O650" i="5"/>
  <c r="P650" i="5"/>
  <c r="T650" i="5"/>
  <c r="U650" i="5"/>
  <c r="I652" i="5"/>
  <c r="K652" i="5" s="1"/>
  <c r="J652" i="5"/>
  <c r="I653" i="5"/>
  <c r="K653" i="5" s="1"/>
  <c r="J653" i="5"/>
  <c r="I654" i="5"/>
  <c r="K654" i="5" s="1"/>
  <c r="J654" i="5"/>
  <c r="I657" i="5"/>
  <c r="I660" i="5"/>
  <c r="I661" i="5"/>
  <c r="K661" i="5" s="1"/>
  <c r="J661" i="5"/>
  <c r="J671" i="5"/>
  <c r="J672" i="5"/>
  <c r="I673" i="5"/>
  <c r="K673" i="5" s="1"/>
  <c r="J673" i="5"/>
  <c r="I674" i="5"/>
  <c r="K674" i="5" s="1"/>
  <c r="I675" i="5"/>
  <c r="K675" i="5" s="1"/>
  <c r="I676" i="5"/>
  <c r="K676" i="5" s="1"/>
  <c r="J676" i="5"/>
  <c r="J677" i="5"/>
  <c r="I678" i="5"/>
  <c r="K678" i="5" s="1"/>
  <c r="J678" i="5"/>
  <c r="I679" i="5"/>
  <c r="K679" i="5" s="1"/>
  <c r="J679" i="5"/>
  <c r="J680" i="5"/>
  <c r="I681" i="5"/>
  <c r="K681" i="5" s="1"/>
  <c r="J681" i="5"/>
  <c r="I682" i="5"/>
  <c r="K682" i="5" s="1"/>
  <c r="J682" i="5"/>
  <c r="L691" i="5"/>
  <c r="O691" i="5" s="1"/>
  <c r="M691" i="5"/>
  <c r="N691" i="5"/>
  <c r="N690" i="5" s="1"/>
  <c r="Q691" i="5"/>
  <c r="R691" i="5"/>
  <c r="S691" i="5"/>
  <c r="U691" i="5"/>
  <c r="L692" i="5"/>
  <c r="O692" i="5" s="1"/>
  <c r="M692" i="5"/>
  <c r="P692" i="5" s="1"/>
  <c r="N692" i="5"/>
  <c r="L693" i="5"/>
  <c r="M693" i="5"/>
  <c r="P693" i="5" s="1"/>
  <c r="N693" i="5"/>
  <c r="O693" i="5"/>
  <c r="O694" i="5"/>
  <c r="P694" i="5"/>
  <c r="T694" i="5"/>
  <c r="U694" i="5"/>
  <c r="O695" i="5"/>
  <c r="P695" i="5"/>
  <c r="Q695" i="5"/>
  <c r="Q693" i="5" s="1"/>
  <c r="R695" i="5"/>
  <c r="S695" i="5"/>
  <c r="S692" i="5" s="1"/>
  <c r="L696" i="5"/>
  <c r="O696" i="5" s="1"/>
  <c r="M696" i="5"/>
  <c r="P696" i="5" s="1"/>
  <c r="N696" i="5"/>
  <c r="Q696" i="5"/>
  <c r="T696" i="5" s="1"/>
  <c r="R696" i="5"/>
  <c r="U696" i="5" s="1"/>
  <c r="S696" i="5"/>
  <c r="O697" i="5"/>
  <c r="P697" i="5"/>
  <c r="T697" i="5"/>
  <c r="U697" i="5"/>
  <c r="O698" i="5"/>
  <c r="P698" i="5"/>
  <c r="T698" i="5"/>
  <c r="U698" i="5"/>
  <c r="I700" i="5"/>
  <c r="K700" i="5" s="1"/>
  <c r="K702" i="5"/>
  <c r="I703" i="5"/>
  <c r="J703" i="5"/>
  <c r="J704" i="5"/>
  <c r="K704" i="5"/>
  <c r="I705" i="5"/>
  <c r="J705" i="5"/>
  <c r="J706" i="5"/>
  <c r="K706" i="5"/>
  <c r="I707" i="5"/>
  <c r="J707" i="5"/>
  <c r="J689" i="5" s="1"/>
  <c r="J708" i="5"/>
  <c r="K708" i="5"/>
  <c r="I709" i="5"/>
  <c r="J709" i="5"/>
  <c r="J710" i="5"/>
  <c r="K710" i="5"/>
  <c r="J712" i="5"/>
  <c r="K712" i="5"/>
  <c r="L715" i="5"/>
  <c r="L714" i="5" s="1"/>
  <c r="O714" i="5" s="1"/>
  <c r="M715" i="5"/>
  <c r="N715" i="5"/>
  <c r="N714" i="5" s="1"/>
  <c r="O715" i="5"/>
  <c r="Q715" i="5"/>
  <c r="Q714" i="5" s="1"/>
  <c r="T714" i="5" s="1"/>
  <c r="R715" i="5"/>
  <c r="R714" i="5" s="1"/>
  <c r="U714" i="5" s="1"/>
  <c r="S715" i="5"/>
  <c r="T715" i="5"/>
  <c r="U715" i="5"/>
  <c r="L716" i="5"/>
  <c r="O716" i="5" s="1"/>
  <c r="M716" i="5"/>
  <c r="N716" i="5"/>
  <c r="P716" i="5"/>
  <c r="Q716" i="5"/>
  <c r="T716" i="5" s="1"/>
  <c r="R716" i="5"/>
  <c r="S716" i="5"/>
  <c r="U716" i="5"/>
  <c r="L717" i="5"/>
  <c r="O717" i="5" s="1"/>
  <c r="M717" i="5"/>
  <c r="P717" i="5" s="1"/>
  <c r="N717" i="5"/>
  <c r="Q717" i="5"/>
  <c r="T717" i="5" s="1"/>
  <c r="R717" i="5"/>
  <c r="U717" i="5" s="1"/>
  <c r="S717" i="5"/>
  <c r="O718" i="5"/>
  <c r="P718" i="5"/>
  <c r="T718" i="5"/>
  <c r="U718" i="5"/>
  <c r="O719" i="5"/>
  <c r="P719" i="5"/>
  <c r="T719" i="5"/>
  <c r="U719" i="5"/>
  <c r="L720" i="5"/>
  <c r="O720" i="5" s="1"/>
  <c r="M720" i="5"/>
  <c r="P720" i="5" s="1"/>
  <c r="N720" i="5"/>
  <c r="Q720" i="5"/>
  <c r="T720" i="5" s="1"/>
  <c r="R720" i="5"/>
  <c r="U720" i="5" s="1"/>
  <c r="S720" i="5"/>
  <c r="O721" i="5"/>
  <c r="P721" i="5"/>
  <c r="T721" i="5"/>
  <c r="U721" i="5"/>
  <c r="O722" i="5"/>
  <c r="P722" i="5"/>
  <c r="T722" i="5"/>
  <c r="U722" i="5"/>
  <c r="I726" i="5"/>
  <c r="K726" i="5" s="1"/>
  <c r="J726" i="5"/>
  <c r="I727" i="5"/>
  <c r="K727" i="5" s="1"/>
  <c r="J727" i="5"/>
  <c r="L729" i="5"/>
  <c r="M729" i="5"/>
  <c r="N729" i="5"/>
  <c r="N728" i="5" s="1"/>
  <c r="O729" i="5"/>
  <c r="Q729" i="5"/>
  <c r="R729" i="5"/>
  <c r="S729" i="5"/>
  <c r="T729" i="5"/>
  <c r="U729" i="5"/>
  <c r="L730" i="5"/>
  <c r="O730" i="5" s="1"/>
  <c r="M730" i="5"/>
  <c r="N730" i="5"/>
  <c r="P730" i="5"/>
  <c r="L731" i="5"/>
  <c r="O731" i="5" s="1"/>
  <c r="M731" i="5"/>
  <c r="P731" i="5" s="1"/>
  <c r="N731" i="5"/>
  <c r="O732" i="5"/>
  <c r="P732" i="5"/>
  <c r="T732" i="5"/>
  <c r="U732" i="5"/>
  <c r="O733" i="5"/>
  <c r="P733" i="5"/>
  <c r="Q733" i="5"/>
  <c r="Q731" i="5" s="1"/>
  <c r="R733" i="5"/>
  <c r="R731" i="5" s="1"/>
  <c r="S733" i="5"/>
  <c r="L734" i="5"/>
  <c r="M734" i="5"/>
  <c r="N734" i="5"/>
  <c r="O734" i="5"/>
  <c r="P734" i="5"/>
  <c r="Q734" i="5"/>
  <c r="T734" i="5" s="1"/>
  <c r="R734" i="5"/>
  <c r="S734" i="5"/>
  <c r="U734" i="5"/>
  <c r="O735" i="5"/>
  <c r="P735" i="5"/>
  <c r="T735" i="5"/>
  <c r="U735" i="5"/>
  <c r="O736" i="5"/>
  <c r="P736" i="5"/>
  <c r="T736" i="5"/>
  <c r="U736" i="5"/>
  <c r="I740" i="5"/>
  <c r="K740" i="5" s="1"/>
  <c r="I742" i="5"/>
  <c r="K742" i="5" s="1"/>
  <c r="I744" i="5"/>
  <c r="K744" i="5" s="1"/>
  <c r="I746" i="5"/>
  <c r="K746" i="5" s="1"/>
  <c r="I749" i="5"/>
  <c r="K749" i="5" s="1"/>
  <c r="I752" i="5"/>
  <c r="K752" i="5" s="1"/>
  <c r="I755" i="5"/>
  <c r="K755" i="5" s="1"/>
  <c r="J758" i="5"/>
  <c r="J759" i="5"/>
  <c r="L761" i="5"/>
  <c r="M761" i="5"/>
  <c r="N761" i="5"/>
  <c r="N760" i="5" s="1"/>
  <c r="O761" i="5"/>
  <c r="P761" i="5"/>
  <c r="Q761" i="5"/>
  <c r="T761" i="5" s="1"/>
  <c r="R761" i="5"/>
  <c r="S761" i="5"/>
  <c r="U761" i="5"/>
  <c r="L762" i="5"/>
  <c r="M762" i="5"/>
  <c r="P762" i="5" s="1"/>
  <c r="N762" i="5"/>
  <c r="L763" i="5"/>
  <c r="O763" i="5" s="1"/>
  <c r="M763" i="5"/>
  <c r="P763" i="5" s="1"/>
  <c r="N763" i="5"/>
  <c r="O764" i="5"/>
  <c r="P764" i="5"/>
  <c r="T764" i="5"/>
  <c r="U764" i="5"/>
  <c r="O765" i="5"/>
  <c r="P765" i="5"/>
  <c r="Q765" i="5"/>
  <c r="R765" i="5"/>
  <c r="S765" i="5"/>
  <c r="S762" i="5" s="1"/>
  <c r="L766" i="5"/>
  <c r="O766" i="5" s="1"/>
  <c r="M766" i="5"/>
  <c r="P766" i="5" s="1"/>
  <c r="N766" i="5"/>
  <c r="Q766" i="5"/>
  <c r="T766" i="5" s="1"/>
  <c r="R766" i="5"/>
  <c r="S766" i="5"/>
  <c r="U766" i="5"/>
  <c r="O767" i="5"/>
  <c r="P767" i="5"/>
  <c r="T767" i="5"/>
  <c r="U767" i="5"/>
  <c r="O768" i="5"/>
  <c r="P768" i="5"/>
  <c r="T768" i="5"/>
  <c r="U768" i="5"/>
  <c r="I770" i="5"/>
  <c r="K770" i="5" s="1"/>
  <c r="I772" i="5"/>
  <c r="I758" i="5" s="1"/>
  <c r="K758" i="5" s="1"/>
  <c r="I774" i="5"/>
  <c r="I775" i="5"/>
  <c r="I776" i="5"/>
  <c r="H777" i="5"/>
  <c r="I778" i="5"/>
  <c r="J778" i="5"/>
  <c r="I779" i="5"/>
  <c r="J779" i="5"/>
  <c r="I780" i="5"/>
  <c r="J780" i="5"/>
  <c r="I781" i="5"/>
  <c r="J781" i="5"/>
  <c r="I782" i="5"/>
  <c r="K782" i="5" s="1"/>
  <c r="J782" i="5"/>
  <c r="I783" i="5"/>
  <c r="K783" i="5" s="1"/>
  <c r="J783" i="5"/>
  <c r="I784" i="5"/>
  <c r="J784" i="5"/>
  <c r="I785" i="5"/>
  <c r="J785" i="5"/>
  <c r="A788" i="5"/>
  <c r="A789" i="5"/>
  <c r="L22" i="4"/>
  <c r="M22" i="4"/>
  <c r="N22" i="4"/>
  <c r="Q22" i="4"/>
  <c r="R22" i="4"/>
  <c r="S22" i="4"/>
  <c r="L25" i="4"/>
  <c r="L19" i="4" s="1"/>
  <c r="M25" i="4"/>
  <c r="N25" i="4"/>
  <c r="Q25" i="4"/>
  <c r="T25" i="4" s="1"/>
  <c r="R25" i="4"/>
  <c r="S25" i="4"/>
  <c r="L45" i="4"/>
  <c r="O45" i="4" s="1"/>
  <c r="M45" i="4"/>
  <c r="N45" i="4"/>
  <c r="Q45" i="4"/>
  <c r="Q44" i="4" s="1"/>
  <c r="T44" i="4" s="1"/>
  <c r="R45" i="4"/>
  <c r="U45" i="4" s="1"/>
  <c r="S45" i="4"/>
  <c r="S44" i="4" s="1"/>
  <c r="T45" i="4"/>
  <c r="Q46" i="4"/>
  <c r="T46" i="4" s="1"/>
  <c r="R46" i="4"/>
  <c r="S46" i="4"/>
  <c r="U46" i="4"/>
  <c r="Q47" i="4"/>
  <c r="T47" i="4" s="1"/>
  <c r="R47" i="4"/>
  <c r="U47" i="4" s="1"/>
  <c r="S47" i="4"/>
  <c r="O48" i="4"/>
  <c r="P48" i="4"/>
  <c r="T48" i="4"/>
  <c r="U48" i="4"/>
  <c r="L49" i="4"/>
  <c r="M49" i="4"/>
  <c r="N49" i="4"/>
  <c r="T49" i="4"/>
  <c r="U49" i="4"/>
  <c r="Q50" i="4"/>
  <c r="T50" i="4" s="1"/>
  <c r="R50" i="4"/>
  <c r="S50" i="4"/>
  <c r="U50" i="4"/>
  <c r="O51" i="4"/>
  <c r="P51" i="4"/>
  <c r="T51" i="4"/>
  <c r="U51" i="4"/>
  <c r="L52" i="4"/>
  <c r="M52" i="4"/>
  <c r="N52" i="4"/>
  <c r="N50" i="4" s="1"/>
  <c r="T52" i="4"/>
  <c r="U52" i="4"/>
  <c r="L60" i="4"/>
  <c r="O60" i="4" s="1"/>
  <c r="M60" i="4"/>
  <c r="N60" i="4"/>
  <c r="Q60" i="4"/>
  <c r="Q59" i="4" s="1"/>
  <c r="T59" i="4" s="1"/>
  <c r="R60" i="4"/>
  <c r="R59" i="4" s="1"/>
  <c r="U59" i="4" s="1"/>
  <c r="S60" i="4"/>
  <c r="S59" i="4" s="1"/>
  <c r="T60" i="4"/>
  <c r="U60" i="4"/>
  <c r="Q61" i="4"/>
  <c r="T61" i="4" s="1"/>
  <c r="R61" i="4"/>
  <c r="S61" i="4"/>
  <c r="U61" i="4"/>
  <c r="Q62" i="4"/>
  <c r="T62" i="4" s="1"/>
  <c r="R62" i="4"/>
  <c r="U62" i="4" s="1"/>
  <c r="S62" i="4"/>
  <c r="O63" i="4"/>
  <c r="P63" i="4"/>
  <c r="T63" i="4"/>
  <c r="U63" i="4"/>
  <c r="L64" i="4"/>
  <c r="L62" i="4" s="1"/>
  <c r="M64" i="4"/>
  <c r="M62" i="4" s="1"/>
  <c r="N64" i="4"/>
  <c r="T64" i="4"/>
  <c r="U64" i="4"/>
  <c r="Q65" i="4"/>
  <c r="T65" i="4" s="1"/>
  <c r="R65" i="4"/>
  <c r="U65" i="4" s="1"/>
  <c r="S65" i="4"/>
  <c r="O66" i="4"/>
  <c r="P66" i="4"/>
  <c r="T66" i="4"/>
  <c r="U66" i="4"/>
  <c r="L67" i="4"/>
  <c r="M67" i="4"/>
  <c r="N67" i="4"/>
  <c r="N65" i="4" s="1"/>
  <c r="T67" i="4"/>
  <c r="U67" i="4"/>
  <c r="L73" i="4"/>
  <c r="M73" i="4"/>
  <c r="N73" i="4"/>
  <c r="O73" i="4"/>
  <c r="Q73" i="4"/>
  <c r="R73" i="4"/>
  <c r="S73" i="4"/>
  <c r="U73" i="4"/>
  <c r="O76" i="4"/>
  <c r="P76" i="4"/>
  <c r="T76" i="4"/>
  <c r="U76" i="4"/>
  <c r="L77" i="4"/>
  <c r="L75" i="4" s="1"/>
  <c r="O75" i="4" s="1"/>
  <c r="M77" i="4"/>
  <c r="N77" i="4"/>
  <c r="Q77" i="4"/>
  <c r="R77" i="4"/>
  <c r="U77" i="4" s="1"/>
  <c r="S77" i="4"/>
  <c r="O79" i="4"/>
  <c r="P79" i="4"/>
  <c r="T79" i="4"/>
  <c r="U79" i="4"/>
  <c r="L80" i="4"/>
  <c r="M80" i="4"/>
  <c r="N80" i="4"/>
  <c r="N78" i="4" s="1"/>
  <c r="Q80" i="4"/>
  <c r="R80" i="4"/>
  <c r="S80" i="4"/>
  <c r="S78" i="4" s="1"/>
  <c r="J82" i="4"/>
  <c r="J70" i="4" s="1"/>
  <c r="J83" i="4"/>
  <c r="J71" i="4" s="1"/>
  <c r="I84" i="4"/>
  <c r="I85" i="4"/>
  <c r="I86" i="4"/>
  <c r="K86" i="4" s="1"/>
  <c r="I87" i="4"/>
  <c r="K87" i="4" s="1"/>
  <c r="I88" i="4"/>
  <c r="K88" i="4" s="1"/>
  <c r="I89" i="4"/>
  <c r="K89" i="4" s="1"/>
  <c r="I90" i="4"/>
  <c r="K90" i="4" s="1"/>
  <c r="J92" i="4"/>
  <c r="J93" i="4"/>
  <c r="L95" i="4"/>
  <c r="M95" i="4"/>
  <c r="N95" i="4"/>
  <c r="Q95" i="4"/>
  <c r="R95" i="4"/>
  <c r="S95" i="4"/>
  <c r="O98" i="4"/>
  <c r="P98" i="4"/>
  <c r="T98" i="4"/>
  <c r="U98" i="4"/>
  <c r="L99" i="4"/>
  <c r="M99" i="4"/>
  <c r="N99" i="4"/>
  <c r="Q99" i="4"/>
  <c r="Q96" i="4" s="1"/>
  <c r="T96" i="4" s="1"/>
  <c r="R99" i="4"/>
  <c r="R96" i="4" s="1"/>
  <c r="U96" i="4" s="1"/>
  <c r="S99" i="4"/>
  <c r="S97" i="4" s="1"/>
  <c r="Q100" i="4"/>
  <c r="T100" i="4" s="1"/>
  <c r="R100" i="4"/>
  <c r="U100" i="4" s="1"/>
  <c r="S100" i="4"/>
  <c r="O101" i="4"/>
  <c r="P101" i="4"/>
  <c r="T101" i="4"/>
  <c r="U101" i="4"/>
  <c r="L102" i="4"/>
  <c r="M102" i="4"/>
  <c r="N102" i="4"/>
  <c r="N100" i="4" s="1"/>
  <c r="T102" i="4"/>
  <c r="U102" i="4"/>
  <c r="I108" i="4"/>
  <c r="I109" i="4"/>
  <c r="K109" i="4" s="1"/>
  <c r="I114" i="4"/>
  <c r="K114" i="4" s="1"/>
  <c r="J116" i="4"/>
  <c r="L118" i="4"/>
  <c r="M118" i="4"/>
  <c r="N118" i="4"/>
  <c r="Q118" i="4"/>
  <c r="R118" i="4"/>
  <c r="S118" i="4"/>
  <c r="O121" i="4"/>
  <c r="P121" i="4"/>
  <c r="T121" i="4"/>
  <c r="U121" i="4"/>
  <c r="L122" i="4"/>
  <c r="O122" i="4" s="1"/>
  <c r="M122" i="4"/>
  <c r="N122" i="4"/>
  <c r="N120" i="4" s="1"/>
  <c r="Q122" i="4"/>
  <c r="Q120" i="4" s="1"/>
  <c r="R122" i="4"/>
  <c r="R120" i="4" s="1"/>
  <c r="S122" i="4"/>
  <c r="O124" i="4"/>
  <c r="P124" i="4"/>
  <c r="T124" i="4"/>
  <c r="U124" i="4"/>
  <c r="L125" i="4"/>
  <c r="M125" i="4"/>
  <c r="N125" i="4"/>
  <c r="Q125" i="4"/>
  <c r="T125" i="4" s="1"/>
  <c r="R125" i="4"/>
  <c r="R123" i="4" s="1"/>
  <c r="U123" i="4" s="1"/>
  <c r="S125" i="4"/>
  <c r="S123" i="4" s="1"/>
  <c r="I127" i="4"/>
  <c r="K127" i="4" s="1"/>
  <c r="I128" i="4"/>
  <c r="K128" i="4" s="1"/>
  <c r="I129" i="4"/>
  <c r="K129" i="4" s="1"/>
  <c r="I130" i="4"/>
  <c r="K130" i="4" s="1"/>
  <c r="J136" i="4"/>
  <c r="J137" i="4"/>
  <c r="J138" i="4"/>
  <c r="L140" i="4"/>
  <c r="O140" i="4" s="1"/>
  <c r="M140" i="4"/>
  <c r="N140" i="4"/>
  <c r="Q140" i="4"/>
  <c r="R140" i="4"/>
  <c r="U140" i="4" s="1"/>
  <c r="S140" i="4"/>
  <c r="O143" i="4"/>
  <c r="P143" i="4"/>
  <c r="T143" i="4"/>
  <c r="U143" i="4"/>
  <c r="L144" i="4"/>
  <c r="M144" i="4"/>
  <c r="N144" i="4"/>
  <c r="N142" i="4" s="1"/>
  <c r="Q144" i="4"/>
  <c r="Q142" i="4" s="1"/>
  <c r="R144" i="4"/>
  <c r="R142" i="4" s="1"/>
  <c r="S144" i="4"/>
  <c r="S142" i="4" s="1"/>
  <c r="O146" i="4"/>
  <c r="P146" i="4"/>
  <c r="T146" i="4"/>
  <c r="U146" i="4"/>
  <c r="L147" i="4"/>
  <c r="O147" i="4" s="1"/>
  <c r="M147" i="4"/>
  <c r="N147" i="4"/>
  <c r="N145" i="4" s="1"/>
  <c r="Q147" i="4"/>
  <c r="Q145" i="4" s="1"/>
  <c r="T145" i="4" s="1"/>
  <c r="R147" i="4"/>
  <c r="U147" i="4" s="1"/>
  <c r="S147" i="4"/>
  <c r="S145" i="4" s="1"/>
  <c r="I150" i="4"/>
  <c r="K150" i="4" s="1"/>
  <c r="I151" i="4"/>
  <c r="K151" i="4" s="1"/>
  <c r="I152" i="4"/>
  <c r="I137" i="4" s="1"/>
  <c r="K137" i="4" s="1"/>
  <c r="I153" i="4"/>
  <c r="I154" i="4"/>
  <c r="I136" i="4" s="1"/>
  <c r="K136" i="4" s="1"/>
  <c r="J156" i="4"/>
  <c r="L158" i="4"/>
  <c r="M158" i="4"/>
  <c r="N158" i="4"/>
  <c r="P158" i="4"/>
  <c r="Q158" i="4"/>
  <c r="R158" i="4"/>
  <c r="U158" i="4" s="1"/>
  <c r="S158" i="4"/>
  <c r="O161" i="4"/>
  <c r="P161" i="4"/>
  <c r="T161" i="4"/>
  <c r="U161" i="4"/>
  <c r="L162" i="4"/>
  <c r="L160" i="4" s="1"/>
  <c r="O160" i="4" s="1"/>
  <c r="M162" i="4"/>
  <c r="N162" i="4"/>
  <c r="Q162" i="4"/>
  <c r="R162" i="4"/>
  <c r="U162" i="4" s="1"/>
  <c r="S162" i="4"/>
  <c r="Q163" i="4"/>
  <c r="T163" i="4" s="1"/>
  <c r="R163" i="4"/>
  <c r="U163" i="4" s="1"/>
  <c r="S163" i="4"/>
  <c r="O164" i="4"/>
  <c r="P164" i="4"/>
  <c r="T164" i="4"/>
  <c r="U164" i="4"/>
  <c r="L165" i="4"/>
  <c r="M165" i="4"/>
  <c r="M163" i="4" s="1"/>
  <c r="P163" i="4" s="1"/>
  <c r="N165" i="4"/>
  <c r="N163" i="4" s="1"/>
  <c r="T165" i="4"/>
  <c r="U165" i="4"/>
  <c r="I167" i="4"/>
  <c r="K167" i="4" s="1"/>
  <c r="I168" i="4"/>
  <c r="K168" i="4" s="1"/>
  <c r="I169" i="4"/>
  <c r="K169" i="4" s="1"/>
  <c r="J172" i="4"/>
  <c r="L174" i="4"/>
  <c r="O174" i="4" s="1"/>
  <c r="M174" i="4"/>
  <c r="N174" i="4"/>
  <c r="Q174" i="4"/>
  <c r="R174" i="4"/>
  <c r="U174" i="4" s="1"/>
  <c r="S174" i="4"/>
  <c r="T174" i="4"/>
  <c r="O177" i="4"/>
  <c r="P177" i="4"/>
  <c r="T177" i="4"/>
  <c r="U177" i="4"/>
  <c r="L178" i="4"/>
  <c r="M178" i="4"/>
  <c r="N178" i="4"/>
  <c r="N176" i="4" s="1"/>
  <c r="Q178" i="4"/>
  <c r="Q175" i="4" s="1"/>
  <c r="Q173" i="4" s="1"/>
  <c r="T173" i="4" s="1"/>
  <c r="R178" i="4"/>
  <c r="R176" i="4" s="1"/>
  <c r="U176" i="4" s="1"/>
  <c r="S178" i="4"/>
  <c r="Q179" i="4"/>
  <c r="T179" i="4" s="1"/>
  <c r="R179" i="4"/>
  <c r="U179" i="4" s="1"/>
  <c r="S179" i="4"/>
  <c r="O180" i="4"/>
  <c r="P180" i="4"/>
  <c r="T180" i="4"/>
  <c r="U180" i="4"/>
  <c r="L181" i="4"/>
  <c r="L179" i="4" s="1"/>
  <c r="O179" i="4" s="1"/>
  <c r="M181" i="4"/>
  <c r="M179" i="4" s="1"/>
  <c r="P179" i="4" s="1"/>
  <c r="N181" i="4"/>
  <c r="N179" i="4" s="1"/>
  <c r="T181" i="4"/>
  <c r="U181" i="4"/>
  <c r="I183" i="4"/>
  <c r="I172" i="4" s="1"/>
  <c r="K172" i="4" s="1"/>
  <c r="K184" i="4"/>
  <c r="L187" i="4"/>
  <c r="O187" i="4" s="1"/>
  <c r="M187" i="4"/>
  <c r="N187" i="4"/>
  <c r="P187" i="4"/>
  <c r="Q187" i="4"/>
  <c r="T187" i="4" s="1"/>
  <c r="R187" i="4"/>
  <c r="U187" i="4" s="1"/>
  <c r="S187" i="4"/>
  <c r="O190" i="4"/>
  <c r="P190" i="4"/>
  <c r="T190" i="4"/>
  <c r="U190" i="4"/>
  <c r="L191" i="4"/>
  <c r="M191" i="4"/>
  <c r="N191" i="4"/>
  <c r="Q191" i="4"/>
  <c r="Q189" i="4" s="1"/>
  <c r="R191" i="4"/>
  <c r="S191" i="4"/>
  <c r="S189" i="4" s="1"/>
  <c r="O193" i="4"/>
  <c r="P193" i="4"/>
  <c r="T193" i="4"/>
  <c r="U193" i="4"/>
  <c r="L194" i="4"/>
  <c r="O194" i="4" s="1"/>
  <c r="M194" i="4"/>
  <c r="M192" i="4" s="1"/>
  <c r="P192" i="4" s="1"/>
  <c r="N194" i="4"/>
  <c r="N192" i="4" s="1"/>
  <c r="Q194" i="4"/>
  <c r="R194" i="4"/>
  <c r="S194" i="4"/>
  <c r="S192" i="4" s="1"/>
  <c r="J195" i="4"/>
  <c r="L196" i="4"/>
  <c r="O196" i="4" s="1"/>
  <c r="P196" i="4"/>
  <c r="I198" i="4"/>
  <c r="I195" i="4" s="1"/>
  <c r="K195" i="4" s="1"/>
  <c r="J199" i="4"/>
  <c r="J202" i="4"/>
  <c r="N203" i="4"/>
  <c r="P203" i="4"/>
  <c r="S203" i="4"/>
  <c r="U203" i="4"/>
  <c r="L204" i="4"/>
  <c r="L205" i="4"/>
  <c r="L206" i="4"/>
  <c r="Q206" i="4"/>
  <c r="Q203" i="4" s="1"/>
  <c r="T203" i="4" s="1"/>
  <c r="L207" i="4"/>
  <c r="I209" i="4"/>
  <c r="I202" i="4" s="1"/>
  <c r="K202" i="4" s="1"/>
  <c r="I211" i="4"/>
  <c r="K211" i="4" s="1"/>
  <c r="I212" i="4"/>
  <c r="K212" i="4" s="1"/>
  <c r="J213" i="4"/>
  <c r="N214" i="4"/>
  <c r="P214" i="4"/>
  <c r="S214" i="4"/>
  <c r="U214" i="4"/>
  <c r="L215" i="4"/>
  <c r="L216" i="4"/>
  <c r="L217" i="4"/>
  <c r="Q217" i="4"/>
  <c r="Q214" i="4" s="1"/>
  <c r="T214" i="4" s="1"/>
  <c r="I219" i="4"/>
  <c r="K219" i="4" s="1"/>
  <c r="I220" i="4"/>
  <c r="J221" i="4"/>
  <c r="N222" i="4"/>
  <c r="P222" i="4"/>
  <c r="L223" i="4"/>
  <c r="L224" i="4"/>
  <c r="L225" i="4"/>
  <c r="I228" i="4"/>
  <c r="K228" i="4" s="1"/>
  <c r="I229" i="4"/>
  <c r="I221" i="4" s="1"/>
  <c r="K221" i="4" s="1"/>
  <c r="I230" i="4"/>
  <c r="K230" i="4" s="1"/>
  <c r="N233" i="4"/>
  <c r="N234" i="4"/>
  <c r="N235" i="4"/>
  <c r="N236" i="4"/>
  <c r="J238" i="4"/>
  <c r="I240" i="4"/>
  <c r="K240" i="4" s="1"/>
  <c r="J240" i="4"/>
  <c r="I241" i="4"/>
  <c r="J241" i="4"/>
  <c r="K241" i="4"/>
  <c r="J242" i="4"/>
  <c r="J231" i="4" s="1"/>
  <c r="J185" i="4" s="1"/>
  <c r="N243" i="4"/>
  <c r="P243" i="4"/>
  <c r="L244" i="4"/>
  <c r="L245" i="4"/>
  <c r="L246" i="4"/>
  <c r="L247" i="4"/>
  <c r="I249" i="4"/>
  <c r="K249" i="4" s="1"/>
  <c r="K251" i="4"/>
  <c r="K252" i="4"/>
  <c r="J253" i="4"/>
  <c r="N254" i="4"/>
  <c r="P254" i="4"/>
  <c r="L255" i="4"/>
  <c r="L256" i="4"/>
  <c r="L257" i="4"/>
  <c r="L258" i="4"/>
  <c r="I260" i="4"/>
  <c r="K260" i="4" s="1"/>
  <c r="K262" i="4"/>
  <c r="K263" i="4"/>
  <c r="J265" i="4"/>
  <c r="L267" i="4"/>
  <c r="O267" i="4" s="1"/>
  <c r="M267" i="4"/>
  <c r="P267" i="4" s="1"/>
  <c r="N267" i="4"/>
  <c r="Q267" i="4"/>
  <c r="R267" i="4"/>
  <c r="S267" i="4"/>
  <c r="U267" i="4"/>
  <c r="O270" i="4"/>
  <c r="P270" i="4"/>
  <c r="T270" i="4"/>
  <c r="U270" i="4"/>
  <c r="L271" i="4"/>
  <c r="M271" i="4"/>
  <c r="N271" i="4"/>
  <c r="N269" i="4" s="1"/>
  <c r="Q271" i="4"/>
  <c r="R271" i="4"/>
  <c r="R269" i="4" s="1"/>
  <c r="S271" i="4"/>
  <c r="S269" i="4" s="1"/>
  <c r="Q272" i="4"/>
  <c r="T272" i="4" s="1"/>
  <c r="R272" i="4"/>
  <c r="U272" i="4" s="1"/>
  <c r="S272" i="4"/>
  <c r="O273" i="4"/>
  <c r="P273" i="4"/>
  <c r="T273" i="4"/>
  <c r="U273" i="4"/>
  <c r="L274" i="4"/>
  <c r="O274" i="4" s="1"/>
  <c r="M274" i="4"/>
  <c r="P274" i="4" s="1"/>
  <c r="N274" i="4"/>
  <c r="N272" i="4" s="1"/>
  <c r="T274" i="4"/>
  <c r="U274" i="4"/>
  <c r="I276" i="4"/>
  <c r="K276" i="4" s="1"/>
  <c r="J281" i="4"/>
  <c r="L283" i="4"/>
  <c r="M283" i="4"/>
  <c r="P283" i="4" s="1"/>
  <c r="N283" i="4"/>
  <c r="O283" i="4"/>
  <c r="Q283" i="4"/>
  <c r="R283" i="4"/>
  <c r="S283" i="4"/>
  <c r="S282" i="4" s="1"/>
  <c r="T283" i="4"/>
  <c r="U283" i="4"/>
  <c r="Q284" i="4"/>
  <c r="T284" i="4" s="1"/>
  <c r="R284" i="4"/>
  <c r="U284" i="4" s="1"/>
  <c r="S284" i="4"/>
  <c r="Q285" i="4"/>
  <c r="R285" i="4"/>
  <c r="S285" i="4"/>
  <c r="T285" i="4"/>
  <c r="U285" i="4"/>
  <c r="O286" i="4"/>
  <c r="P286" i="4"/>
  <c r="T286" i="4"/>
  <c r="U286" i="4"/>
  <c r="L287" i="4"/>
  <c r="M287" i="4"/>
  <c r="M285" i="4" s="1"/>
  <c r="P285" i="4" s="1"/>
  <c r="N287" i="4"/>
  <c r="T287" i="4"/>
  <c r="U287" i="4"/>
  <c r="Q288" i="4"/>
  <c r="T288" i="4" s="1"/>
  <c r="R288" i="4"/>
  <c r="U288" i="4" s="1"/>
  <c r="S288" i="4"/>
  <c r="O289" i="4"/>
  <c r="P289" i="4"/>
  <c r="T289" i="4"/>
  <c r="U289" i="4"/>
  <c r="L290" i="4"/>
  <c r="L288" i="4" s="1"/>
  <c r="O288" i="4" s="1"/>
  <c r="M290" i="4"/>
  <c r="P290" i="4" s="1"/>
  <c r="N290" i="4"/>
  <c r="N288" i="4" s="1"/>
  <c r="T290" i="4"/>
  <c r="U290" i="4"/>
  <c r="I292" i="4"/>
  <c r="K292" i="4" s="1"/>
  <c r="I293" i="4"/>
  <c r="I280" i="4" s="1"/>
  <c r="K280" i="4" s="1"/>
  <c r="J293" i="4"/>
  <c r="J280" i="4" s="1"/>
  <c r="I295" i="4"/>
  <c r="K295" i="4" s="1"/>
  <c r="I296" i="4"/>
  <c r="K296" i="4" s="1"/>
  <c r="J302" i="4"/>
  <c r="L304" i="4"/>
  <c r="O304" i="4" s="1"/>
  <c r="M304" i="4"/>
  <c r="N304" i="4"/>
  <c r="P304" i="4"/>
  <c r="Q304" i="4"/>
  <c r="T304" i="4" s="1"/>
  <c r="R304" i="4"/>
  <c r="U304" i="4" s="1"/>
  <c r="S304" i="4"/>
  <c r="O307" i="4"/>
  <c r="P307" i="4"/>
  <c r="T307" i="4"/>
  <c r="U307" i="4"/>
  <c r="L308" i="4"/>
  <c r="M308" i="4"/>
  <c r="N308" i="4"/>
  <c r="Q308" i="4"/>
  <c r="R308" i="4"/>
  <c r="R305" i="4" s="1"/>
  <c r="S308" i="4"/>
  <c r="Q309" i="4"/>
  <c r="R309" i="4"/>
  <c r="U309" i="4" s="1"/>
  <c r="S309" i="4"/>
  <c r="T309" i="4"/>
  <c r="O310" i="4"/>
  <c r="P310" i="4"/>
  <c r="T310" i="4"/>
  <c r="U310" i="4"/>
  <c r="L311" i="4"/>
  <c r="M311" i="4"/>
  <c r="N311" i="4"/>
  <c r="N309" i="4" s="1"/>
  <c r="T311" i="4"/>
  <c r="U311" i="4"/>
  <c r="I314" i="4"/>
  <c r="I302" i="4" s="1"/>
  <c r="J319" i="4"/>
  <c r="L321" i="4"/>
  <c r="O321" i="4" s="1"/>
  <c r="M321" i="4"/>
  <c r="N321" i="4"/>
  <c r="P321" i="4"/>
  <c r="Q321" i="4"/>
  <c r="T321" i="4" s="1"/>
  <c r="R321" i="4"/>
  <c r="S321" i="4"/>
  <c r="Q322" i="4"/>
  <c r="R322" i="4"/>
  <c r="U322" i="4" s="1"/>
  <c r="S322" i="4"/>
  <c r="S320" i="4" s="1"/>
  <c r="Q323" i="4"/>
  <c r="T323" i="4" s="1"/>
  <c r="R323" i="4"/>
  <c r="U323" i="4" s="1"/>
  <c r="S323" i="4"/>
  <c r="O324" i="4"/>
  <c r="P324" i="4"/>
  <c r="T324" i="4"/>
  <c r="U324" i="4"/>
  <c r="L325" i="4"/>
  <c r="M325" i="4"/>
  <c r="M323" i="4" s="1"/>
  <c r="P323" i="4" s="1"/>
  <c r="N325" i="4"/>
  <c r="T325" i="4"/>
  <c r="U325" i="4"/>
  <c r="Q326" i="4"/>
  <c r="R326" i="4"/>
  <c r="S326" i="4"/>
  <c r="T326" i="4"/>
  <c r="U326" i="4"/>
  <c r="O327" i="4"/>
  <c r="P327" i="4"/>
  <c r="T327" i="4"/>
  <c r="U327" i="4"/>
  <c r="L328" i="4"/>
  <c r="M328" i="4"/>
  <c r="N328" i="4"/>
  <c r="N326" i="4" s="1"/>
  <c r="T328" i="4"/>
  <c r="U328" i="4"/>
  <c r="I330" i="4"/>
  <c r="I319" i="4" s="1"/>
  <c r="K319" i="4" s="1"/>
  <c r="L334" i="4"/>
  <c r="O334" i="4" s="1"/>
  <c r="M334" i="4"/>
  <c r="N334" i="4"/>
  <c r="Q334" i="4"/>
  <c r="T334" i="4" s="1"/>
  <c r="R334" i="4"/>
  <c r="U334" i="4" s="1"/>
  <c r="S334" i="4"/>
  <c r="S333" i="4" s="1"/>
  <c r="Q335" i="4"/>
  <c r="T335" i="4" s="1"/>
  <c r="R335" i="4"/>
  <c r="S335" i="4"/>
  <c r="U335" i="4"/>
  <c r="Q336" i="4"/>
  <c r="R336" i="4"/>
  <c r="U336" i="4" s="1"/>
  <c r="S336" i="4"/>
  <c r="T336" i="4"/>
  <c r="O337" i="4"/>
  <c r="P337" i="4"/>
  <c r="T337" i="4"/>
  <c r="U337" i="4"/>
  <c r="L338" i="4"/>
  <c r="M338" i="4"/>
  <c r="N338" i="4"/>
  <c r="T338" i="4"/>
  <c r="U338" i="4"/>
  <c r="Q339" i="4"/>
  <c r="T339" i="4" s="1"/>
  <c r="R339" i="4"/>
  <c r="U339" i="4" s="1"/>
  <c r="S339" i="4"/>
  <c r="O340" i="4"/>
  <c r="P340" i="4"/>
  <c r="T340" i="4"/>
  <c r="U340" i="4"/>
  <c r="L341" i="4"/>
  <c r="L339" i="4" s="1"/>
  <c r="O339" i="4" s="1"/>
  <c r="M341" i="4"/>
  <c r="N341" i="4"/>
  <c r="N339" i="4" s="1"/>
  <c r="T341" i="4"/>
  <c r="U341" i="4"/>
  <c r="I344" i="4"/>
  <c r="I332" i="4" s="1"/>
  <c r="J344" i="4"/>
  <c r="I346" i="4"/>
  <c r="J346" i="4"/>
  <c r="J347" i="4"/>
  <c r="J348" i="4"/>
  <c r="J349" i="4"/>
  <c r="D350" i="4"/>
  <c r="J352" i="4"/>
  <c r="J353" i="4"/>
  <c r="D354" i="4"/>
  <c r="L357" i="4"/>
  <c r="M357" i="4"/>
  <c r="N357" i="4"/>
  <c r="Q357" i="4"/>
  <c r="T357" i="4" s="1"/>
  <c r="R357" i="4"/>
  <c r="S357" i="4"/>
  <c r="Q358" i="4"/>
  <c r="R358" i="4"/>
  <c r="S358" i="4"/>
  <c r="T358" i="4"/>
  <c r="U358" i="4"/>
  <c r="Q359" i="4"/>
  <c r="T359" i="4" s="1"/>
  <c r="R359" i="4"/>
  <c r="S359" i="4"/>
  <c r="U359" i="4"/>
  <c r="O360" i="4"/>
  <c r="P360" i="4"/>
  <c r="T360" i="4"/>
  <c r="U360" i="4"/>
  <c r="L361" i="4"/>
  <c r="L359" i="4" s="1"/>
  <c r="M361" i="4"/>
  <c r="N361" i="4"/>
  <c r="N359" i="4" s="1"/>
  <c r="T361" i="4"/>
  <c r="U361" i="4"/>
  <c r="Q362" i="4"/>
  <c r="T362" i="4" s="1"/>
  <c r="R362" i="4"/>
  <c r="U362" i="4" s="1"/>
  <c r="S362" i="4"/>
  <c r="O363" i="4"/>
  <c r="P363" i="4"/>
  <c r="T363" i="4"/>
  <c r="U363" i="4"/>
  <c r="L364" i="4"/>
  <c r="M364" i="4"/>
  <c r="M362" i="4" s="1"/>
  <c r="P362" i="4" s="1"/>
  <c r="N364" i="4"/>
  <c r="N362" i="4" s="1"/>
  <c r="T364" i="4"/>
  <c r="U364" i="4"/>
  <c r="J367" i="4"/>
  <c r="K367" i="4"/>
  <c r="I368" i="4"/>
  <c r="J368" i="4"/>
  <c r="I369" i="4"/>
  <c r="J369" i="4"/>
  <c r="J370" i="4"/>
  <c r="K370" i="4"/>
  <c r="I371" i="4"/>
  <c r="I365" i="4" s="1"/>
  <c r="J371" i="4"/>
  <c r="J365" i="4" s="1"/>
  <c r="J372" i="4"/>
  <c r="K372" i="4"/>
  <c r="D373" i="4"/>
  <c r="L376" i="4"/>
  <c r="M376" i="4"/>
  <c r="P376" i="4" s="1"/>
  <c r="N376" i="4"/>
  <c r="Q376" i="4"/>
  <c r="R376" i="4"/>
  <c r="U376" i="4" s="1"/>
  <c r="S376" i="4"/>
  <c r="T376" i="4"/>
  <c r="O379" i="4"/>
  <c r="P379" i="4"/>
  <c r="T379" i="4"/>
  <c r="U379" i="4"/>
  <c r="L380" i="4"/>
  <c r="M380" i="4"/>
  <c r="M378" i="4" s="1"/>
  <c r="P378" i="4" s="1"/>
  <c r="N380" i="4"/>
  <c r="N378" i="4" s="1"/>
  <c r="Q380" i="4"/>
  <c r="R380" i="4"/>
  <c r="R378" i="4" s="1"/>
  <c r="S380" i="4"/>
  <c r="S377" i="4" s="1"/>
  <c r="Q381" i="4"/>
  <c r="T381" i="4" s="1"/>
  <c r="R381" i="4"/>
  <c r="U381" i="4" s="1"/>
  <c r="S381" i="4"/>
  <c r="O382" i="4"/>
  <c r="P382" i="4"/>
  <c r="T382" i="4"/>
  <c r="U382" i="4"/>
  <c r="L383" i="4"/>
  <c r="M383" i="4"/>
  <c r="P383" i="4" s="1"/>
  <c r="N383" i="4"/>
  <c r="N381" i="4" s="1"/>
  <c r="T383" i="4"/>
  <c r="U383" i="4"/>
  <c r="J385" i="4"/>
  <c r="K385" i="4"/>
  <c r="I386" i="4"/>
  <c r="J386" i="4"/>
  <c r="J387" i="4"/>
  <c r="K387" i="4"/>
  <c r="I388" i="4"/>
  <c r="K388" i="4" s="1"/>
  <c r="J388" i="4"/>
  <c r="I391" i="4"/>
  <c r="K391" i="4" s="1"/>
  <c r="J391" i="4"/>
  <c r="N392" i="4"/>
  <c r="L393" i="4"/>
  <c r="M393" i="4"/>
  <c r="N393" i="4"/>
  <c r="O393" i="4"/>
  <c r="P393" i="4"/>
  <c r="Q393" i="4"/>
  <c r="R393" i="4"/>
  <c r="S393" i="4"/>
  <c r="U393" i="4"/>
  <c r="L394" i="4"/>
  <c r="L392" i="4" s="1"/>
  <c r="O392" i="4" s="1"/>
  <c r="M394" i="4"/>
  <c r="N394" i="4"/>
  <c r="L395" i="4"/>
  <c r="M395" i="4"/>
  <c r="P395" i="4" s="1"/>
  <c r="N395" i="4"/>
  <c r="O395" i="4"/>
  <c r="O396" i="4"/>
  <c r="P396" i="4"/>
  <c r="T396" i="4"/>
  <c r="U396" i="4"/>
  <c r="O397" i="4"/>
  <c r="P397" i="4"/>
  <c r="Q397" i="4"/>
  <c r="Q395" i="4" s="1"/>
  <c r="T395" i="4" s="1"/>
  <c r="R397" i="4"/>
  <c r="R395" i="4" s="1"/>
  <c r="U395" i="4" s="1"/>
  <c r="S397" i="4"/>
  <c r="S395" i="4" s="1"/>
  <c r="L398" i="4"/>
  <c r="M398" i="4"/>
  <c r="N398" i="4"/>
  <c r="O398" i="4"/>
  <c r="P398" i="4"/>
  <c r="Q398" i="4"/>
  <c r="T398" i="4" s="1"/>
  <c r="R398" i="4"/>
  <c r="S398" i="4"/>
  <c r="U398" i="4"/>
  <c r="O399" i="4"/>
  <c r="P399" i="4"/>
  <c r="T399" i="4"/>
  <c r="U399" i="4"/>
  <c r="O400" i="4"/>
  <c r="P400" i="4"/>
  <c r="T400" i="4"/>
  <c r="U400" i="4"/>
  <c r="L414" i="4"/>
  <c r="M414" i="4"/>
  <c r="N414" i="4"/>
  <c r="O414" i="4"/>
  <c r="P414" i="4"/>
  <c r="Q414" i="4"/>
  <c r="R414" i="4"/>
  <c r="S414" i="4"/>
  <c r="T414" i="4"/>
  <c r="U414" i="4"/>
  <c r="O417" i="4"/>
  <c r="P417" i="4"/>
  <c r="T417" i="4"/>
  <c r="U417" i="4"/>
  <c r="L418" i="4"/>
  <c r="M418" i="4"/>
  <c r="N418" i="4"/>
  <c r="Q418" i="4"/>
  <c r="R418" i="4"/>
  <c r="R415" i="4" s="1"/>
  <c r="S418" i="4"/>
  <c r="Q419" i="4"/>
  <c r="T419" i="4" s="1"/>
  <c r="R419" i="4"/>
  <c r="U419" i="4" s="1"/>
  <c r="S419" i="4"/>
  <c r="O420" i="4"/>
  <c r="P420" i="4"/>
  <c r="T420" i="4"/>
  <c r="U420" i="4"/>
  <c r="L421" i="4"/>
  <c r="M421" i="4"/>
  <c r="P421" i="4" s="1"/>
  <c r="N421" i="4"/>
  <c r="N419" i="4" s="1"/>
  <c r="T421" i="4"/>
  <c r="U421" i="4"/>
  <c r="I424" i="4"/>
  <c r="K424" i="4" s="1"/>
  <c r="J424" i="4"/>
  <c r="I425" i="4"/>
  <c r="K425" i="4" s="1"/>
  <c r="J425" i="4"/>
  <c r="I432" i="4"/>
  <c r="K432" i="4" s="1"/>
  <c r="J432" i="4"/>
  <c r="I433" i="4"/>
  <c r="J433" i="4"/>
  <c r="I440" i="4"/>
  <c r="I423" i="4" s="1"/>
  <c r="I441" i="4"/>
  <c r="J446" i="4"/>
  <c r="J440" i="4" s="1"/>
  <c r="J423" i="4" s="1"/>
  <c r="J412" i="4" s="1"/>
  <c r="J447" i="4"/>
  <c r="J441" i="4" s="1"/>
  <c r="I457" i="4"/>
  <c r="I456" i="4" s="1"/>
  <c r="I458" i="4"/>
  <c r="K458" i="4" s="1"/>
  <c r="J459" i="4"/>
  <c r="J460" i="4"/>
  <c r="J467" i="4"/>
  <c r="J457" i="4" s="1"/>
  <c r="J456" i="4" s="1"/>
  <c r="J468" i="4"/>
  <c r="J475" i="4"/>
  <c r="K475" i="4"/>
  <c r="J476" i="4"/>
  <c r="K476" i="4"/>
  <c r="J477" i="4"/>
  <c r="K477" i="4"/>
  <c r="J482" i="4"/>
  <c r="J483" i="4"/>
  <c r="I484" i="4"/>
  <c r="J484" i="4"/>
  <c r="K484" i="4"/>
  <c r="I485" i="4"/>
  <c r="K485" i="4" s="1"/>
  <c r="J485" i="4"/>
  <c r="L494" i="4"/>
  <c r="O494" i="4" s="1"/>
  <c r="M494" i="4"/>
  <c r="N494" i="4"/>
  <c r="Q494" i="4"/>
  <c r="R494" i="4"/>
  <c r="U494" i="4" s="1"/>
  <c r="S494" i="4"/>
  <c r="T494" i="4"/>
  <c r="O497" i="4"/>
  <c r="P497" i="4"/>
  <c r="T497" i="4"/>
  <c r="U497" i="4"/>
  <c r="L498" i="4"/>
  <c r="L496" i="4" s="1"/>
  <c r="O496" i="4" s="1"/>
  <c r="M498" i="4"/>
  <c r="N498" i="4"/>
  <c r="N496" i="4" s="1"/>
  <c r="Q498" i="4"/>
  <c r="Q495" i="4" s="1"/>
  <c r="T495" i="4" s="1"/>
  <c r="R498" i="4"/>
  <c r="R495" i="4" s="1"/>
  <c r="R493" i="4" s="1"/>
  <c r="U493" i="4" s="1"/>
  <c r="S498" i="4"/>
  <c r="S495" i="4" s="1"/>
  <c r="Q499" i="4"/>
  <c r="T499" i="4" s="1"/>
  <c r="R499" i="4"/>
  <c r="U499" i="4" s="1"/>
  <c r="S499" i="4"/>
  <c r="O500" i="4"/>
  <c r="P500" i="4"/>
  <c r="T500" i="4"/>
  <c r="U500" i="4"/>
  <c r="L501" i="4"/>
  <c r="M501" i="4"/>
  <c r="M499" i="4" s="1"/>
  <c r="P499" i="4" s="1"/>
  <c r="N501" i="4"/>
  <c r="N499" i="4" s="1"/>
  <c r="T501" i="4"/>
  <c r="U501" i="4"/>
  <c r="I503" i="4"/>
  <c r="I504" i="4"/>
  <c r="I505" i="4"/>
  <c r="K505" i="4" s="1"/>
  <c r="I506" i="4"/>
  <c r="K506" i="4" s="1"/>
  <c r="I507" i="4"/>
  <c r="K507" i="4" s="1"/>
  <c r="K508" i="4"/>
  <c r="I509" i="4"/>
  <c r="K509" i="4" s="1"/>
  <c r="I512" i="4"/>
  <c r="K512" i="4" s="1"/>
  <c r="J512" i="4"/>
  <c r="L514" i="4"/>
  <c r="M514" i="4"/>
  <c r="N514" i="4"/>
  <c r="P514" i="4"/>
  <c r="Q514" i="4"/>
  <c r="R514" i="4"/>
  <c r="S514" i="4"/>
  <c r="Q515" i="4"/>
  <c r="R515" i="4"/>
  <c r="U515" i="4" s="1"/>
  <c r="S515" i="4"/>
  <c r="T515" i="4"/>
  <c r="Q516" i="4"/>
  <c r="R516" i="4"/>
  <c r="S516" i="4"/>
  <c r="T516" i="4"/>
  <c r="U516" i="4"/>
  <c r="O517" i="4"/>
  <c r="P517" i="4"/>
  <c r="T517" i="4"/>
  <c r="U517" i="4"/>
  <c r="L518" i="4"/>
  <c r="M518" i="4"/>
  <c r="N518" i="4"/>
  <c r="N516" i="4" s="1"/>
  <c r="T518" i="4"/>
  <c r="U518" i="4"/>
  <c r="Q519" i="4"/>
  <c r="T519" i="4" s="1"/>
  <c r="R519" i="4"/>
  <c r="U519" i="4" s="1"/>
  <c r="S519" i="4"/>
  <c r="O520" i="4"/>
  <c r="P520" i="4"/>
  <c r="T520" i="4"/>
  <c r="U520" i="4"/>
  <c r="L521" i="4"/>
  <c r="L519" i="4" s="1"/>
  <c r="O519" i="4" s="1"/>
  <c r="M521" i="4"/>
  <c r="M519" i="4" s="1"/>
  <c r="P519" i="4" s="1"/>
  <c r="N521" i="4"/>
  <c r="N519" i="4" s="1"/>
  <c r="T521" i="4"/>
  <c r="U521" i="4"/>
  <c r="K523" i="4"/>
  <c r="K524" i="4"/>
  <c r="I533" i="4"/>
  <c r="J533" i="4"/>
  <c r="K533" i="4"/>
  <c r="L535" i="4"/>
  <c r="M535" i="4"/>
  <c r="N535" i="4"/>
  <c r="Q535" i="4"/>
  <c r="R535" i="4"/>
  <c r="S535" i="4"/>
  <c r="Q536" i="4"/>
  <c r="T536" i="4" s="1"/>
  <c r="R536" i="4"/>
  <c r="U536" i="4" s="1"/>
  <c r="S536" i="4"/>
  <c r="Q537" i="4"/>
  <c r="T537" i="4" s="1"/>
  <c r="R537" i="4"/>
  <c r="U537" i="4" s="1"/>
  <c r="S537" i="4"/>
  <c r="O538" i="4"/>
  <c r="P538" i="4"/>
  <c r="T538" i="4"/>
  <c r="U538" i="4"/>
  <c r="L539" i="4"/>
  <c r="L537" i="4" s="1"/>
  <c r="O537" i="4" s="1"/>
  <c r="M539" i="4"/>
  <c r="N539" i="4"/>
  <c r="N537" i="4" s="1"/>
  <c r="T539" i="4"/>
  <c r="U539" i="4"/>
  <c r="Q540" i="4"/>
  <c r="T540" i="4" s="1"/>
  <c r="R540" i="4"/>
  <c r="U540" i="4" s="1"/>
  <c r="S540" i="4"/>
  <c r="O541" i="4"/>
  <c r="P541" i="4"/>
  <c r="T541" i="4"/>
  <c r="U541" i="4"/>
  <c r="L542" i="4"/>
  <c r="M542" i="4"/>
  <c r="M540" i="4" s="1"/>
  <c r="P540" i="4" s="1"/>
  <c r="N542" i="4"/>
  <c r="N540" i="4" s="1"/>
  <c r="T542" i="4"/>
  <c r="U542" i="4"/>
  <c r="I554" i="4"/>
  <c r="K554" i="4" s="1"/>
  <c r="J554" i="4"/>
  <c r="L556" i="4"/>
  <c r="O556" i="4" s="1"/>
  <c r="M556" i="4"/>
  <c r="P556" i="4" s="1"/>
  <c r="N556" i="4"/>
  <c r="Q556" i="4"/>
  <c r="R556" i="4"/>
  <c r="U556" i="4" s="1"/>
  <c r="S556" i="4"/>
  <c r="S555" i="4" s="1"/>
  <c r="T556" i="4"/>
  <c r="Q557" i="4"/>
  <c r="T557" i="4" s="1"/>
  <c r="R557" i="4"/>
  <c r="U557" i="4" s="1"/>
  <c r="S557" i="4"/>
  <c r="Q558" i="4"/>
  <c r="R558" i="4"/>
  <c r="U558" i="4" s="1"/>
  <c r="S558" i="4"/>
  <c r="T558" i="4"/>
  <c r="O559" i="4"/>
  <c r="P559" i="4"/>
  <c r="T559" i="4"/>
  <c r="U559" i="4"/>
  <c r="L560" i="4"/>
  <c r="O560" i="4" s="1"/>
  <c r="M560" i="4"/>
  <c r="M558" i="4" s="1"/>
  <c r="P558" i="4" s="1"/>
  <c r="N560" i="4"/>
  <c r="N558" i="4" s="1"/>
  <c r="T560" i="4"/>
  <c r="U560" i="4"/>
  <c r="Q561" i="4"/>
  <c r="T561" i="4" s="1"/>
  <c r="R561" i="4"/>
  <c r="U561" i="4" s="1"/>
  <c r="S561" i="4"/>
  <c r="O562" i="4"/>
  <c r="P562" i="4"/>
  <c r="T562" i="4"/>
  <c r="U562" i="4"/>
  <c r="L563" i="4"/>
  <c r="L561" i="4" s="1"/>
  <c r="O561" i="4" s="1"/>
  <c r="M563" i="4"/>
  <c r="N563" i="4"/>
  <c r="N561" i="4" s="1"/>
  <c r="T563" i="4"/>
  <c r="U563" i="4"/>
  <c r="I575" i="4"/>
  <c r="J575" i="4"/>
  <c r="K575" i="4"/>
  <c r="L577" i="4"/>
  <c r="M577" i="4"/>
  <c r="N577" i="4"/>
  <c r="Q577" i="4"/>
  <c r="T577" i="4" s="1"/>
  <c r="R577" i="4"/>
  <c r="S577" i="4"/>
  <c r="Q578" i="4"/>
  <c r="R578" i="4"/>
  <c r="S578" i="4"/>
  <c r="U578" i="4"/>
  <c r="Q579" i="4"/>
  <c r="T579" i="4" s="1"/>
  <c r="R579" i="4"/>
  <c r="S579" i="4"/>
  <c r="U579" i="4"/>
  <c r="O580" i="4"/>
  <c r="P580" i="4"/>
  <c r="T580" i="4"/>
  <c r="U580" i="4"/>
  <c r="L581" i="4"/>
  <c r="L579" i="4" s="1"/>
  <c r="O579" i="4" s="1"/>
  <c r="M581" i="4"/>
  <c r="N581" i="4"/>
  <c r="N579" i="4" s="1"/>
  <c r="T581" i="4"/>
  <c r="U581" i="4"/>
  <c r="Q582" i="4"/>
  <c r="T582" i="4" s="1"/>
  <c r="R582" i="4"/>
  <c r="U582" i="4" s="1"/>
  <c r="S582" i="4"/>
  <c r="O583" i="4"/>
  <c r="P583" i="4"/>
  <c r="T583" i="4"/>
  <c r="U583" i="4"/>
  <c r="L584" i="4"/>
  <c r="O584" i="4" s="1"/>
  <c r="M584" i="4"/>
  <c r="M582" i="4" s="1"/>
  <c r="P582" i="4" s="1"/>
  <c r="N584" i="4"/>
  <c r="N582" i="4" s="1"/>
  <c r="T584" i="4"/>
  <c r="U584" i="4"/>
  <c r="L600" i="4"/>
  <c r="M600" i="4"/>
  <c r="N600" i="4"/>
  <c r="Q600" i="4"/>
  <c r="T600" i="4" s="1"/>
  <c r="R600" i="4"/>
  <c r="S600" i="4"/>
  <c r="O603" i="4"/>
  <c r="P603" i="4"/>
  <c r="T603" i="4"/>
  <c r="U603" i="4"/>
  <c r="L604" i="4"/>
  <c r="M604" i="4"/>
  <c r="N604" i="4"/>
  <c r="N602" i="4" s="1"/>
  <c r="Q604" i="4"/>
  <c r="Q602" i="4" s="1"/>
  <c r="T602" i="4" s="1"/>
  <c r="R604" i="4"/>
  <c r="S604" i="4"/>
  <c r="S602" i="4" s="1"/>
  <c r="O606" i="4"/>
  <c r="P606" i="4"/>
  <c r="T606" i="4"/>
  <c r="U606" i="4"/>
  <c r="L607" i="4"/>
  <c r="M607" i="4"/>
  <c r="N607" i="4"/>
  <c r="N605" i="4" s="1"/>
  <c r="Q607" i="4"/>
  <c r="T607" i="4" s="1"/>
  <c r="R607" i="4"/>
  <c r="U607" i="4" s="1"/>
  <c r="S607" i="4"/>
  <c r="S605" i="4" s="1"/>
  <c r="L617" i="4"/>
  <c r="O617" i="4" s="1"/>
  <c r="M617" i="4"/>
  <c r="N617" i="4"/>
  <c r="Q617" i="4"/>
  <c r="T617" i="4" s="1"/>
  <c r="R617" i="4"/>
  <c r="U617" i="4" s="1"/>
  <c r="S617" i="4"/>
  <c r="L618" i="4"/>
  <c r="O618" i="4" s="1"/>
  <c r="M618" i="4"/>
  <c r="N618" i="4"/>
  <c r="P618" i="4"/>
  <c r="L619" i="4"/>
  <c r="O619" i="4" s="1"/>
  <c r="M619" i="4"/>
  <c r="P619" i="4" s="1"/>
  <c r="N619" i="4"/>
  <c r="O620" i="4"/>
  <c r="P620" i="4"/>
  <c r="T620" i="4"/>
  <c r="U620" i="4"/>
  <c r="O621" i="4"/>
  <c r="P621" i="4"/>
  <c r="Q621" i="4"/>
  <c r="Q619" i="4" s="1"/>
  <c r="R621" i="4"/>
  <c r="R618" i="4" s="1"/>
  <c r="S621" i="4"/>
  <c r="S618" i="4" s="1"/>
  <c r="L622" i="4"/>
  <c r="O622" i="4" s="1"/>
  <c r="M622" i="4"/>
  <c r="P622" i="4" s="1"/>
  <c r="N622" i="4"/>
  <c r="Q622" i="4"/>
  <c r="T622" i="4" s="1"/>
  <c r="R622" i="4"/>
  <c r="U622" i="4" s="1"/>
  <c r="S622" i="4"/>
  <c r="O623" i="4"/>
  <c r="P623" i="4"/>
  <c r="T623" i="4"/>
  <c r="U623" i="4"/>
  <c r="O624" i="4"/>
  <c r="P624" i="4"/>
  <c r="T624" i="4"/>
  <c r="U624" i="4"/>
  <c r="I626" i="4"/>
  <c r="K632" i="4" s="1"/>
  <c r="I627" i="4"/>
  <c r="K627" i="4" s="1"/>
  <c r="I628" i="4"/>
  <c r="K628" i="4" s="1"/>
  <c r="J632" i="4"/>
  <c r="J626" i="4" s="1"/>
  <c r="J615" i="4" s="1"/>
  <c r="I635" i="4"/>
  <c r="K635" i="4" s="1"/>
  <c r="J636" i="4"/>
  <c r="J635" i="4" s="1"/>
  <c r="L643" i="4"/>
  <c r="M643" i="4"/>
  <c r="N643" i="4"/>
  <c r="N642" i="4" s="1"/>
  <c r="O643" i="4"/>
  <c r="P643" i="4"/>
  <c r="Q643" i="4"/>
  <c r="R643" i="4"/>
  <c r="S643" i="4"/>
  <c r="U643" i="4"/>
  <c r="L644" i="4"/>
  <c r="M644" i="4"/>
  <c r="P644" i="4" s="1"/>
  <c r="N644" i="4"/>
  <c r="L645" i="4"/>
  <c r="O645" i="4" s="1"/>
  <c r="M645" i="4"/>
  <c r="P645" i="4" s="1"/>
  <c r="N645" i="4"/>
  <c r="O646" i="4"/>
  <c r="P646" i="4"/>
  <c r="T646" i="4"/>
  <c r="U646" i="4"/>
  <c r="O647" i="4"/>
  <c r="P647" i="4"/>
  <c r="Q647" i="4"/>
  <c r="R647" i="4"/>
  <c r="R645" i="4" s="1"/>
  <c r="U645" i="4" s="1"/>
  <c r="S647" i="4"/>
  <c r="S644" i="4" s="1"/>
  <c r="S642" i="4" s="1"/>
  <c r="L648" i="4"/>
  <c r="M648" i="4"/>
  <c r="N648" i="4"/>
  <c r="O648" i="4"/>
  <c r="P648" i="4"/>
  <c r="Q648" i="4"/>
  <c r="R648" i="4"/>
  <c r="S648" i="4"/>
  <c r="T648" i="4"/>
  <c r="U648" i="4"/>
  <c r="O649" i="4"/>
  <c r="P649" i="4"/>
  <c r="T649" i="4"/>
  <c r="U649" i="4"/>
  <c r="O650" i="4"/>
  <c r="P650" i="4"/>
  <c r="T650" i="4"/>
  <c r="U650" i="4"/>
  <c r="I652" i="4"/>
  <c r="K652" i="4" s="1"/>
  <c r="J652" i="4"/>
  <c r="I653" i="4"/>
  <c r="K653" i="4" s="1"/>
  <c r="J653" i="4"/>
  <c r="I654" i="4"/>
  <c r="K654" i="4" s="1"/>
  <c r="J654" i="4"/>
  <c r="I657" i="4"/>
  <c r="I660" i="4"/>
  <c r="I661" i="4"/>
  <c r="K661" i="4" s="1"/>
  <c r="J661" i="4"/>
  <c r="J671" i="4"/>
  <c r="J672" i="4"/>
  <c r="I673" i="4"/>
  <c r="K673" i="4" s="1"/>
  <c r="J673" i="4"/>
  <c r="I674" i="4"/>
  <c r="K674" i="4" s="1"/>
  <c r="I675" i="4"/>
  <c r="K675" i="4" s="1"/>
  <c r="I676" i="4"/>
  <c r="K676" i="4" s="1"/>
  <c r="J676" i="4"/>
  <c r="J677" i="4"/>
  <c r="I678" i="4"/>
  <c r="K678" i="4" s="1"/>
  <c r="J678" i="4"/>
  <c r="I679" i="4"/>
  <c r="K679" i="4" s="1"/>
  <c r="J679" i="4"/>
  <c r="J680" i="4"/>
  <c r="I681" i="4"/>
  <c r="K681" i="4" s="1"/>
  <c r="J681" i="4"/>
  <c r="I682" i="4"/>
  <c r="K682" i="4" s="1"/>
  <c r="J682" i="4"/>
  <c r="L691" i="4"/>
  <c r="O691" i="4" s="1"/>
  <c r="M691" i="4"/>
  <c r="P691" i="4" s="1"/>
  <c r="N691" i="4"/>
  <c r="N690" i="4" s="1"/>
  <c r="Q691" i="4"/>
  <c r="R691" i="4"/>
  <c r="U691" i="4" s="1"/>
  <c r="S691" i="4"/>
  <c r="L692" i="4"/>
  <c r="O692" i="4" s="1"/>
  <c r="M692" i="4"/>
  <c r="N692" i="4"/>
  <c r="L693" i="4"/>
  <c r="O693" i="4" s="1"/>
  <c r="M693" i="4"/>
  <c r="P693" i="4" s="1"/>
  <c r="N693" i="4"/>
  <c r="O694" i="4"/>
  <c r="P694" i="4"/>
  <c r="T694" i="4"/>
  <c r="U694" i="4"/>
  <c r="O695" i="4"/>
  <c r="P695" i="4"/>
  <c r="Q695" i="4"/>
  <c r="R695" i="4"/>
  <c r="R693" i="4" s="1"/>
  <c r="S695" i="4"/>
  <c r="S693" i="4" s="1"/>
  <c r="L696" i="4"/>
  <c r="M696" i="4"/>
  <c r="P696" i="4" s="1"/>
  <c r="N696" i="4"/>
  <c r="O696" i="4"/>
  <c r="Q696" i="4"/>
  <c r="R696" i="4"/>
  <c r="S696" i="4"/>
  <c r="T696" i="4"/>
  <c r="U696" i="4"/>
  <c r="O697" i="4"/>
  <c r="P697" i="4"/>
  <c r="T697" i="4"/>
  <c r="U697" i="4"/>
  <c r="O698" i="4"/>
  <c r="P698" i="4"/>
  <c r="T698" i="4"/>
  <c r="U698" i="4"/>
  <c r="I700" i="4"/>
  <c r="K700" i="4" s="1"/>
  <c r="K702" i="4"/>
  <c r="I703" i="4"/>
  <c r="K703" i="4" s="1"/>
  <c r="J703" i="4"/>
  <c r="J704" i="4"/>
  <c r="K704" i="4"/>
  <c r="I705" i="4"/>
  <c r="J705" i="4"/>
  <c r="J706" i="4"/>
  <c r="K706" i="4"/>
  <c r="I707" i="4"/>
  <c r="K707" i="4" s="1"/>
  <c r="J707" i="4"/>
  <c r="J689" i="4" s="1"/>
  <c r="J708" i="4"/>
  <c r="K708" i="4"/>
  <c r="I709" i="4"/>
  <c r="J709" i="4"/>
  <c r="J710" i="4"/>
  <c r="K710" i="4"/>
  <c r="J712" i="4"/>
  <c r="K712" i="4"/>
  <c r="L715" i="4"/>
  <c r="M715" i="4"/>
  <c r="P715" i="4" s="1"/>
  <c r="N715" i="4"/>
  <c r="N714" i="4" s="1"/>
  <c r="Q715" i="4"/>
  <c r="T715" i="4" s="1"/>
  <c r="R715" i="4"/>
  <c r="R714" i="4" s="1"/>
  <c r="U714" i="4" s="1"/>
  <c r="S715" i="4"/>
  <c r="U715" i="4"/>
  <c r="L716" i="4"/>
  <c r="O716" i="4" s="1"/>
  <c r="M716" i="4"/>
  <c r="P716" i="4" s="1"/>
  <c r="N716" i="4"/>
  <c r="Q716" i="4"/>
  <c r="T716" i="4" s="1"/>
  <c r="R716" i="4"/>
  <c r="U716" i="4" s="1"/>
  <c r="S716" i="4"/>
  <c r="L717" i="4"/>
  <c r="M717" i="4"/>
  <c r="P717" i="4" s="1"/>
  <c r="N717" i="4"/>
  <c r="O717" i="4"/>
  <c r="Q717" i="4"/>
  <c r="T717" i="4" s="1"/>
  <c r="R717" i="4"/>
  <c r="S717" i="4"/>
  <c r="U717" i="4"/>
  <c r="O718" i="4"/>
  <c r="P718" i="4"/>
  <c r="T718" i="4"/>
  <c r="U718" i="4"/>
  <c r="O719" i="4"/>
  <c r="P719" i="4"/>
  <c r="T719" i="4"/>
  <c r="U719" i="4"/>
  <c r="L720" i="4"/>
  <c r="O720" i="4" s="1"/>
  <c r="M720" i="4"/>
  <c r="N720" i="4"/>
  <c r="P720" i="4"/>
  <c r="Q720" i="4"/>
  <c r="T720" i="4" s="1"/>
  <c r="R720" i="4"/>
  <c r="U720" i="4" s="1"/>
  <c r="S720" i="4"/>
  <c r="O721" i="4"/>
  <c r="P721" i="4"/>
  <c r="T721" i="4"/>
  <c r="U721" i="4"/>
  <c r="O722" i="4"/>
  <c r="P722" i="4"/>
  <c r="T722" i="4"/>
  <c r="U722" i="4"/>
  <c r="I726" i="4"/>
  <c r="J726" i="4"/>
  <c r="I727" i="4"/>
  <c r="J727" i="4"/>
  <c r="L729" i="4"/>
  <c r="L728" i="4" s="1"/>
  <c r="O728" i="4" s="1"/>
  <c r="M729" i="4"/>
  <c r="P729" i="4" s="1"/>
  <c r="N729" i="4"/>
  <c r="Q729" i="4"/>
  <c r="T729" i="4" s="1"/>
  <c r="R729" i="4"/>
  <c r="S729" i="4"/>
  <c r="U729" i="4"/>
  <c r="L730" i="4"/>
  <c r="M730" i="4"/>
  <c r="P730" i="4" s="1"/>
  <c r="N730" i="4"/>
  <c r="O730" i="4"/>
  <c r="L731" i="4"/>
  <c r="O731" i="4" s="1"/>
  <c r="M731" i="4"/>
  <c r="N731" i="4"/>
  <c r="P731" i="4"/>
  <c r="O732" i="4"/>
  <c r="P732" i="4"/>
  <c r="T732" i="4"/>
  <c r="U732" i="4"/>
  <c r="O733" i="4"/>
  <c r="P733" i="4"/>
  <c r="Q733" i="4"/>
  <c r="Q731" i="4" s="1"/>
  <c r="R733" i="4"/>
  <c r="R731" i="4" s="1"/>
  <c r="S733" i="4"/>
  <c r="S731" i="4" s="1"/>
  <c r="L734" i="4"/>
  <c r="M734" i="4"/>
  <c r="P734" i="4" s="1"/>
  <c r="N734" i="4"/>
  <c r="O734" i="4"/>
  <c r="Q734" i="4"/>
  <c r="R734" i="4"/>
  <c r="S734" i="4"/>
  <c r="T734" i="4"/>
  <c r="U734" i="4"/>
  <c r="O735" i="4"/>
  <c r="P735" i="4"/>
  <c r="T735" i="4"/>
  <c r="U735" i="4"/>
  <c r="O736" i="4"/>
  <c r="P736" i="4"/>
  <c r="T736" i="4"/>
  <c r="U736" i="4"/>
  <c r="I740" i="4"/>
  <c r="K740" i="4" s="1"/>
  <c r="I742" i="4"/>
  <c r="K742" i="4" s="1"/>
  <c r="I744" i="4"/>
  <c r="K744" i="4" s="1"/>
  <c r="I746" i="4"/>
  <c r="K746" i="4" s="1"/>
  <c r="I749" i="4"/>
  <c r="K749" i="4" s="1"/>
  <c r="I752" i="4"/>
  <c r="K752" i="4" s="1"/>
  <c r="I755" i="4"/>
  <c r="K755" i="4" s="1"/>
  <c r="J758" i="4"/>
  <c r="J759" i="4"/>
  <c r="L761" i="4"/>
  <c r="O761" i="4" s="1"/>
  <c r="M761" i="4"/>
  <c r="P761" i="4" s="1"/>
  <c r="N761" i="4"/>
  <c r="Q761" i="4"/>
  <c r="T761" i="4" s="1"/>
  <c r="R761" i="4"/>
  <c r="S761" i="4"/>
  <c r="L762" i="4"/>
  <c r="M762" i="4"/>
  <c r="N762" i="4"/>
  <c r="N760" i="4" s="1"/>
  <c r="O762" i="4"/>
  <c r="P762" i="4"/>
  <c r="L763" i="4"/>
  <c r="O763" i="4" s="1"/>
  <c r="M763" i="4"/>
  <c r="P763" i="4" s="1"/>
  <c r="N763" i="4"/>
  <c r="O764" i="4"/>
  <c r="P764" i="4"/>
  <c r="T764" i="4"/>
  <c r="U764" i="4"/>
  <c r="O765" i="4"/>
  <c r="P765" i="4"/>
  <c r="Q765" i="4"/>
  <c r="Q762" i="4" s="1"/>
  <c r="R765" i="4"/>
  <c r="R762" i="4" s="1"/>
  <c r="S765" i="4"/>
  <c r="L766" i="4"/>
  <c r="O766" i="4" s="1"/>
  <c r="M766" i="4"/>
  <c r="N766" i="4"/>
  <c r="P766" i="4"/>
  <c r="Q766" i="4"/>
  <c r="T766" i="4" s="1"/>
  <c r="R766" i="4"/>
  <c r="U766" i="4" s="1"/>
  <c r="S766" i="4"/>
  <c r="O767" i="4"/>
  <c r="P767" i="4"/>
  <c r="T767" i="4"/>
  <c r="U767" i="4"/>
  <c r="O768" i="4"/>
  <c r="P768" i="4"/>
  <c r="T768" i="4"/>
  <c r="U768" i="4"/>
  <c r="I770" i="4"/>
  <c r="K770" i="4" s="1"/>
  <c r="I772" i="4"/>
  <c r="I758" i="4" s="1"/>
  <c r="I774" i="4"/>
  <c r="I759" i="4" s="1"/>
  <c r="I775" i="4"/>
  <c r="I776" i="4"/>
  <c r="H777" i="4"/>
  <c r="I778" i="4"/>
  <c r="J778" i="4"/>
  <c r="I779" i="4"/>
  <c r="J779" i="4"/>
  <c r="I780" i="4"/>
  <c r="J780" i="4"/>
  <c r="I781" i="4"/>
  <c r="J781" i="4"/>
  <c r="I782" i="4"/>
  <c r="K782" i="4" s="1"/>
  <c r="J782" i="4"/>
  <c r="I783" i="4"/>
  <c r="K783" i="4" s="1"/>
  <c r="J783" i="4"/>
  <c r="I784" i="4"/>
  <c r="J784" i="4"/>
  <c r="I785" i="4"/>
  <c r="J785" i="4"/>
  <c r="A788" i="4"/>
  <c r="A789" i="4"/>
  <c r="L22" i="3"/>
  <c r="L19" i="3" s="1"/>
  <c r="M22" i="3"/>
  <c r="N22" i="3"/>
  <c r="Q22" i="3"/>
  <c r="R22" i="3"/>
  <c r="S22" i="3"/>
  <c r="L25" i="3"/>
  <c r="M25" i="3"/>
  <c r="N25" i="3"/>
  <c r="Q25" i="3"/>
  <c r="T25" i="3" s="1"/>
  <c r="R25" i="3"/>
  <c r="S25" i="3"/>
  <c r="L45" i="3"/>
  <c r="O45" i="3" s="1"/>
  <c r="M45" i="3"/>
  <c r="N45" i="3"/>
  <c r="Q45" i="3"/>
  <c r="Q44" i="3" s="1"/>
  <c r="T44" i="3" s="1"/>
  <c r="R45" i="3"/>
  <c r="U45" i="3" s="1"/>
  <c r="S45" i="3"/>
  <c r="T45" i="3"/>
  <c r="Q46" i="3"/>
  <c r="T46" i="3" s="1"/>
  <c r="R46" i="3"/>
  <c r="S46" i="3"/>
  <c r="U46" i="3"/>
  <c r="Q47" i="3"/>
  <c r="T47" i="3" s="1"/>
  <c r="R47" i="3"/>
  <c r="U47" i="3" s="1"/>
  <c r="S47" i="3"/>
  <c r="O48" i="3"/>
  <c r="P48" i="3"/>
  <c r="T48" i="3"/>
  <c r="U48" i="3"/>
  <c r="L49" i="3"/>
  <c r="L47" i="3" s="1"/>
  <c r="M49" i="3"/>
  <c r="M47" i="3" s="1"/>
  <c r="N49" i="3"/>
  <c r="T49" i="3"/>
  <c r="U49" i="3"/>
  <c r="Q50" i="3"/>
  <c r="T50" i="3" s="1"/>
  <c r="R50" i="3"/>
  <c r="U50" i="3" s="1"/>
  <c r="S50" i="3"/>
  <c r="O51" i="3"/>
  <c r="P51" i="3"/>
  <c r="T51" i="3"/>
  <c r="U51" i="3"/>
  <c r="L52" i="3"/>
  <c r="M52" i="3"/>
  <c r="N52" i="3"/>
  <c r="N50" i="3" s="1"/>
  <c r="T52" i="3"/>
  <c r="U52" i="3"/>
  <c r="L60" i="3"/>
  <c r="M60" i="3"/>
  <c r="N60" i="3"/>
  <c r="O60" i="3"/>
  <c r="Q60" i="3"/>
  <c r="Q59" i="3" s="1"/>
  <c r="T59" i="3" s="1"/>
  <c r="R60" i="3"/>
  <c r="R59" i="3" s="1"/>
  <c r="U59" i="3" s="1"/>
  <c r="S60" i="3"/>
  <c r="S59" i="3" s="1"/>
  <c r="T60" i="3"/>
  <c r="U60" i="3"/>
  <c r="Q61" i="3"/>
  <c r="T61" i="3" s="1"/>
  <c r="R61" i="3"/>
  <c r="S61" i="3"/>
  <c r="U61" i="3"/>
  <c r="Q62" i="3"/>
  <c r="T62" i="3" s="1"/>
  <c r="R62" i="3"/>
  <c r="U62" i="3" s="1"/>
  <c r="S62" i="3"/>
  <c r="O63" i="3"/>
  <c r="P63" i="3"/>
  <c r="T63" i="3"/>
  <c r="U63" i="3"/>
  <c r="L64" i="3"/>
  <c r="L62" i="3" s="1"/>
  <c r="M64" i="3"/>
  <c r="M62" i="3" s="1"/>
  <c r="N64" i="3"/>
  <c r="T64" i="3"/>
  <c r="U64" i="3"/>
  <c r="Q65" i="3"/>
  <c r="R65" i="3"/>
  <c r="U65" i="3" s="1"/>
  <c r="S65" i="3"/>
  <c r="T65" i="3"/>
  <c r="O66" i="3"/>
  <c r="P66" i="3"/>
  <c r="T66" i="3"/>
  <c r="U66" i="3"/>
  <c r="L67" i="3"/>
  <c r="M67" i="3"/>
  <c r="N67" i="3"/>
  <c r="N65" i="3" s="1"/>
  <c r="T67" i="3"/>
  <c r="U67" i="3"/>
  <c r="L73" i="3"/>
  <c r="O73" i="3" s="1"/>
  <c r="M73" i="3"/>
  <c r="N73" i="3"/>
  <c r="Q73" i="3"/>
  <c r="R73" i="3"/>
  <c r="U73" i="3" s="1"/>
  <c r="S73" i="3"/>
  <c r="T73" i="3"/>
  <c r="O76" i="3"/>
  <c r="P76" i="3"/>
  <c r="T76" i="3"/>
  <c r="U76" i="3"/>
  <c r="L77" i="3"/>
  <c r="M77" i="3"/>
  <c r="M75" i="3" s="1"/>
  <c r="N77" i="3"/>
  <c r="Q77" i="3"/>
  <c r="Q75" i="3" s="1"/>
  <c r="R77" i="3"/>
  <c r="S77" i="3"/>
  <c r="S75" i="3" s="1"/>
  <c r="O79" i="3"/>
  <c r="P79" i="3"/>
  <c r="T79" i="3"/>
  <c r="U79" i="3"/>
  <c r="L80" i="3"/>
  <c r="L78" i="3" s="1"/>
  <c r="O78" i="3" s="1"/>
  <c r="M80" i="3"/>
  <c r="M78" i="3" s="1"/>
  <c r="P78" i="3" s="1"/>
  <c r="N80" i="3"/>
  <c r="N78" i="3" s="1"/>
  <c r="Q80" i="3"/>
  <c r="Q78" i="3" s="1"/>
  <c r="T78" i="3" s="1"/>
  <c r="R80" i="3"/>
  <c r="R78" i="3" s="1"/>
  <c r="U78" i="3" s="1"/>
  <c r="S80" i="3"/>
  <c r="S78" i="3" s="1"/>
  <c r="J82" i="3"/>
  <c r="J70" i="3" s="1"/>
  <c r="J83" i="3"/>
  <c r="J71" i="3" s="1"/>
  <c r="I84" i="3"/>
  <c r="K84" i="3" s="1"/>
  <c r="I85" i="3"/>
  <c r="K85" i="3" s="1"/>
  <c r="I86" i="3"/>
  <c r="K86" i="3" s="1"/>
  <c r="I87" i="3"/>
  <c r="I88" i="3"/>
  <c r="K88" i="3" s="1"/>
  <c r="I89" i="3"/>
  <c r="K89" i="3" s="1"/>
  <c r="I90" i="3"/>
  <c r="K90" i="3" s="1"/>
  <c r="J92" i="3"/>
  <c r="J93" i="3"/>
  <c r="L95" i="3"/>
  <c r="M95" i="3"/>
  <c r="P95" i="3" s="1"/>
  <c r="N95" i="3"/>
  <c r="Q95" i="3"/>
  <c r="R95" i="3"/>
  <c r="S95" i="3"/>
  <c r="O98" i="3"/>
  <c r="P98" i="3"/>
  <c r="T98" i="3"/>
  <c r="U98" i="3"/>
  <c r="L99" i="3"/>
  <c r="O99" i="3" s="1"/>
  <c r="M99" i="3"/>
  <c r="N99" i="3"/>
  <c r="N97" i="3" s="1"/>
  <c r="Q99" i="3"/>
  <c r="Q97" i="3" s="1"/>
  <c r="R99" i="3"/>
  <c r="S99" i="3"/>
  <c r="S96" i="3" s="1"/>
  <c r="S94" i="3" s="1"/>
  <c r="Q100" i="3"/>
  <c r="T100" i="3" s="1"/>
  <c r="R100" i="3"/>
  <c r="U100" i="3" s="1"/>
  <c r="S100" i="3"/>
  <c r="O101" i="3"/>
  <c r="P101" i="3"/>
  <c r="T101" i="3"/>
  <c r="U101" i="3"/>
  <c r="L102" i="3"/>
  <c r="M102" i="3"/>
  <c r="N102" i="3"/>
  <c r="N100" i="3" s="1"/>
  <c r="T102" i="3"/>
  <c r="U102" i="3"/>
  <c r="I108" i="3"/>
  <c r="I92" i="3" s="1"/>
  <c r="K92" i="3" s="1"/>
  <c r="I109" i="3"/>
  <c r="I93" i="3" s="1"/>
  <c r="K93" i="3" s="1"/>
  <c r="I113" i="3"/>
  <c r="K113" i="3" s="1"/>
  <c r="I114" i="3"/>
  <c r="K114" i="3" s="1"/>
  <c r="J116" i="3"/>
  <c r="L118" i="3"/>
  <c r="M118" i="3"/>
  <c r="N118" i="3"/>
  <c r="O118" i="3"/>
  <c r="P118" i="3"/>
  <c r="Q118" i="3"/>
  <c r="T118" i="3" s="1"/>
  <c r="R118" i="3"/>
  <c r="U118" i="3" s="1"/>
  <c r="S118" i="3"/>
  <c r="O121" i="3"/>
  <c r="P121" i="3"/>
  <c r="T121" i="3"/>
  <c r="U121" i="3"/>
  <c r="L122" i="3"/>
  <c r="M122" i="3"/>
  <c r="M120" i="3" s="1"/>
  <c r="P120" i="3" s="1"/>
  <c r="N122" i="3"/>
  <c r="Q122" i="3"/>
  <c r="R122" i="3"/>
  <c r="S122" i="3"/>
  <c r="O124" i="3"/>
  <c r="P124" i="3"/>
  <c r="T124" i="3"/>
  <c r="U124" i="3"/>
  <c r="L125" i="3"/>
  <c r="M125" i="3"/>
  <c r="P125" i="3" s="1"/>
  <c r="N125" i="3"/>
  <c r="N123" i="3" s="1"/>
  <c r="Q125" i="3"/>
  <c r="R125" i="3"/>
  <c r="S125" i="3"/>
  <c r="S123" i="3" s="1"/>
  <c r="I127" i="3"/>
  <c r="I116" i="3" s="1"/>
  <c r="I128" i="3"/>
  <c r="K128" i="3" s="1"/>
  <c r="I129" i="3"/>
  <c r="K129" i="3" s="1"/>
  <c r="I130" i="3"/>
  <c r="K130" i="3" s="1"/>
  <c r="J136" i="3"/>
  <c r="J137" i="3"/>
  <c r="J138" i="3"/>
  <c r="L140" i="3"/>
  <c r="O140" i="3" s="1"/>
  <c r="M140" i="3"/>
  <c r="N140" i="3"/>
  <c r="P140" i="3"/>
  <c r="Q140" i="3"/>
  <c r="R140" i="3"/>
  <c r="U140" i="3" s="1"/>
  <c r="S140" i="3"/>
  <c r="O143" i="3"/>
  <c r="P143" i="3"/>
  <c r="T143" i="3"/>
  <c r="U143" i="3"/>
  <c r="L144" i="3"/>
  <c r="M144" i="3"/>
  <c r="N144" i="3"/>
  <c r="Q144" i="3"/>
  <c r="Q142" i="3" s="1"/>
  <c r="R144" i="3"/>
  <c r="S144" i="3"/>
  <c r="O146" i="3"/>
  <c r="P146" i="3"/>
  <c r="T146" i="3"/>
  <c r="U146" i="3"/>
  <c r="L147" i="3"/>
  <c r="M147" i="3"/>
  <c r="N147" i="3"/>
  <c r="N145" i="3" s="1"/>
  <c r="Q147" i="3"/>
  <c r="T147" i="3" s="1"/>
  <c r="R147" i="3"/>
  <c r="S147" i="3"/>
  <c r="S145" i="3" s="1"/>
  <c r="I150" i="3"/>
  <c r="K150" i="3" s="1"/>
  <c r="I151" i="3"/>
  <c r="K151" i="3" s="1"/>
  <c r="I152" i="3"/>
  <c r="I137" i="3" s="1"/>
  <c r="K137" i="3" s="1"/>
  <c r="I153" i="3"/>
  <c r="K153" i="3" s="1"/>
  <c r="I154" i="3"/>
  <c r="J156" i="3"/>
  <c r="L158" i="3"/>
  <c r="M158" i="3"/>
  <c r="P158" i="3" s="1"/>
  <c r="N158" i="3"/>
  <c r="O158" i="3"/>
  <c r="Q158" i="3"/>
  <c r="T158" i="3" s="1"/>
  <c r="R158" i="3"/>
  <c r="S158" i="3"/>
  <c r="U158" i="3"/>
  <c r="O161" i="3"/>
  <c r="P161" i="3"/>
  <c r="T161" i="3"/>
  <c r="U161" i="3"/>
  <c r="L162" i="3"/>
  <c r="M162" i="3"/>
  <c r="M160" i="3" s="1"/>
  <c r="N162" i="3"/>
  <c r="Q162" i="3"/>
  <c r="R162" i="3"/>
  <c r="R159" i="3" s="1"/>
  <c r="U159" i="3" s="1"/>
  <c r="S162" i="3"/>
  <c r="S159" i="3" s="1"/>
  <c r="Q163" i="3"/>
  <c r="R163" i="3"/>
  <c r="S163" i="3"/>
  <c r="T163" i="3"/>
  <c r="U163" i="3"/>
  <c r="O164" i="3"/>
  <c r="P164" i="3"/>
  <c r="T164" i="3"/>
  <c r="U164" i="3"/>
  <c r="L165" i="3"/>
  <c r="M165" i="3"/>
  <c r="P165" i="3" s="1"/>
  <c r="N165" i="3"/>
  <c r="N163" i="3" s="1"/>
  <c r="T165" i="3"/>
  <c r="U165" i="3"/>
  <c r="I167" i="3"/>
  <c r="J172" i="3"/>
  <c r="L174" i="3"/>
  <c r="O174" i="3" s="1"/>
  <c r="M174" i="3"/>
  <c r="P174" i="3" s="1"/>
  <c r="N174" i="3"/>
  <c r="Q174" i="3"/>
  <c r="T174" i="3" s="1"/>
  <c r="R174" i="3"/>
  <c r="U174" i="3" s="1"/>
  <c r="S174" i="3"/>
  <c r="O177" i="3"/>
  <c r="P177" i="3"/>
  <c r="T177" i="3"/>
  <c r="U177" i="3"/>
  <c r="L178" i="3"/>
  <c r="M178" i="3"/>
  <c r="N178" i="3"/>
  <c r="Q178" i="3"/>
  <c r="Q175" i="3" s="1"/>
  <c r="Q173" i="3" s="1"/>
  <c r="T173" i="3" s="1"/>
  <c r="R178" i="3"/>
  <c r="R176" i="3" s="1"/>
  <c r="U176" i="3" s="1"/>
  <c r="S178" i="3"/>
  <c r="S175" i="3" s="1"/>
  <c r="Q179" i="3"/>
  <c r="T179" i="3" s="1"/>
  <c r="R179" i="3"/>
  <c r="S179" i="3"/>
  <c r="U179" i="3"/>
  <c r="O180" i="3"/>
  <c r="P180" i="3"/>
  <c r="T180" i="3"/>
  <c r="U180" i="3"/>
  <c r="L181" i="3"/>
  <c r="L179" i="3" s="1"/>
  <c r="O179" i="3" s="1"/>
  <c r="M181" i="3"/>
  <c r="P181" i="3" s="1"/>
  <c r="N181" i="3"/>
  <c r="N179" i="3" s="1"/>
  <c r="T181" i="3"/>
  <c r="U181" i="3"/>
  <c r="I183" i="3"/>
  <c r="I172" i="3" s="1"/>
  <c r="K172" i="3" s="1"/>
  <c r="K184" i="3"/>
  <c r="L187" i="3"/>
  <c r="M187" i="3"/>
  <c r="N187" i="3"/>
  <c r="Q187" i="3"/>
  <c r="R187" i="3"/>
  <c r="S187" i="3"/>
  <c r="O190" i="3"/>
  <c r="P190" i="3"/>
  <c r="T190" i="3"/>
  <c r="U190" i="3"/>
  <c r="L191" i="3"/>
  <c r="M191" i="3"/>
  <c r="M189" i="3" s="1"/>
  <c r="N191" i="3"/>
  <c r="Q191" i="3"/>
  <c r="Q189" i="3" s="1"/>
  <c r="R191" i="3"/>
  <c r="R189" i="3" s="1"/>
  <c r="S191" i="3"/>
  <c r="S189" i="3" s="1"/>
  <c r="O193" i="3"/>
  <c r="P193" i="3"/>
  <c r="T193" i="3"/>
  <c r="U193" i="3"/>
  <c r="L194" i="3"/>
  <c r="L192" i="3" s="1"/>
  <c r="O192" i="3" s="1"/>
  <c r="M194" i="3"/>
  <c r="M192" i="3" s="1"/>
  <c r="P192" i="3" s="1"/>
  <c r="N194" i="3"/>
  <c r="N192" i="3" s="1"/>
  <c r="Q194" i="3"/>
  <c r="Q192" i="3" s="1"/>
  <c r="T192" i="3" s="1"/>
  <c r="R194" i="3"/>
  <c r="U194" i="3" s="1"/>
  <c r="S194" i="3"/>
  <c r="S192" i="3" s="1"/>
  <c r="J195" i="3"/>
  <c r="L196" i="3"/>
  <c r="O196" i="3" s="1"/>
  <c r="P196" i="3"/>
  <c r="I198" i="3"/>
  <c r="I195" i="3" s="1"/>
  <c r="J199" i="3"/>
  <c r="J202" i="3"/>
  <c r="N203" i="3"/>
  <c r="P203" i="3"/>
  <c r="S203" i="3"/>
  <c r="U203" i="3"/>
  <c r="L204" i="3"/>
  <c r="L205" i="3"/>
  <c r="L206" i="3"/>
  <c r="Q206" i="3"/>
  <c r="Q203" i="3" s="1"/>
  <c r="L207" i="3"/>
  <c r="I209" i="3"/>
  <c r="I202" i="3" s="1"/>
  <c r="I211" i="3"/>
  <c r="K211" i="3" s="1"/>
  <c r="I212" i="3"/>
  <c r="K212" i="3" s="1"/>
  <c r="J213" i="3"/>
  <c r="N214" i="3"/>
  <c r="P214" i="3"/>
  <c r="S214" i="3"/>
  <c r="U214" i="3"/>
  <c r="L215" i="3"/>
  <c r="L216" i="3"/>
  <c r="L217" i="3"/>
  <c r="Q217" i="3"/>
  <c r="Q214" i="3" s="1"/>
  <c r="T214" i="3" s="1"/>
  <c r="I219" i="3"/>
  <c r="K219" i="3" s="1"/>
  <c r="I220" i="3"/>
  <c r="I213" i="3" s="1"/>
  <c r="K213" i="3" s="1"/>
  <c r="J221" i="3"/>
  <c r="N222" i="3"/>
  <c r="P222" i="3"/>
  <c r="L223" i="3"/>
  <c r="L224" i="3"/>
  <c r="L225" i="3"/>
  <c r="I228" i="3"/>
  <c r="K228" i="3" s="1"/>
  <c r="I229" i="3"/>
  <c r="I221" i="3" s="1"/>
  <c r="K221" i="3" s="1"/>
  <c r="I230" i="3"/>
  <c r="N233" i="3"/>
  <c r="N234" i="3"/>
  <c r="N235" i="3"/>
  <c r="N236" i="3"/>
  <c r="J238" i="3"/>
  <c r="I240" i="3"/>
  <c r="K240" i="3" s="1"/>
  <c r="J240" i="3"/>
  <c r="I241" i="3"/>
  <c r="K241" i="3" s="1"/>
  <c r="J241" i="3"/>
  <c r="J242" i="3"/>
  <c r="N243" i="3"/>
  <c r="N232" i="3" s="1"/>
  <c r="P243" i="3"/>
  <c r="L244" i="3"/>
  <c r="L245" i="3"/>
  <c r="L246" i="3"/>
  <c r="L247" i="3"/>
  <c r="I249" i="3"/>
  <c r="K251" i="3"/>
  <c r="K252" i="3"/>
  <c r="J253" i="3"/>
  <c r="N254" i="3"/>
  <c r="P254" i="3"/>
  <c r="L255" i="3"/>
  <c r="L256" i="3"/>
  <c r="L257" i="3"/>
  <c r="L258" i="3"/>
  <c r="I260" i="3"/>
  <c r="I253" i="3" s="1"/>
  <c r="K253" i="3" s="1"/>
  <c r="K262" i="3"/>
  <c r="K263" i="3"/>
  <c r="J265" i="3"/>
  <c r="L267" i="3"/>
  <c r="M267" i="3"/>
  <c r="N267" i="3"/>
  <c r="Q267" i="3"/>
  <c r="R267" i="3"/>
  <c r="S267" i="3"/>
  <c r="O270" i="3"/>
  <c r="P270" i="3"/>
  <c r="T270" i="3"/>
  <c r="U270" i="3"/>
  <c r="L271" i="3"/>
  <c r="L269" i="3" s="1"/>
  <c r="M271" i="3"/>
  <c r="N271" i="3"/>
  <c r="Q271" i="3"/>
  <c r="Q268" i="3" s="1"/>
  <c r="R271" i="3"/>
  <c r="R269" i="3" s="1"/>
  <c r="S271" i="3"/>
  <c r="S268" i="3" s="1"/>
  <c r="Q272" i="3"/>
  <c r="T272" i="3" s="1"/>
  <c r="R272" i="3"/>
  <c r="S272" i="3"/>
  <c r="U272" i="3"/>
  <c r="O273" i="3"/>
  <c r="P273" i="3"/>
  <c r="T273" i="3"/>
  <c r="U273" i="3"/>
  <c r="L274" i="3"/>
  <c r="M274" i="3"/>
  <c r="N274" i="3"/>
  <c r="N272" i="3" s="1"/>
  <c r="T274" i="3"/>
  <c r="U274" i="3"/>
  <c r="I276" i="3"/>
  <c r="J281" i="3"/>
  <c r="L283" i="3"/>
  <c r="M283" i="3"/>
  <c r="N283" i="3"/>
  <c r="Q283" i="3"/>
  <c r="Q282" i="3" s="1"/>
  <c r="T282" i="3" s="1"/>
  <c r="R283" i="3"/>
  <c r="S283" i="3"/>
  <c r="Q284" i="3"/>
  <c r="T284" i="3" s="1"/>
  <c r="R284" i="3"/>
  <c r="U284" i="3" s="1"/>
  <c r="S284" i="3"/>
  <c r="Q285" i="3"/>
  <c r="T285" i="3" s="1"/>
  <c r="R285" i="3"/>
  <c r="U285" i="3" s="1"/>
  <c r="S285" i="3"/>
  <c r="O286" i="3"/>
  <c r="P286" i="3"/>
  <c r="T286" i="3"/>
  <c r="U286" i="3"/>
  <c r="L287" i="3"/>
  <c r="L285" i="3" s="1"/>
  <c r="O285" i="3" s="1"/>
  <c r="M287" i="3"/>
  <c r="M285" i="3" s="1"/>
  <c r="P285" i="3" s="1"/>
  <c r="N287" i="3"/>
  <c r="N285" i="3" s="1"/>
  <c r="T287" i="3"/>
  <c r="U287" i="3"/>
  <c r="Q288" i="3"/>
  <c r="R288" i="3"/>
  <c r="S288" i="3"/>
  <c r="T288" i="3"/>
  <c r="U288" i="3"/>
  <c r="O289" i="3"/>
  <c r="P289" i="3"/>
  <c r="T289" i="3"/>
  <c r="U289" i="3"/>
  <c r="L290" i="3"/>
  <c r="M290" i="3"/>
  <c r="P290" i="3" s="1"/>
  <c r="N290" i="3"/>
  <c r="N288" i="3" s="1"/>
  <c r="T290" i="3"/>
  <c r="U290" i="3"/>
  <c r="I292" i="3"/>
  <c r="K292" i="3" s="1"/>
  <c r="I293" i="3"/>
  <c r="I280" i="3" s="1"/>
  <c r="K280" i="3" s="1"/>
  <c r="J293" i="3"/>
  <c r="J280" i="3" s="1"/>
  <c r="I295" i="3"/>
  <c r="K295" i="3" s="1"/>
  <c r="I296" i="3"/>
  <c r="K296" i="3" s="1"/>
  <c r="J302" i="3"/>
  <c r="L304" i="3"/>
  <c r="M304" i="3"/>
  <c r="N304" i="3"/>
  <c r="Q304" i="3"/>
  <c r="R304" i="3"/>
  <c r="S304" i="3"/>
  <c r="O307" i="3"/>
  <c r="P307" i="3"/>
  <c r="T307" i="3"/>
  <c r="U307" i="3"/>
  <c r="L308" i="3"/>
  <c r="L306" i="3" s="1"/>
  <c r="O306" i="3" s="1"/>
  <c r="M308" i="3"/>
  <c r="P308" i="3" s="1"/>
  <c r="N308" i="3"/>
  <c r="N306" i="3" s="1"/>
  <c r="Q308" i="3"/>
  <c r="R308" i="3"/>
  <c r="R306" i="3" s="1"/>
  <c r="S308" i="3"/>
  <c r="S306" i="3" s="1"/>
  <c r="Q309" i="3"/>
  <c r="T309" i="3" s="1"/>
  <c r="R309" i="3"/>
  <c r="U309" i="3" s="1"/>
  <c r="S309" i="3"/>
  <c r="O310" i="3"/>
  <c r="P310" i="3"/>
  <c r="T310" i="3"/>
  <c r="U310" i="3"/>
  <c r="L311" i="3"/>
  <c r="L309" i="3" s="1"/>
  <c r="O309" i="3" s="1"/>
  <c r="M311" i="3"/>
  <c r="P311" i="3" s="1"/>
  <c r="N311" i="3"/>
  <c r="N309" i="3" s="1"/>
  <c r="T311" i="3"/>
  <c r="U311" i="3"/>
  <c r="I314" i="3"/>
  <c r="I302" i="3" s="1"/>
  <c r="K302" i="3" s="1"/>
  <c r="J319" i="3"/>
  <c r="L321" i="3"/>
  <c r="M321" i="3"/>
  <c r="P321" i="3" s="1"/>
  <c r="N321" i="3"/>
  <c r="O321" i="3"/>
  <c r="Q321" i="3"/>
  <c r="R321" i="3"/>
  <c r="S321" i="3"/>
  <c r="U321" i="3"/>
  <c r="Q322" i="3"/>
  <c r="T322" i="3" s="1"/>
  <c r="R322" i="3"/>
  <c r="U322" i="3" s="1"/>
  <c r="S322" i="3"/>
  <c r="Q323" i="3"/>
  <c r="T323" i="3" s="1"/>
  <c r="R323" i="3"/>
  <c r="U323" i="3" s="1"/>
  <c r="S323" i="3"/>
  <c r="O324" i="3"/>
  <c r="P324" i="3"/>
  <c r="T324" i="3"/>
  <c r="U324" i="3"/>
  <c r="L325" i="3"/>
  <c r="M325" i="3"/>
  <c r="N325" i="3"/>
  <c r="N323" i="3" s="1"/>
  <c r="T325" i="3"/>
  <c r="U325" i="3"/>
  <c r="Q326" i="3"/>
  <c r="T326" i="3" s="1"/>
  <c r="R326" i="3"/>
  <c r="U326" i="3" s="1"/>
  <c r="S326" i="3"/>
  <c r="O327" i="3"/>
  <c r="P327" i="3"/>
  <c r="T327" i="3"/>
  <c r="U327" i="3"/>
  <c r="L328" i="3"/>
  <c r="L326" i="3" s="1"/>
  <c r="M328" i="3"/>
  <c r="M326" i="3" s="1"/>
  <c r="N328" i="3"/>
  <c r="T328" i="3"/>
  <c r="U328" i="3"/>
  <c r="I330" i="3"/>
  <c r="I319" i="3" s="1"/>
  <c r="K319" i="3" s="1"/>
  <c r="L334" i="3"/>
  <c r="M334" i="3"/>
  <c r="P334" i="3" s="1"/>
  <c r="N334" i="3"/>
  <c r="Q334" i="3"/>
  <c r="R334" i="3"/>
  <c r="S334" i="3"/>
  <c r="Q335" i="3"/>
  <c r="T335" i="3" s="1"/>
  <c r="R335" i="3"/>
  <c r="U335" i="3" s="1"/>
  <c r="S335" i="3"/>
  <c r="Q336" i="3"/>
  <c r="T336" i="3" s="1"/>
  <c r="R336" i="3"/>
  <c r="U336" i="3" s="1"/>
  <c r="S336" i="3"/>
  <c r="O337" i="3"/>
  <c r="P337" i="3"/>
  <c r="T337" i="3"/>
  <c r="U337" i="3"/>
  <c r="L338" i="3"/>
  <c r="M338" i="3"/>
  <c r="N338" i="3"/>
  <c r="N336" i="3" s="1"/>
  <c r="T338" i="3"/>
  <c r="U338" i="3"/>
  <c r="Q339" i="3"/>
  <c r="T339" i="3" s="1"/>
  <c r="R339" i="3"/>
  <c r="S339" i="3"/>
  <c r="U339" i="3"/>
  <c r="O340" i="3"/>
  <c r="P340" i="3"/>
  <c r="T340" i="3"/>
  <c r="U340" i="3"/>
  <c r="L341" i="3"/>
  <c r="L339" i="3" s="1"/>
  <c r="O339" i="3" s="1"/>
  <c r="M341" i="3"/>
  <c r="N341" i="3"/>
  <c r="N339" i="3" s="1"/>
  <c r="T341" i="3"/>
  <c r="U341" i="3"/>
  <c r="I344" i="3"/>
  <c r="J344" i="3"/>
  <c r="I346" i="3"/>
  <c r="J346" i="3"/>
  <c r="J347" i="3"/>
  <c r="J348" i="3"/>
  <c r="J349" i="3"/>
  <c r="D350" i="3"/>
  <c r="J352" i="3"/>
  <c r="J353" i="3"/>
  <c r="D354" i="3"/>
  <c r="L357" i="3"/>
  <c r="M357" i="3"/>
  <c r="P357" i="3" s="1"/>
  <c r="N357" i="3"/>
  <c r="Q357" i="3"/>
  <c r="T357" i="3" s="1"/>
  <c r="R357" i="3"/>
  <c r="S357" i="3"/>
  <c r="U357" i="3"/>
  <c r="Q358" i="3"/>
  <c r="R358" i="3"/>
  <c r="S358" i="3"/>
  <c r="T358" i="3"/>
  <c r="U358" i="3"/>
  <c r="Q359" i="3"/>
  <c r="T359" i="3" s="1"/>
  <c r="R359" i="3"/>
  <c r="U359" i="3" s="1"/>
  <c r="S359" i="3"/>
  <c r="O360" i="3"/>
  <c r="P360" i="3"/>
  <c r="T360" i="3"/>
  <c r="U360" i="3"/>
  <c r="L361" i="3"/>
  <c r="L359" i="3" s="1"/>
  <c r="M361" i="3"/>
  <c r="N361" i="3"/>
  <c r="T361" i="3"/>
  <c r="U361" i="3"/>
  <c r="Q362" i="3"/>
  <c r="T362" i="3" s="1"/>
  <c r="R362" i="3"/>
  <c r="U362" i="3" s="1"/>
  <c r="S362" i="3"/>
  <c r="O363" i="3"/>
  <c r="P363" i="3"/>
  <c r="T363" i="3"/>
  <c r="U363" i="3"/>
  <c r="L364" i="3"/>
  <c r="O364" i="3" s="1"/>
  <c r="M364" i="3"/>
  <c r="N364" i="3"/>
  <c r="N362" i="3" s="1"/>
  <c r="T364" i="3"/>
  <c r="U364" i="3"/>
  <c r="J367" i="3"/>
  <c r="K367" i="3"/>
  <c r="I368" i="3"/>
  <c r="J368" i="3"/>
  <c r="I369" i="3"/>
  <c r="J369" i="3"/>
  <c r="J370" i="3"/>
  <c r="K370" i="3"/>
  <c r="I371" i="3"/>
  <c r="I365" i="3" s="1"/>
  <c r="J371" i="3"/>
  <c r="J365" i="3" s="1"/>
  <c r="J372" i="3"/>
  <c r="K372" i="3"/>
  <c r="D373" i="3"/>
  <c r="L376" i="3"/>
  <c r="M376" i="3"/>
  <c r="P376" i="3" s="1"/>
  <c r="N376" i="3"/>
  <c r="O376" i="3"/>
  <c r="Q376" i="3"/>
  <c r="R376" i="3"/>
  <c r="U376" i="3" s="1"/>
  <c r="S376" i="3"/>
  <c r="T376" i="3"/>
  <c r="O379" i="3"/>
  <c r="P379" i="3"/>
  <c r="T379" i="3"/>
  <c r="U379" i="3"/>
  <c r="L380" i="3"/>
  <c r="L378" i="3" s="1"/>
  <c r="M380" i="3"/>
  <c r="M378" i="3" s="1"/>
  <c r="N380" i="3"/>
  <c r="Q380" i="3"/>
  <c r="Q377" i="3" s="1"/>
  <c r="R380" i="3"/>
  <c r="R377" i="3" s="1"/>
  <c r="S380" i="3"/>
  <c r="Q381" i="3"/>
  <c r="T381" i="3" s="1"/>
  <c r="R381" i="3"/>
  <c r="S381" i="3"/>
  <c r="U381" i="3"/>
  <c r="O382" i="3"/>
  <c r="P382" i="3"/>
  <c r="T382" i="3"/>
  <c r="U382" i="3"/>
  <c r="L383" i="3"/>
  <c r="L381" i="3" s="1"/>
  <c r="O381" i="3" s="1"/>
  <c r="M383" i="3"/>
  <c r="M381" i="3" s="1"/>
  <c r="P381" i="3" s="1"/>
  <c r="N383" i="3"/>
  <c r="N381" i="3" s="1"/>
  <c r="T383" i="3"/>
  <c r="U383" i="3"/>
  <c r="J385" i="3"/>
  <c r="K385" i="3"/>
  <c r="I386" i="3"/>
  <c r="J386" i="3"/>
  <c r="J387" i="3"/>
  <c r="K387" i="3"/>
  <c r="I388" i="3"/>
  <c r="K388" i="3" s="1"/>
  <c r="J388" i="3"/>
  <c r="I391" i="3"/>
  <c r="K391" i="3" s="1"/>
  <c r="J391" i="3"/>
  <c r="L393" i="3"/>
  <c r="O393" i="3" s="1"/>
  <c r="M393" i="3"/>
  <c r="N393" i="3"/>
  <c r="N392" i="3" s="1"/>
  <c r="P393" i="3"/>
  <c r="Q393" i="3"/>
  <c r="T393" i="3" s="1"/>
  <c r="R393" i="3"/>
  <c r="S393" i="3"/>
  <c r="U393" i="3"/>
  <c r="L394" i="3"/>
  <c r="O394" i="3" s="1"/>
  <c r="M394" i="3"/>
  <c r="N394" i="3"/>
  <c r="L395" i="3"/>
  <c r="O395" i="3" s="1"/>
  <c r="M395" i="3"/>
  <c r="P395" i="3" s="1"/>
  <c r="N395" i="3"/>
  <c r="O396" i="3"/>
  <c r="P396" i="3"/>
  <c r="T396" i="3"/>
  <c r="U396" i="3"/>
  <c r="O397" i="3"/>
  <c r="P397" i="3"/>
  <c r="Q397" i="3"/>
  <c r="Q394" i="3" s="1"/>
  <c r="T394" i="3" s="1"/>
  <c r="R397" i="3"/>
  <c r="R395" i="3" s="1"/>
  <c r="U395" i="3" s="1"/>
  <c r="S397" i="3"/>
  <c r="S394" i="3" s="1"/>
  <c r="S392" i="3" s="1"/>
  <c r="L398" i="3"/>
  <c r="O398" i="3" s="1"/>
  <c r="M398" i="3"/>
  <c r="N398" i="3"/>
  <c r="P398" i="3"/>
  <c r="Q398" i="3"/>
  <c r="T398" i="3" s="1"/>
  <c r="R398" i="3"/>
  <c r="U398" i="3" s="1"/>
  <c r="S398" i="3"/>
  <c r="O399" i="3"/>
  <c r="P399" i="3"/>
  <c r="T399" i="3"/>
  <c r="U399" i="3"/>
  <c r="O400" i="3"/>
  <c r="P400" i="3"/>
  <c r="T400" i="3"/>
  <c r="U400" i="3"/>
  <c r="L414" i="3"/>
  <c r="M414" i="3"/>
  <c r="P414" i="3" s="1"/>
  <c r="N414" i="3"/>
  <c r="O414" i="3"/>
  <c r="Q414" i="3"/>
  <c r="T414" i="3" s="1"/>
  <c r="R414" i="3"/>
  <c r="S414" i="3"/>
  <c r="U414" i="3"/>
  <c r="O417" i="3"/>
  <c r="P417" i="3"/>
  <c r="T417" i="3"/>
  <c r="U417" i="3"/>
  <c r="L418" i="3"/>
  <c r="M418" i="3"/>
  <c r="N418" i="3"/>
  <c r="Q418" i="3"/>
  <c r="Q415" i="3" s="1"/>
  <c r="R418" i="3"/>
  <c r="S418" i="3"/>
  <c r="S415" i="3" s="1"/>
  <c r="Q419" i="3"/>
  <c r="T419" i="3" s="1"/>
  <c r="R419" i="3"/>
  <c r="S419" i="3"/>
  <c r="U419" i="3"/>
  <c r="O420" i="3"/>
  <c r="P420" i="3"/>
  <c r="T420" i="3"/>
  <c r="U420" i="3"/>
  <c r="L421" i="3"/>
  <c r="L419" i="3" s="1"/>
  <c r="O419" i="3" s="1"/>
  <c r="M421" i="3"/>
  <c r="P421" i="3" s="1"/>
  <c r="N421" i="3"/>
  <c r="N419" i="3" s="1"/>
  <c r="T421" i="3"/>
  <c r="U421" i="3"/>
  <c r="I424" i="3"/>
  <c r="K424" i="3" s="1"/>
  <c r="J424" i="3"/>
  <c r="I425" i="3"/>
  <c r="K425" i="3" s="1"/>
  <c r="J425" i="3"/>
  <c r="I432" i="3"/>
  <c r="K432" i="3" s="1"/>
  <c r="J432" i="3"/>
  <c r="I433" i="3"/>
  <c r="K433" i="3" s="1"/>
  <c r="J433" i="3"/>
  <c r="I440" i="3"/>
  <c r="I423" i="3" s="1"/>
  <c r="K423" i="3" s="1"/>
  <c r="I441" i="3"/>
  <c r="K441" i="3" s="1"/>
  <c r="J446" i="3"/>
  <c r="J440" i="3" s="1"/>
  <c r="J423" i="3" s="1"/>
  <c r="J412" i="3" s="1"/>
  <c r="J447" i="3"/>
  <c r="J441" i="3" s="1"/>
  <c r="I457" i="3"/>
  <c r="I456" i="3" s="1"/>
  <c r="I458" i="3"/>
  <c r="K458" i="3" s="1"/>
  <c r="J459" i="3"/>
  <c r="J460" i="3"/>
  <c r="J467" i="3"/>
  <c r="J468" i="3"/>
  <c r="J475" i="3"/>
  <c r="K475" i="3"/>
  <c r="J476" i="3"/>
  <c r="K476" i="3"/>
  <c r="J477" i="3"/>
  <c r="K477" i="3"/>
  <c r="J482" i="3"/>
  <c r="J483" i="3"/>
  <c r="I484" i="3"/>
  <c r="K484" i="3" s="1"/>
  <c r="J484" i="3"/>
  <c r="I485" i="3"/>
  <c r="K485" i="3" s="1"/>
  <c r="J485" i="3"/>
  <c r="L494" i="3"/>
  <c r="M494" i="3"/>
  <c r="N494" i="3"/>
  <c r="O494" i="3"/>
  <c r="Q494" i="3"/>
  <c r="R494" i="3"/>
  <c r="U494" i="3" s="1"/>
  <c r="S494" i="3"/>
  <c r="T494" i="3"/>
  <c r="O497" i="3"/>
  <c r="P497" i="3"/>
  <c r="T497" i="3"/>
  <c r="U497" i="3"/>
  <c r="L498" i="3"/>
  <c r="M498" i="3"/>
  <c r="N498" i="3"/>
  <c r="Q498" i="3"/>
  <c r="R498" i="3"/>
  <c r="S498" i="3"/>
  <c r="Q499" i="3"/>
  <c r="T499" i="3" s="1"/>
  <c r="R499" i="3"/>
  <c r="U499" i="3" s="1"/>
  <c r="S499" i="3"/>
  <c r="O500" i="3"/>
  <c r="P500" i="3"/>
  <c r="T500" i="3"/>
  <c r="U500" i="3"/>
  <c r="L501" i="3"/>
  <c r="L499" i="3" s="1"/>
  <c r="O499" i="3" s="1"/>
  <c r="M501" i="3"/>
  <c r="M499" i="3" s="1"/>
  <c r="P499" i="3" s="1"/>
  <c r="N501" i="3"/>
  <c r="N499" i="3" s="1"/>
  <c r="T501" i="3"/>
  <c r="U501" i="3"/>
  <c r="I503" i="3"/>
  <c r="J503" i="3" s="1"/>
  <c r="J492" i="3" s="1"/>
  <c r="I504" i="3"/>
  <c r="K504" i="3" s="1"/>
  <c r="I505" i="3"/>
  <c r="K505" i="3" s="1"/>
  <c r="I506" i="3"/>
  <c r="K506" i="3" s="1"/>
  <c r="I507" i="3"/>
  <c r="K507" i="3" s="1"/>
  <c r="K508" i="3"/>
  <c r="I509" i="3"/>
  <c r="K509" i="3" s="1"/>
  <c r="I512" i="3"/>
  <c r="K512" i="3" s="1"/>
  <c r="J512" i="3"/>
  <c r="L514" i="3"/>
  <c r="M514" i="3"/>
  <c r="P514" i="3" s="1"/>
  <c r="N514" i="3"/>
  <c r="O514" i="3"/>
  <c r="Q514" i="3"/>
  <c r="T514" i="3" s="1"/>
  <c r="R514" i="3"/>
  <c r="R513" i="3" s="1"/>
  <c r="U513" i="3" s="1"/>
  <c r="S514" i="3"/>
  <c r="U514" i="3"/>
  <c r="Q515" i="3"/>
  <c r="T515" i="3" s="1"/>
  <c r="R515" i="3"/>
  <c r="S515" i="3"/>
  <c r="S513" i="3" s="1"/>
  <c r="U515" i="3"/>
  <c r="Q516" i="3"/>
  <c r="T516" i="3" s="1"/>
  <c r="R516" i="3"/>
  <c r="U516" i="3" s="1"/>
  <c r="S516" i="3"/>
  <c r="O517" i="3"/>
  <c r="P517" i="3"/>
  <c r="T517" i="3"/>
  <c r="U517" i="3"/>
  <c r="L518" i="3"/>
  <c r="L516" i="3" s="1"/>
  <c r="O516" i="3" s="1"/>
  <c r="M518" i="3"/>
  <c r="N518" i="3"/>
  <c r="T518" i="3"/>
  <c r="U518" i="3"/>
  <c r="Q519" i="3"/>
  <c r="R519" i="3"/>
  <c r="S519" i="3"/>
  <c r="T519" i="3"/>
  <c r="U519" i="3"/>
  <c r="O520" i="3"/>
  <c r="P520" i="3"/>
  <c r="T520" i="3"/>
  <c r="U520" i="3"/>
  <c r="L521" i="3"/>
  <c r="M521" i="3"/>
  <c r="P521" i="3" s="1"/>
  <c r="N521" i="3"/>
  <c r="N519" i="3" s="1"/>
  <c r="T521" i="3"/>
  <c r="U521" i="3"/>
  <c r="K523" i="3"/>
  <c r="K524" i="3"/>
  <c r="I533" i="3"/>
  <c r="K533" i="3" s="1"/>
  <c r="J533" i="3"/>
  <c r="L535" i="3"/>
  <c r="O535" i="3" s="1"/>
  <c r="M535" i="3"/>
  <c r="P535" i="3" s="1"/>
  <c r="N535" i="3"/>
  <c r="Q535" i="3"/>
  <c r="R535" i="3"/>
  <c r="S535" i="3"/>
  <c r="S534" i="3" s="1"/>
  <c r="T535" i="3"/>
  <c r="Q536" i="3"/>
  <c r="Q534" i="3" s="1"/>
  <c r="T534" i="3" s="1"/>
  <c r="R536" i="3"/>
  <c r="S536" i="3"/>
  <c r="T536" i="3"/>
  <c r="U536" i="3"/>
  <c r="Q537" i="3"/>
  <c r="T537" i="3" s="1"/>
  <c r="R537" i="3"/>
  <c r="U537" i="3" s="1"/>
  <c r="S537" i="3"/>
  <c r="O538" i="3"/>
  <c r="P538" i="3"/>
  <c r="T538" i="3"/>
  <c r="U538" i="3"/>
  <c r="L539" i="3"/>
  <c r="L537" i="3" s="1"/>
  <c r="O537" i="3" s="1"/>
  <c r="M539" i="3"/>
  <c r="P539" i="3" s="1"/>
  <c r="N539" i="3"/>
  <c r="N537" i="3" s="1"/>
  <c r="T539" i="3"/>
  <c r="U539" i="3"/>
  <c r="Q540" i="3"/>
  <c r="T540" i="3" s="1"/>
  <c r="R540" i="3"/>
  <c r="S540" i="3"/>
  <c r="U540" i="3"/>
  <c r="O541" i="3"/>
  <c r="P541" i="3"/>
  <c r="T541" i="3"/>
  <c r="U541" i="3"/>
  <c r="L542" i="3"/>
  <c r="M542" i="3"/>
  <c r="P542" i="3" s="1"/>
  <c r="N542" i="3"/>
  <c r="N540" i="3" s="1"/>
  <c r="T542" i="3"/>
  <c r="U542" i="3"/>
  <c r="I554" i="3"/>
  <c r="K554" i="3" s="1"/>
  <c r="J554" i="3"/>
  <c r="L556" i="3"/>
  <c r="O556" i="3" s="1"/>
  <c r="M556" i="3"/>
  <c r="N556" i="3"/>
  <c r="P556" i="3"/>
  <c r="Q556" i="3"/>
  <c r="R556" i="3"/>
  <c r="U556" i="3" s="1"/>
  <c r="S556" i="3"/>
  <c r="Q557" i="3"/>
  <c r="T557" i="3" s="1"/>
  <c r="R557" i="3"/>
  <c r="U557" i="3" s="1"/>
  <c r="S557" i="3"/>
  <c r="S555" i="3" s="1"/>
  <c r="Q558" i="3"/>
  <c r="R558" i="3"/>
  <c r="U558" i="3" s="1"/>
  <c r="S558" i="3"/>
  <c r="T558" i="3"/>
  <c r="O559" i="3"/>
  <c r="P559" i="3"/>
  <c r="T559" i="3"/>
  <c r="U559" i="3"/>
  <c r="L560" i="3"/>
  <c r="M560" i="3"/>
  <c r="N560" i="3"/>
  <c r="N558" i="3" s="1"/>
  <c r="T560" i="3"/>
  <c r="U560" i="3"/>
  <c r="Q561" i="3"/>
  <c r="T561" i="3" s="1"/>
  <c r="R561" i="3"/>
  <c r="U561" i="3" s="1"/>
  <c r="S561" i="3"/>
  <c r="O562" i="3"/>
  <c r="P562" i="3"/>
  <c r="T562" i="3"/>
  <c r="U562" i="3"/>
  <c r="L563" i="3"/>
  <c r="L561" i="3" s="1"/>
  <c r="O561" i="3" s="1"/>
  <c r="M563" i="3"/>
  <c r="P563" i="3" s="1"/>
  <c r="N563" i="3"/>
  <c r="N561" i="3" s="1"/>
  <c r="T563" i="3"/>
  <c r="U563" i="3"/>
  <c r="I575" i="3"/>
  <c r="J575" i="3"/>
  <c r="K575" i="3" s="1"/>
  <c r="Q576" i="3"/>
  <c r="T576" i="3" s="1"/>
  <c r="L577" i="3"/>
  <c r="M577" i="3"/>
  <c r="N577" i="3"/>
  <c r="Q577" i="3"/>
  <c r="T577" i="3" s="1"/>
  <c r="R577" i="3"/>
  <c r="S577" i="3"/>
  <c r="S576" i="3" s="1"/>
  <c r="Q578" i="3"/>
  <c r="R578" i="3"/>
  <c r="S578" i="3"/>
  <c r="T578" i="3"/>
  <c r="U578" i="3"/>
  <c r="Q579" i="3"/>
  <c r="T579" i="3" s="1"/>
  <c r="R579" i="3"/>
  <c r="U579" i="3" s="1"/>
  <c r="S579" i="3"/>
  <c r="O580" i="3"/>
  <c r="P580" i="3"/>
  <c r="T580" i="3"/>
  <c r="U580" i="3"/>
  <c r="L581" i="3"/>
  <c r="M581" i="3"/>
  <c r="N581" i="3"/>
  <c r="T581" i="3"/>
  <c r="U581" i="3"/>
  <c r="Q582" i="3"/>
  <c r="T582" i="3" s="1"/>
  <c r="R582" i="3"/>
  <c r="U582" i="3" s="1"/>
  <c r="S582" i="3"/>
  <c r="O583" i="3"/>
  <c r="P583" i="3"/>
  <c r="T583" i="3"/>
  <c r="U583" i="3"/>
  <c r="L584" i="3"/>
  <c r="M584" i="3"/>
  <c r="P584" i="3" s="1"/>
  <c r="N584" i="3"/>
  <c r="N582" i="3" s="1"/>
  <c r="T584" i="3"/>
  <c r="U584" i="3"/>
  <c r="K586" i="3"/>
  <c r="K587" i="3"/>
  <c r="L600" i="3"/>
  <c r="M600" i="3"/>
  <c r="N600" i="3"/>
  <c r="P600" i="3"/>
  <c r="Q600" i="3"/>
  <c r="R600" i="3"/>
  <c r="S600" i="3"/>
  <c r="O603" i="3"/>
  <c r="P603" i="3"/>
  <c r="T603" i="3"/>
  <c r="U603" i="3"/>
  <c r="L604" i="3"/>
  <c r="M604" i="3"/>
  <c r="N604" i="3"/>
  <c r="N602" i="3" s="1"/>
  <c r="Q604" i="3"/>
  <c r="T604" i="3" s="1"/>
  <c r="R604" i="3"/>
  <c r="S604" i="3"/>
  <c r="S602" i="3" s="1"/>
  <c r="O606" i="3"/>
  <c r="P606" i="3"/>
  <c r="T606" i="3"/>
  <c r="U606" i="3"/>
  <c r="L607" i="3"/>
  <c r="M607" i="3"/>
  <c r="N607" i="3"/>
  <c r="N605" i="3" s="1"/>
  <c r="Q607" i="3"/>
  <c r="Q605" i="3" s="1"/>
  <c r="T605" i="3" s="1"/>
  <c r="R607" i="3"/>
  <c r="S607" i="3"/>
  <c r="S605" i="3" s="1"/>
  <c r="L617" i="3"/>
  <c r="M617" i="3"/>
  <c r="N617" i="3"/>
  <c r="Q617" i="3"/>
  <c r="T617" i="3" s="1"/>
  <c r="R617" i="3"/>
  <c r="S617" i="3"/>
  <c r="U617" i="3"/>
  <c r="L618" i="3"/>
  <c r="M618" i="3"/>
  <c r="P618" i="3" s="1"/>
  <c r="N618" i="3"/>
  <c r="O618" i="3"/>
  <c r="L619" i="3"/>
  <c r="O619" i="3" s="1"/>
  <c r="M619" i="3"/>
  <c r="P619" i="3" s="1"/>
  <c r="N619" i="3"/>
  <c r="O620" i="3"/>
  <c r="P620" i="3"/>
  <c r="T620" i="3"/>
  <c r="U620" i="3"/>
  <c r="O621" i="3"/>
  <c r="P621" i="3"/>
  <c r="Q621" i="3"/>
  <c r="Q619" i="3" s="1"/>
  <c r="R621" i="3"/>
  <c r="S621" i="3"/>
  <c r="L622" i="3"/>
  <c r="O622" i="3" s="1"/>
  <c r="M622" i="3"/>
  <c r="N622" i="3"/>
  <c r="P622" i="3"/>
  <c r="Q622" i="3"/>
  <c r="R622" i="3"/>
  <c r="U622" i="3" s="1"/>
  <c r="S622" i="3"/>
  <c r="T622" i="3"/>
  <c r="O623" i="3"/>
  <c r="P623" i="3"/>
  <c r="T623" i="3"/>
  <c r="U623" i="3"/>
  <c r="O624" i="3"/>
  <c r="P624" i="3"/>
  <c r="T624" i="3"/>
  <c r="U624" i="3"/>
  <c r="I626" i="3"/>
  <c r="I615" i="3" s="1"/>
  <c r="K615" i="3" s="1"/>
  <c r="I627" i="3"/>
  <c r="K627" i="3" s="1"/>
  <c r="I628" i="3"/>
  <c r="K628" i="3" s="1"/>
  <c r="J632" i="3"/>
  <c r="J626" i="3" s="1"/>
  <c r="J615" i="3" s="1"/>
  <c r="I635" i="3"/>
  <c r="K635" i="3" s="1"/>
  <c r="J636" i="3"/>
  <c r="J635" i="3" s="1"/>
  <c r="L643" i="3"/>
  <c r="M643" i="3"/>
  <c r="N643" i="3"/>
  <c r="Q643" i="3"/>
  <c r="T643" i="3" s="1"/>
  <c r="R643" i="3"/>
  <c r="S643" i="3"/>
  <c r="L644" i="3"/>
  <c r="O644" i="3" s="1"/>
  <c r="M644" i="3"/>
  <c r="P644" i="3" s="1"/>
  <c r="N644" i="3"/>
  <c r="L645" i="3"/>
  <c r="O645" i="3" s="1"/>
  <c r="M645" i="3"/>
  <c r="N645" i="3"/>
  <c r="P645" i="3"/>
  <c r="O646" i="3"/>
  <c r="P646" i="3"/>
  <c r="T646" i="3"/>
  <c r="U646" i="3"/>
  <c r="O647" i="3"/>
  <c r="P647" i="3"/>
  <c r="Q647" i="3"/>
  <c r="R647" i="3"/>
  <c r="S647" i="3"/>
  <c r="S644" i="3" s="1"/>
  <c r="L648" i="3"/>
  <c r="O648" i="3" s="1"/>
  <c r="M648" i="3"/>
  <c r="P648" i="3" s="1"/>
  <c r="N648" i="3"/>
  <c r="Q648" i="3"/>
  <c r="R648" i="3"/>
  <c r="U648" i="3" s="1"/>
  <c r="S648" i="3"/>
  <c r="T648" i="3"/>
  <c r="O649" i="3"/>
  <c r="P649" i="3"/>
  <c r="T649" i="3"/>
  <c r="U649" i="3"/>
  <c r="O650" i="3"/>
  <c r="P650" i="3"/>
  <c r="T650" i="3"/>
  <c r="U650" i="3"/>
  <c r="I652" i="3"/>
  <c r="K652" i="3" s="1"/>
  <c r="J652" i="3"/>
  <c r="I653" i="3"/>
  <c r="K653" i="3" s="1"/>
  <c r="J653" i="3"/>
  <c r="I654" i="3"/>
  <c r="K654" i="3" s="1"/>
  <c r="J654" i="3"/>
  <c r="I657" i="3"/>
  <c r="I660" i="3"/>
  <c r="I661" i="3"/>
  <c r="K661" i="3" s="1"/>
  <c r="J661" i="3"/>
  <c r="J671" i="3"/>
  <c r="J672" i="3"/>
  <c r="I673" i="3"/>
  <c r="K673" i="3" s="1"/>
  <c r="J673" i="3"/>
  <c r="I674" i="3"/>
  <c r="K674" i="3" s="1"/>
  <c r="I675" i="3"/>
  <c r="K675" i="3" s="1"/>
  <c r="I676" i="3"/>
  <c r="K676" i="3" s="1"/>
  <c r="J676" i="3"/>
  <c r="J677" i="3"/>
  <c r="I678" i="3"/>
  <c r="K678" i="3" s="1"/>
  <c r="J678" i="3"/>
  <c r="I679" i="3"/>
  <c r="K679" i="3" s="1"/>
  <c r="J679" i="3"/>
  <c r="J680" i="3"/>
  <c r="I681" i="3"/>
  <c r="K681" i="3" s="1"/>
  <c r="J681" i="3"/>
  <c r="I682" i="3"/>
  <c r="K682" i="3" s="1"/>
  <c r="J682" i="3"/>
  <c r="L691" i="3"/>
  <c r="M691" i="3"/>
  <c r="N691" i="3"/>
  <c r="Q691" i="3"/>
  <c r="T691" i="3" s="1"/>
  <c r="R691" i="3"/>
  <c r="S691" i="3"/>
  <c r="L692" i="3"/>
  <c r="M692" i="3"/>
  <c r="P692" i="3" s="1"/>
  <c r="N692" i="3"/>
  <c r="O692" i="3"/>
  <c r="L693" i="3"/>
  <c r="O693" i="3" s="1"/>
  <c r="M693" i="3"/>
  <c r="N693" i="3"/>
  <c r="P693" i="3"/>
  <c r="O694" i="3"/>
  <c r="P694" i="3"/>
  <c r="T694" i="3"/>
  <c r="U694" i="3"/>
  <c r="O695" i="3"/>
  <c r="P695" i="3"/>
  <c r="Q695" i="3"/>
  <c r="R695" i="3"/>
  <c r="S695" i="3"/>
  <c r="S692" i="3" s="1"/>
  <c r="L696" i="3"/>
  <c r="M696" i="3"/>
  <c r="P696" i="3" s="1"/>
  <c r="N696" i="3"/>
  <c r="O696" i="3"/>
  <c r="Q696" i="3"/>
  <c r="R696" i="3"/>
  <c r="U696" i="3" s="1"/>
  <c r="S696" i="3"/>
  <c r="T696" i="3"/>
  <c r="O697" i="3"/>
  <c r="P697" i="3"/>
  <c r="T697" i="3"/>
  <c r="U697" i="3"/>
  <c r="O698" i="3"/>
  <c r="P698" i="3"/>
  <c r="T698" i="3"/>
  <c r="U698" i="3"/>
  <c r="I700" i="3"/>
  <c r="K700" i="3" s="1"/>
  <c r="K702" i="3"/>
  <c r="I703" i="3"/>
  <c r="K703" i="3" s="1"/>
  <c r="J703" i="3"/>
  <c r="J704" i="3"/>
  <c r="K704" i="3"/>
  <c r="I705" i="3"/>
  <c r="J705" i="3"/>
  <c r="J706" i="3"/>
  <c r="K706" i="3"/>
  <c r="I707" i="3"/>
  <c r="I689" i="3" s="1"/>
  <c r="K689" i="3" s="1"/>
  <c r="J707" i="3"/>
  <c r="J689" i="3" s="1"/>
  <c r="J708" i="3"/>
  <c r="K708" i="3"/>
  <c r="I709" i="3"/>
  <c r="J709" i="3"/>
  <c r="J710" i="3"/>
  <c r="K710" i="3"/>
  <c r="J712" i="3"/>
  <c r="K712" i="3"/>
  <c r="L715" i="3"/>
  <c r="M715" i="3"/>
  <c r="N715" i="3"/>
  <c r="N714" i="3" s="1"/>
  <c r="P715" i="3"/>
  <c r="Q715" i="3"/>
  <c r="R715" i="3"/>
  <c r="S715" i="3"/>
  <c r="L716" i="3"/>
  <c r="O716" i="3" s="1"/>
  <c r="M716" i="3"/>
  <c r="P716" i="3" s="1"/>
  <c r="N716" i="3"/>
  <c r="Q716" i="3"/>
  <c r="R716" i="3"/>
  <c r="U716" i="3" s="1"/>
  <c r="S716" i="3"/>
  <c r="T716" i="3"/>
  <c r="L717" i="3"/>
  <c r="O717" i="3" s="1"/>
  <c r="M717" i="3"/>
  <c r="N717" i="3"/>
  <c r="P717" i="3"/>
  <c r="Q717" i="3"/>
  <c r="T717" i="3" s="1"/>
  <c r="R717" i="3"/>
  <c r="U717" i="3" s="1"/>
  <c r="S717" i="3"/>
  <c r="O718" i="3"/>
  <c r="P718" i="3"/>
  <c r="T718" i="3"/>
  <c r="U718" i="3"/>
  <c r="O719" i="3"/>
  <c r="P719" i="3"/>
  <c r="T719" i="3"/>
  <c r="U719" i="3"/>
  <c r="L720" i="3"/>
  <c r="O720" i="3" s="1"/>
  <c r="M720" i="3"/>
  <c r="N720" i="3"/>
  <c r="P720" i="3"/>
  <c r="Q720" i="3"/>
  <c r="R720" i="3"/>
  <c r="U720" i="3" s="1"/>
  <c r="S720" i="3"/>
  <c r="T720" i="3"/>
  <c r="O721" i="3"/>
  <c r="P721" i="3"/>
  <c r="T721" i="3"/>
  <c r="U721" i="3"/>
  <c r="O722" i="3"/>
  <c r="P722" i="3"/>
  <c r="T722" i="3"/>
  <c r="U722" i="3"/>
  <c r="I726" i="3"/>
  <c r="K726" i="3" s="1"/>
  <c r="J726" i="3"/>
  <c r="I727" i="3"/>
  <c r="J727" i="3"/>
  <c r="L729" i="3"/>
  <c r="M729" i="3"/>
  <c r="N729" i="3"/>
  <c r="N728" i="3" s="1"/>
  <c r="P729" i="3"/>
  <c r="Q729" i="3"/>
  <c r="R729" i="3"/>
  <c r="S729" i="3"/>
  <c r="L730" i="3"/>
  <c r="O730" i="3" s="1"/>
  <c r="M730" i="3"/>
  <c r="P730" i="3" s="1"/>
  <c r="N730" i="3"/>
  <c r="L731" i="3"/>
  <c r="O731" i="3" s="1"/>
  <c r="M731" i="3"/>
  <c r="N731" i="3"/>
  <c r="P731" i="3"/>
  <c r="O732" i="3"/>
  <c r="P732" i="3"/>
  <c r="T732" i="3"/>
  <c r="U732" i="3"/>
  <c r="O733" i="3"/>
  <c r="P733" i="3"/>
  <c r="Q733" i="3"/>
  <c r="Q731" i="3" s="1"/>
  <c r="R733" i="3"/>
  <c r="S733" i="3"/>
  <c r="S731" i="3" s="1"/>
  <c r="L734" i="3"/>
  <c r="O734" i="3" s="1"/>
  <c r="M734" i="3"/>
  <c r="P734" i="3" s="1"/>
  <c r="N734" i="3"/>
  <c r="Q734" i="3"/>
  <c r="T734" i="3" s="1"/>
  <c r="R734" i="3"/>
  <c r="U734" i="3" s="1"/>
  <c r="S734" i="3"/>
  <c r="O735" i="3"/>
  <c r="P735" i="3"/>
  <c r="T735" i="3"/>
  <c r="U735" i="3"/>
  <c r="O736" i="3"/>
  <c r="P736" i="3"/>
  <c r="T736" i="3"/>
  <c r="U736" i="3"/>
  <c r="I740" i="3"/>
  <c r="K740" i="3" s="1"/>
  <c r="I742" i="3"/>
  <c r="K742" i="3" s="1"/>
  <c r="I744" i="3"/>
  <c r="K744" i="3" s="1"/>
  <c r="I746" i="3"/>
  <c r="K746" i="3" s="1"/>
  <c r="I749" i="3"/>
  <c r="K749" i="3" s="1"/>
  <c r="I752" i="3"/>
  <c r="K752" i="3" s="1"/>
  <c r="I755" i="3"/>
  <c r="K755" i="3" s="1"/>
  <c r="J758" i="3"/>
  <c r="J759" i="3"/>
  <c r="L761" i="3"/>
  <c r="M761" i="3"/>
  <c r="N761" i="3"/>
  <c r="Q761" i="3"/>
  <c r="R761" i="3"/>
  <c r="S761" i="3"/>
  <c r="L762" i="3"/>
  <c r="O762" i="3" s="1"/>
  <c r="M762" i="3"/>
  <c r="P762" i="3" s="1"/>
  <c r="N762" i="3"/>
  <c r="L763" i="3"/>
  <c r="M763" i="3"/>
  <c r="P763" i="3" s="1"/>
  <c r="N763" i="3"/>
  <c r="O763" i="3"/>
  <c r="O764" i="3"/>
  <c r="P764" i="3"/>
  <c r="T764" i="3"/>
  <c r="U764" i="3"/>
  <c r="O765" i="3"/>
  <c r="P765" i="3"/>
  <c r="Q765" i="3"/>
  <c r="R765" i="3"/>
  <c r="R763" i="3" s="1"/>
  <c r="S765" i="3"/>
  <c r="S763" i="3" s="1"/>
  <c r="L766" i="3"/>
  <c r="O766" i="3" s="1"/>
  <c r="M766" i="3"/>
  <c r="P766" i="3" s="1"/>
  <c r="N766" i="3"/>
  <c r="Q766" i="3"/>
  <c r="R766" i="3"/>
  <c r="U766" i="3" s="1"/>
  <c r="S766" i="3"/>
  <c r="T766" i="3"/>
  <c r="O767" i="3"/>
  <c r="P767" i="3"/>
  <c r="T767" i="3"/>
  <c r="U767" i="3"/>
  <c r="O768" i="3"/>
  <c r="P768" i="3"/>
  <c r="T768" i="3"/>
  <c r="U768" i="3"/>
  <c r="I770" i="3"/>
  <c r="K770" i="3" s="1"/>
  <c r="I772" i="3"/>
  <c r="I758" i="3" s="1"/>
  <c r="K758" i="3" s="1"/>
  <c r="I774" i="3"/>
  <c r="I775" i="3"/>
  <c r="I776" i="3"/>
  <c r="H777" i="3"/>
  <c r="I778" i="3"/>
  <c r="J778" i="3"/>
  <c r="I779" i="3"/>
  <c r="J779" i="3"/>
  <c r="I780" i="3"/>
  <c r="J780" i="3"/>
  <c r="I781" i="3"/>
  <c r="J781" i="3"/>
  <c r="I782" i="3"/>
  <c r="K782" i="3" s="1"/>
  <c r="J782" i="3"/>
  <c r="I783" i="3"/>
  <c r="K783" i="3" s="1"/>
  <c r="J783" i="3"/>
  <c r="I784" i="3"/>
  <c r="J784" i="3"/>
  <c r="I785" i="3"/>
  <c r="J785" i="3"/>
  <c r="A788" i="3"/>
  <c r="A789" i="3"/>
  <c r="L22" i="2"/>
  <c r="O22" i="2" s="1"/>
  <c r="M22" i="2"/>
  <c r="N22" i="2"/>
  <c r="Q22" i="2"/>
  <c r="R22" i="2"/>
  <c r="S22" i="2"/>
  <c r="U22" i="2"/>
  <c r="L25" i="2"/>
  <c r="O25" i="2" s="1"/>
  <c r="M25" i="2"/>
  <c r="N25" i="2"/>
  <c r="Q25" i="2"/>
  <c r="T25" i="2" s="1"/>
  <c r="R25" i="2"/>
  <c r="U25" i="2" s="1"/>
  <c r="S25" i="2"/>
  <c r="L45" i="2"/>
  <c r="O45" i="2" s="1"/>
  <c r="M45" i="2"/>
  <c r="P45" i="2" s="1"/>
  <c r="N45" i="2"/>
  <c r="Q45" i="2"/>
  <c r="R45" i="2"/>
  <c r="U45" i="2" s="1"/>
  <c r="S45" i="2"/>
  <c r="T45" i="2"/>
  <c r="Q46" i="2"/>
  <c r="R46" i="2"/>
  <c r="U46" i="2" s="1"/>
  <c r="S46" i="2"/>
  <c r="T46" i="2"/>
  <c r="Q47" i="2"/>
  <c r="T47" i="2" s="1"/>
  <c r="R47" i="2"/>
  <c r="U47" i="2" s="1"/>
  <c r="S47" i="2"/>
  <c r="O48" i="2"/>
  <c r="P48" i="2"/>
  <c r="T48" i="2"/>
  <c r="U48" i="2"/>
  <c r="L49" i="2"/>
  <c r="M49" i="2"/>
  <c r="M47" i="2" s="1"/>
  <c r="N49" i="2"/>
  <c r="T49" i="2"/>
  <c r="U49" i="2"/>
  <c r="Q50" i="2"/>
  <c r="T50" i="2" s="1"/>
  <c r="R50" i="2"/>
  <c r="S50" i="2"/>
  <c r="U50" i="2"/>
  <c r="O51" i="2"/>
  <c r="P51" i="2"/>
  <c r="T51" i="2"/>
  <c r="U51" i="2"/>
  <c r="L52" i="2"/>
  <c r="L50" i="2" s="1"/>
  <c r="O50" i="2" s="1"/>
  <c r="M52" i="2"/>
  <c r="P52" i="2" s="1"/>
  <c r="N52" i="2"/>
  <c r="T52" i="2"/>
  <c r="U52" i="2"/>
  <c r="L60" i="2"/>
  <c r="O60" i="2" s="1"/>
  <c r="M60" i="2"/>
  <c r="P60" i="2" s="1"/>
  <c r="N60" i="2"/>
  <c r="Q60" i="2"/>
  <c r="R60" i="2"/>
  <c r="U60" i="2" s="1"/>
  <c r="S60" i="2"/>
  <c r="Q61" i="2"/>
  <c r="R61" i="2"/>
  <c r="U61" i="2" s="1"/>
  <c r="S61" i="2"/>
  <c r="T61" i="2"/>
  <c r="Q62" i="2"/>
  <c r="R62" i="2"/>
  <c r="U62" i="2" s="1"/>
  <c r="S62" i="2"/>
  <c r="T62" i="2"/>
  <c r="O63" i="2"/>
  <c r="P63" i="2"/>
  <c r="T63" i="2"/>
  <c r="U63" i="2"/>
  <c r="L64" i="2"/>
  <c r="L62" i="2" s="1"/>
  <c r="M64" i="2"/>
  <c r="N64" i="2"/>
  <c r="T64" i="2"/>
  <c r="U64" i="2"/>
  <c r="Q65" i="2"/>
  <c r="T65" i="2" s="1"/>
  <c r="R65" i="2"/>
  <c r="S65" i="2"/>
  <c r="U65" i="2"/>
  <c r="O66" i="2"/>
  <c r="P66" i="2"/>
  <c r="T66" i="2"/>
  <c r="U66" i="2"/>
  <c r="L67" i="2"/>
  <c r="L65" i="2" s="1"/>
  <c r="M67" i="2"/>
  <c r="N67" i="2"/>
  <c r="T67" i="2"/>
  <c r="U67" i="2"/>
  <c r="L73" i="2"/>
  <c r="M73" i="2"/>
  <c r="N73" i="2"/>
  <c r="P73" i="2"/>
  <c r="Q73" i="2"/>
  <c r="R73" i="2"/>
  <c r="S73" i="2"/>
  <c r="O76" i="2"/>
  <c r="P76" i="2"/>
  <c r="T76" i="2"/>
  <c r="U76" i="2"/>
  <c r="L77" i="2"/>
  <c r="L75" i="2" s="1"/>
  <c r="O75" i="2" s="1"/>
  <c r="M77" i="2"/>
  <c r="N77" i="2"/>
  <c r="Q77" i="2"/>
  <c r="R77" i="2"/>
  <c r="R75" i="2" s="1"/>
  <c r="U75" i="2" s="1"/>
  <c r="S77" i="2"/>
  <c r="S75" i="2" s="1"/>
  <c r="O79" i="2"/>
  <c r="P79" i="2"/>
  <c r="T79" i="2"/>
  <c r="U79" i="2"/>
  <c r="L80" i="2"/>
  <c r="M80" i="2"/>
  <c r="N80" i="2"/>
  <c r="N78" i="2" s="1"/>
  <c r="Q80" i="2"/>
  <c r="T80" i="2" s="1"/>
  <c r="R80" i="2"/>
  <c r="R78" i="2" s="1"/>
  <c r="U78" i="2" s="1"/>
  <c r="S80" i="2"/>
  <c r="S78" i="2" s="1"/>
  <c r="J82" i="2"/>
  <c r="J70" i="2" s="1"/>
  <c r="J83" i="2"/>
  <c r="J71" i="2" s="1"/>
  <c r="I84" i="2"/>
  <c r="K84" i="2" s="1"/>
  <c r="I85" i="2"/>
  <c r="K85" i="2" s="1"/>
  <c r="I86" i="2"/>
  <c r="K86" i="2" s="1"/>
  <c r="I87" i="2"/>
  <c r="K87" i="2" s="1"/>
  <c r="I88" i="2"/>
  <c r="K88" i="2" s="1"/>
  <c r="I89" i="2"/>
  <c r="K89" i="2" s="1"/>
  <c r="I90" i="2"/>
  <c r="K90" i="2" s="1"/>
  <c r="J92" i="2"/>
  <c r="J93" i="2"/>
  <c r="L95" i="2"/>
  <c r="M95" i="2"/>
  <c r="P95" i="2" s="1"/>
  <c r="N95" i="2"/>
  <c r="O95" i="2"/>
  <c r="Q95" i="2"/>
  <c r="T95" i="2" s="1"/>
  <c r="R95" i="2"/>
  <c r="S95" i="2"/>
  <c r="U95" i="2"/>
  <c r="O98" i="2"/>
  <c r="P98" i="2"/>
  <c r="T98" i="2"/>
  <c r="U98" i="2"/>
  <c r="L99" i="2"/>
  <c r="M99" i="2"/>
  <c r="N99" i="2"/>
  <c r="N97" i="2" s="1"/>
  <c r="Q99" i="2"/>
  <c r="R99" i="2"/>
  <c r="R96" i="2" s="1"/>
  <c r="U96" i="2" s="1"/>
  <c r="S99" i="2"/>
  <c r="Q100" i="2"/>
  <c r="T100" i="2" s="1"/>
  <c r="R100" i="2"/>
  <c r="U100" i="2" s="1"/>
  <c r="S100" i="2"/>
  <c r="O101" i="2"/>
  <c r="P101" i="2"/>
  <c r="T101" i="2"/>
  <c r="U101" i="2"/>
  <c r="L102" i="2"/>
  <c r="M102" i="2"/>
  <c r="M100" i="2" s="1"/>
  <c r="P100" i="2" s="1"/>
  <c r="N102" i="2"/>
  <c r="N100" i="2" s="1"/>
  <c r="T102" i="2"/>
  <c r="U102" i="2"/>
  <c r="I108" i="2"/>
  <c r="I92" i="2" s="1"/>
  <c r="K92" i="2" s="1"/>
  <c r="I109" i="2"/>
  <c r="K109" i="2" s="1"/>
  <c r="I114" i="2"/>
  <c r="K114" i="2" s="1"/>
  <c r="J116" i="2"/>
  <c r="L118" i="2"/>
  <c r="O118" i="2" s="1"/>
  <c r="M118" i="2"/>
  <c r="N118" i="2"/>
  <c r="P118" i="2"/>
  <c r="Q118" i="2"/>
  <c r="R118" i="2"/>
  <c r="U118" i="2" s="1"/>
  <c r="S118" i="2"/>
  <c r="T118" i="2"/>
  <c r="O121" i="2"/>
  <c r="P121" i="2"/>
  <c r="T121" i="2"/>
  <c r="U121" i="2"/>
  <c r="L122" i="2"/>
  <c r="M122" i="2"/>
  <c r="P122" i="2" s="1"/>
  <c r="N122" i="2"/>
  <c r="N120" i="2" s="1"/>
  <c r="Q122" i="2"/>
  <c r="R122" i="2"/>
  <c r="S122" i="2"/>
  <c r="S120" i="2" s="1"/>
  <c r="O124" i="2"/>
  <c r="P124" i="2"/>
  <c r="T124" i="2"/>
  <c r="U124" i="2"/>
  <c r="L125" i="2"/>
  <c r="M125" i="2"/>
  <c r="N125" i="2"/>
  <c r="N123" i="2" s="1"/>
  <c r="Q125" i="2"/>
  <c r="Q123" i="2" s="1"/>
  <c r="T123" i="2" s="1"/>
  <c r="R125" i="2"/>
  <c r="S125" i="2"/>
  <c r="S123" i="2" s="1"/>
  <c r="I127" i="2"/>
  <c r="I128" i="2"/>
  <c r="K128" i="2" s="1"/>
  <c r="I129" i="2"/>
  <c r="K129" i="2" s="1"/>
  <c r="I130" i="2"/>
  <c r="K130" i="2" s="1"/>
  <c r="J136" i="2"/>
  <c r="J137" i="2"/>
  <c r="J138" i="2"/>
  <c r="L140" i="2"/>
  <c r="M140" i="2"/>
  <c r="P140" i="2" s="1"/>
  <c r="N140" i="2"/>
  <c r="Q140" i="2"/>
  <c r="T140" i="2" s="1"/>
  <c r="R140" i="2"/>
  <c r="S140" i="2"/>
  <c r="O143" i="2"/>
  <c r="P143" i="2"/>
  <c r="T143" i="2"/>
  <c r="U143" i="2"/>
  <c r="L144" i="2"/>
  <c r="M144" i="2"/>
  <c r="N144" i="2"/>
  <c r="N142" i="2" s="1"/>
  <c r="Q144" i="2"/>
  <c r="R144" i="2"/>
  <c r="S144" i="2"/>
  <c r="O146" i="2"/>
  <c r="P146" i="2"/>
  <c r="T146" i="2"/>
  <c r="U146" i="2"/>
  <c r="L147" i="2"/>
  <c r="M147" i="2"/>
  <c r="N147" i="2"/>
  <c r="N145" i="2" s="1"/>
  <c r="Q147" i="2"/>
  <c r="R147" i="2"/>
  <c r="S147" i="2"/>
  <c r="S145" i="2" s="1"/>
  <c r="I150" i="2"/>
  <c r="K150" i="2" s="1"/>
  <c r="I151" i="2"/>
  <c r="K151" i="2" s="1"/>
  <c r="I152" i="2"/>
  <c r="I137" i="2" s="1"/>
  <c r="K137" i="2" s="1"/>
  <c r="I153" i="2"/>
  <c r="K153" i="2" s="1"/>
  <c r="I154" i="2"/>
  <c r="I136" i="2" s="1"/>
  <c r="K136" i="2" s="1"/>
  <c r="J156" i="2"/>
  <c r="L158" i="2"/>
  <c r="M158" i="2"/>
  <c r="P158" i="2" s="1"/>
  <c r="N158" i="2"/>
  <c r="Q158" i="2"/>
  <c r="R158" i="2"/>
  <c r="S158" i="2"/>
  <c r="O161" i="2"/>
  <c r="P161" i="2"/>
  <c r="T161" i="2"/>
  <c r="U161" i="2"/>
  <c r="L162" i="2"/>
  <c r="M162" i="2"/>
  <c r="N162" i="2"/>
  <c r="Q162" i="2"/>
  <c r="R162" i="2"/>
  <c r="R159" i="2" s="1"/>
  <c r="U159" i="2" s="1"/>
  <c r="S162" i="2"/>
  <c r="S159" i="2" s="1"/>
  <c r="S157" i="2" s="1"/>
  <c r="Q163" i="2"/>
  <c r="T163" i="2" s="1"/>
  <c r="R163" i="2"/>
  <c r="S163" i="2"/>
  <c r="U163" i="2"/>
  <c r="O164" i="2"/>
  <c r="P164" i="2"/>
  <c r="T164" i="2"/>
  <c r="U164" i="2"/>
  <c r="L165" i="2"/>
  <c r="M165" i="2"/>
  <c r="N165" i="2"/>
  <c r="N163" i="2" s="1"/>
  <c r="T165" i="2"/>
  <c r="U165" i="2"/>
  <c r="I167" i="2"/>
  <c r="K167" i="2" s="1"/>
  <c r="I168" i="2"/>
  <c r="K168" i="2" s="1"/>
  <c r="I169" i="2"/>
  <c r="I156" i="2" s="1"/>
  <c r="K156" i="2" s="1"/>
  <c r="J172" i="2"/>
  <c r="L174" i="2"/>
  <c r="O174" i="2" s="1"/>
  <c r="M174" i="2"/>
  <c r="N174" i="2"/>
  <c r="P174" i="2"/>
  <c r="Q174" i="2"/>
  <c r="R174" i="2"/>
  <c r="S174" i="2"/>
  <c r="U174" i="2"/>
  <c r="O177" i="2"/>
  <c r="P177" i="2"/>
  <c r="T177" i="2"/>
  <c r="U177" i="2"/>
  <c r="L178" i="2"/>
  <c r="M178" i="2"/>
  <c r="M176" i="2" s="1"/>
  <c r="N178" i="2"/>
  <c r="N176" i="2" s="1"/>
  <c r="Q178" i="2"/>
  <c r="R178" i="2"/>
  <c r="S178" i="2"/>
  <c r="S175" i="2" s="1"/>
  <c r="S173" i="2" s="1"/>
  <c r="Q179" i="2"/>
  <c r="R179" i="2"/>
  <c r="U179" i="2" s="1"/>
  <c r="S179" i="2"/>
  <c r="T179" i="2"/>
  <c r="O180" i="2"/>
  <c r="P180" i="2"/>
  <c r="T180" i="2"/>
  <c r="U180" i="2"/>
  <c r="L181" i="2"/>
  <c r="M181" i="2"/>
  <c r="N181" i="2"/>
  <c r="N179" i="2" s="1"/>
  <c r="T181" i="2"/>
  <c r="U181" i="2"/>
  <c r="I183" i="2"/>
  <c r="I172" i="2" s="1"/>
  <c r="K184" i="2"/>
  <c r="L187" i="2"/>
  <c r="O187" i="2" s="1"/>
  <c r="M187" i="2"/>
  <c r="N187" i="2"/>
  <c r="Q187" i="2"/>
  <c r="T187" i="2" s="1"/>
  <c r="R187" i="2"/>
  <c r="S187" i="2"/>
  <c r="U187" i="2"/>
  <c r="O190" i="2"/>
  <c r="P190" i="2"/>
  <c r="T190" i="2"/>
  <c r="U190" i="2"/>
  <c r="L191" i="2"/>
  <c r="M191" i="2"/>
  <c r="N191" i="2"/>
  <c r="N189" i="2" s="1"/>
  <c r="Q191" i="2"/>
  <c r="R191" i="2"/>
  <c r="S191" i="2"/>
  <c r="O193" i="2"/>
  <c r="P193" i="2"/>
  <c r="T193" i="2"/>
  <c r="U193" i="2"/>
  <c r="L194" i="2"/>
  <c r="M194" i="2"/>
  <c r="P194" i="2" s="1"/>
  <c r="N194" i="2"/>
  <c r="N192" i="2" s="1"/>
  <c r="Q194" i="2"/>
  <c r="T194" i="2" s="1"/>
  <c r="R194" i="2"/>
  <c r="S194" i="2"/>
  <c r="S192" i="2" s="1"/>
  <c r="J195" i="2"/>
  <c r="L196" i="2"/>
  <c r="O196" i="2" s="1"/>
  <c r="P196" i="2"/>
  <c r="I198" i="2"/>
  <c r="I195" i="2" s="1"/>
  <c r="K195" i="2" s="1"/>
  <c r="J199" i="2"/>
  <c r="J202" i="2"/>
  <c r="N203" i="2"/>
  <c r="P203" i="2"/>
  <c r="S203" i="2"/>
  <c r="U203" i="2"/>
  <c r="L204" i="2"/>
  <c r="L205" i="2"/>
  <c r="L206" i="2"/>
  <c r="Q206" i="2"/>
  <c r="Q203" i="2" s="1"/>
  <c r="L207" i="2"/>
  <c r="I209" i="2"/>
  <c r="I211" i="2"/>
  <c r="K211" i="2" s="1"/>
  <c r="I212" i="2"/>
  <c r="K212" i="2" s="1"/>
  <c r="J213" i="2"/>
  <c r="N214" i="2"/>
  <c r="P214" i="2"/>
  <c r="S214" i="2"/>
  <c r="U214" i="2"/>
  <c r="L215" i="2"/>
  <c r="L216" i="2"/>
  <c r="L217" i="2"/>
  <c r="Q217" i="2"/>
  <c r="Q214" i="2" s="1"/>
  <c r="T214" i="2" s="1"/>
  <c r="I219" i="2"/>
  <c r="K219" i="2" s="1"/>
  <c r="I220" i="2"/>
  <c r="K220" i="2" s="1"/>
  <c r="J221" i="2"/>
  <c r="N222" i="2"/>
  <c r="P222" i="2"/>
  <c r="L223" i="2"/>
  <c r="L224" i="2"/>
  <c r="L225" i="2"/>
  <c r="I228" i="2"/>
  <c r="K228" i="2" s="1"/>
  <c r="I229" i="2"/>
  <c r="I221" i="2" s="1"/>
  <c r="K221" i="2" s="1"/>
  <c r="I230" i="2"/>
  <c r="K230" i="2" s="1"/>
  <c r="N233" i="2"/>
  <c r="N234" i="2"/>
  <c r="N235" i="2"/>
  <c r="N236" i="2"/>
  <c r="J238" i="2"/>
  <c r="I240" i="2"/>
  <c r="J240" i="2"/>
  <c r="K240" i="2"/>
  <c r="I241" i="2"/>
  <c r="K241" i="2" s="1"/>
  <c r="J241" i="2"/>
  <c r="J242" i="2"/>
  <c r="N243" i="2"/>
  <c r="P243" i="2"/>
  <c r="L244" i="2"/>
  <c r="L245" i="2"/>
  <c r="L246" i="2"/>
  <c r="L247" i="2"/>
  <c r="I249" i="2"/>
  <c r="K249" i="2" s="1"/>
  <c r="K251" i="2"/>
  <c r="K252" i="2"/>
  <c r="J253" i="2"/>
  <c r="J231" i="2" s="1"/>
  <c r="J185" i="2" s="1"/>
  <c r="N254" i="2"/>
  <c r="N232" i="2" s="1"/>
  <c r="P254" i="2"/>
  <c r="L255" i="2"/>
  <c r="L256" i="2"/>
  <c r="L257" i="2"/>
  <c r="L258" i="2"/>
  <c r="I260" i="2"/>
  <c r="K262" i="2"/>
  <c r="K263" i="2"/>
  <c r="J265" i="2"/>
  <c r="L267" i="2"/>
  <c r="M267" i="2"/>
  <c r="N267" i="2"/>
  <c r="Q267" i="2"/>
  <c r="R267" i="2"/>
  <c r="U267" i="2" s="1"/>
  <c r="S267" i="2"/>
  <c r="T267" i="2"/>
  <c r="O270" i="2"/>
  <c r="P270" i="2"/>
  <c r="T270" i="2"/>
  <c r="U270" i="2"/>
  <c r="L271" i="2"/>
  <c r="L269" i="2" s="1"/>
  <c r="M271" i="2"/>
  <c r="M269" i="2" s="1"/>
  <c r="N271" i="2"/>
  <c r="Q271" i="2"/>
  <c r="R271" i="2"/>
  <c r="R268" i="2" s="1"/>
  <c r="S271" i="2"/>
  <c r="S269" i="2" s="1"/>
  <c r="Q272" i="2"/>
  <c r="T272" i="2" s="1"/>
  <c r="R272" i="2"/>
  <c r="U272" i="2" s="1"/>
  <c r="S272" i="2"/>
  <c r="O273" i="2"/>
  <c r="P273" i="2"/>
  <c r="T273" i="2"/>
  <c r="U273" i="2"/>
  <c r="L274" i="2"/>
  <c r="O274" i="2" s="1"/>
  <c r="M274" i="2"/>
  <c r="N274" i="2"/>
  <c r="N272" i="2" s="1"/>
  <c r="T274" i="2"/>
  <c r="U274" i="2"/>
  <c r="I276" i="2"/>
  <c r="J281" i="2"/>
  <c r="R282" i="2"/>
  <c r="U282" i="2" s="1"/>
  <c r="L283" i="2"/>
  <c r="O283" i="2" s="1"/>
  <c r="M283" i="2"/>
  <c r="P283" i="2" s="1"/>
  <c r="N283" i="2"/>
  <c r="Q283" i="2"/>
  <c r="R283" i="2"/>
  <c r="S283" i="2"/>
  <c r="S282" i="2" s="1"/>
  <c r="U283" i="2"/>
  <c r="Q284" i="2"/>
  <c r="T284" i="2" s="1"/>
  <c r="R284" i="2"/>
  <c r="S284" i="2"/>
  <c r="U284" i="2"/>
  <c r="Q285" i="2"/>
  <c r="T285" i="2" s="1"/>
  <c r="R285" i="2"/>
  <c r="U285" i="2" s="1"/>
  <c r="S285" i="2"/>
  <c r="O286" i="2"/>
  <c r="P286" i="2"/>
  <c r="T286" i="2"/>
  <c r="U286" i="2"/>
  <c r="L287" i="2"/>
  <c r="L285" i="2" s="1"/>
  <c r="O285" i="2" s="1"/>
  <c r="M287" i="2"/>
  <c r="M285" i="2" s="1"/>
  <c r="P285" i="2" s="1"/>
  <c r="N287" i="2"/>
  <c r="N285" i="2" s="1"/>
  <c r="T287" i="2"/>
  <c r="U287" i="2"/>
  <c r="Q288" i="2"/>
  <c r="T288" i="2" s="1"/>
  <c r="R288" i="2"/>
  <c r="S288" i="2"/>
  <c r="U288" i="2"/>
  <c r="O289" i="2"/>
  <c r="P289" i="2"/>
  <c r="T289" i="2"/>
  <c r="U289" i="2"/>
  <c r="L290" i="2"/>
  <c r="M290" i="2"/>
  <c r="N290" i="2"/>
  <c r="N288" i="2" s="1"/>
  <c r="T290" i="2"/>
  <c r="U290" i="2"/>
  <c r="I292" i="2"/>
  <c r="I281" i="2" s="1"/>
  <c r="K281" i="2" s="1"/>
  <c r="I293" i="2"/>
  <c r="I280" i="2" s="1"/>
  <c r="K280" i="2" s="1"/>
  <c r="J293" i="2"/>
  <c r="J280" i="2" s="1"/>
  <c r="I295" i="2"/>
  <c r="K295" i="2" s="1"/>
  <c r="I296" i="2"/>
  <c r="K296" i="2" s="1"/>
  <c r="J302" i="2"/>
  <c r="L304" i="2"/>
  <c r="M304" i="2"/>
  <c r="N304" i="2"/>
  <c r="O304" i="2"/>
  <c r="Q304" i="2"/>
  <c r="R304" i="2"/>
  <c r="U304" i="2" s="1"/>
  <c r="S304" i="2"/>
  <c r="T304" i="2"/>
  <c r="O307" i="2"/>
  <c r="P307" i="2"/>
  <c r="T307" i="2"/>
  <c r="U307" i="2"/>
  <c r="L308" i="2"/>
  <c r="O308" i="2" s="1"/>
  <c r="M308" i="2"/>
  <c r="M306" i="2" s="1"/>
  <c r="P306" i="2" s="1"/>
  <c r="N308" i="2"/>
  <c r="N306" i="2" s="1"/>
  <c r="Q308" i="2"/>
  <c r="T308" i="2" s="1"/>
  <c r="R308" i="2"/>
  <c r="R305" i="2" s="1"/>
  <c r="U305" i="2" s="1"/>
  <c r="S308" i="2"/>
  <c r="S305" i="2" s="1"/>
  <c r="Q309" i="2"/>
  <c r="T309" i="2" s="1"/>
  <c r="R309" i="2"/>
  <c r="U309" i="2" s="1"/>
  <c r="S309" i="2"/>
  <c r="O310" i="2"/>
  <c r="P310" i="2"/>
  <c r="T310" i="2"/>
  <c r="U310" i="2"/>
  <c r="L311" i="2"/>
  <c r="O311" i="2" s="1"/>
  <c r="M311" i="2"/>
  <c r="M309" i="2" s="1"/>
  <c r="P309" i="2" s="1"/>
  <c r="N311" i="2"/>
  <c r="N309" i="2" s="1"/>
  <c r="T311" i="2"/>
  <c r="U311" i="2"/>
  <c r="I314" i="2"/>
  <c r="I302" i="2" s="1"/>
  <c r="K302" i="2" s="1"/>
  <c r="J319" i="2"/>
  <c r="L321" i="2"/>
  <c r="M321" i="2"/>
  <c r="N321" i="2"/>
  <c r="Q321" i="2"/>
  <c r="R321" i="2"/>
  <c r="S321" i="2"/>
  <c r="S320" i="2" s="1"/>
  <c r="Q322" i="2"/>
  <c r="R322" i="2"/>
  <c r="U322" i="2" s="1"/>
  <c r="S322" i="2"/>
  <c r="T322" i="2"/>
  <c r="Q323" i="2"/>
  <c r="T323" i="2" s="1"/>
  <c r="R323" i="2"/>
  <c r="S323" i="2"/>
  <c r="U323" i="2"/>
  <c r="O324" i="2"/>
  <c r="P324" i="2"/>
  <c r="T324" i="2"/>
  <c r="U324" i="2"/>
  <c r="L325" i="2"/>
  <c r="M325" i="2"/>
  <c r="N325" i="2"/>
  <c r="N323" i="2" s="1"/>
  <c r="T325" i="2"/>
  <c r="U325" i="2"/>
  <c r="Q326" i="2"/>
  <c r="T326" i="2" s="1"/>
  <c r="R326" i="2"/>
  <c r="U326" i="2" s="1"/>
  <c r="S326" i="2"/>
  <c r="O327" i="2"/>
  <c r="P327" i="2"/>
  <c r="T327" i="2"/>
  <c r="U327" i="2"/>
  <c r="L328" i="2"/>
  <c r="M328" i="2"/>
  <c r="P328" i="2" s="1"/>
  <c r="N328" i="2"/>
  <c r="N326" i="2" s="1"/>
  <c r="T328" i="2"/>
  <c r="U328" i="2"/>
  <c r="I330" i="2"/>
  <c r="L334" i="2"/>
  <c r="O334" i="2" s="1"/>
  <c r="M334" i="2"/>
  <c r="N334" i="2"/>
  <c r="P334" i="2"/>
  <c r="Q334" i="2"/>
  <c r="T334" i="2" s="1"/>
  <c r="R334" i="2"/>
  <c r="U334" i="2" s="1"/>
  <c r="S334" i="2"/>
  <c r="Q335" i="2"/>
  <c r="R335" i="2"/>
  <c r="U335" i="2" s="1"/>
  <c r="S335" i="2"/>
  <c r="T335" i="2"/>
  <c r="Q336" i="2"/>
  <c r="R336" i="2"/>
  <c r="U336" i="2" s="1"/>
  <c r="S336" i="2"/>
  <c r="T336" i="2"/>
  <c r="O337" i="2"/>
  <c r="P337" i="2"/>
  <c r="T337" i="2"/>
  <c r="U337" i="2"/>
  <c r="L338" i="2"/>
  <c r="M338" i="2"/>
  <c r="N338" i="2"/>
  <c r="N336" i="2" s="1"/>
  <c r="T338" i="2"/>
  <c r="U338" i="2"/>
  <c r="Q339" i="2"/>
  <c r="T339" i="2" s="1"/>
  <c r="R339" i="2"/>
  <c r="U339" i="2" s="1"/>
  <c r="S339" i="2"/>
  <c r="O340" i="2"/>
  <c r="P340" i="2"/>
  <c r="T340" i="2"/>
  <c r="U340" i="2"/>
  <c r="L341" i="2"/>
  <c r="O341" i="2" s="1"/>
  <c r="M341" i="2"/>
  <c r="N341" i="2"/>
  <c r="N339" i="2" s="1"/>
  <c r="T341" i="2"/>
  <c r="U341" i="2"/>
  <c r="I344" i="2"/>
  <c r="J344" i="2"/>
  <c r="I346" i="2"/>
  <c r="J346" i="2"/>
  <c r="J347" i="2"/>
  <c r="J348" i="2"/>
  <c r="J349" i="2"/>
  <c r="D350" i="2"/>
  <c r="J352" i="2"/>
  <c r="J353" i="2"/>
  <c r="D354" i="2"/>
  <c r="L357" i="2"/>
  <c r="M357" i="2"/>
  <c r="P357" i="2" s="1"/>
  <c r="N357" i="2"/>
  <c r="O357" i="2"/>
  <c r="Q357" i="2"/>
  <c r="R357" i="2"/>
  <c r="R356" i="2" s="1"/>
  <c r="U356" i="2" s="1"/>
  <c r="S357" i="2"/>
  <c r="T357" i="2"/>
  <c r="Q358" i="2"/>
  <c r="T358" i="2" s="1"/>
  <c r="R358" i="2"/>
  <c r="S358" i="2"/>
  <c r="U358" i="2"/>
  <c r="Q359" i="2"/>
  <c r="T359" i="2" s="1"/>
  <c r="R359" i="2"/>
  <c r="U359" i="2" s="1"/>
  <c r="S359" i="2"/>
  <c r="O360" i="2"/>
  <c r="P360" i="2"/>
  <c r="T360" i="2"/>
  <c r="U360" i="2"/>
  <c r="L361" i="2"/>
  <c r="L359" i="2" s="1"/>
  <c r="M361" i="2"/>
  <c r="N361" i="2"/>
  <c r="N359" i="2" s="1"/>
  <c r="T361" i="2"/>
  <c r="U361" i="2"/>
  <c r="Q362" i="2"/>
  <c r="T362" i="2" s="1"/>
  <c r="R362" i="2"/>
  <c r="S362" i="2"/>
  <c r="U362" i="2"/>
  <c r="O363" i="2"/>
  <c r="P363" i="2"/>
  <c r="T363" i="2"/>
  <c r="U363" i="2"/>
  <c r="L364" i="2"/>
  <c r="M364" i="2"/>
  <c r="N364" i="2"/>
  <c r="N362" i="2" s="1"/>
  <c r="T364" i="2"/>
  <c r="U364" i="2"/>
  <c r="J367" i="2"/>
  <c r="K367" i="2"/>
  <c r="I368" i="2"/>
  <c r="J368" i="2"/>
  <c r="I369" i="2"/>
  <c r="J369" i="2"/>
  <c r="J370" i="2"/>
  <c r="K370" i="2"/>
  <c r="I371" i="2"/>
  <c r="J371" i="2"/>
  <c r="J365" i="2" s="1"/>
  <c r="J372" i="2"/>
  <c r="K372" i="2"/>
  <c r="D373" i="2"/>
  <c r="L376" i="2"/>
  <c r="M376" i="2"/>
  <c r="P376" i="2" s="1"/>
  <c r="N376" i="2"/>
  <c r="O376" i="2"/>
  <c r="Q376" i="2"/>
  <c r="R376" i="2"/>
  <c r="S376" i="2"/>
  <c r="U376" i="2"/>
  <c r="O379" i="2"/>
  <c r="P379" i="2"/>
  <c r="T379" i="2"/>
  <c r="U379" i="2"/>
  <c r="L380" i="2"/>
  <c r="M380" i="2"/>
  <c r="M378" i="2" s="1"/>
  <c r="N380" i="2"/>
  <c r="Q380" i="2"/>
  <c r="Q377" i="2" s="1"/>
  <c r="R380" i="2"/>
  <c r="R377" i="2" s="1"/>
  <c r="S380" i="2"/>
  <c r="S378" i="2" s="1"/>
  <c r="Q381" i="2"/>
  <c r="T381" i="2" s="1"/>
  <c r="R381" i="2"/>
  <c r="S381" i="2"/>
  <c r="U381" i="2"/>
  <c r="O382" i="2"/>
  <c r="P382" i="2"/>
  <c r="T382" i="2"/>
  <c r="U382" i="2"/>
  <c r="L383" i="2"/>
  <c r="M383" i="2"/>
  <c r="N383" i="2"/>
  <c r="N381" i="2" s="1"/>
  <c r="T383" i="2"/>
  <c r="U383" i="2"/>
  <c r="J385" i="2"/>
  <c r="K385" i="2"/>
  <c r="I386" i="2"/>
  <c r="J386" i="2"/>
  <c r="J387" i="2"/>
  <c r="K387" i="2"/>
  <c r="I388" i="2"/>
  <c r="K388" i="2" s="1"/>
  <c r="J388" i="2"/>
  <c r="I391" i="2"/>
  <c r="K391" i="2" s="1"/>
  <c r="J391" i="2"/>
  <c r="L393" i="2"/>
  <c r="M393" i="2"/>
  <c r="N393" i="2"/>
  <c r="Q393" i="2"/>
  <c r="T393" i="2" s="1"/>
  <c r="R393" i="2"/>
  <c r="S393" i="2"/>
  <c r="L394" i="2"/>
  <c r="M394" i="2"/>
  <c r="P394" i="2" s="1"/>
  <c r="N394" i="2"/>
  <c r="O394" i="2"/>
  <c r="L395" i="2"/>
  <c r="O395" i="2" s="1"/>
  <c r="M395" i="2"/>
  <c r="N395" i="2"/>
  <c r="P395" i="2"/>
  <c r="O396" i="2"/>
  <c r="P396" i="2"/>
  <c r="T396" i="2"/>
  <c r="U396" i="2"/>
  <c r="O397" i="2"/>
  <c r="P397" i="2"/>
  <c r="Q397" i="2"/>
  <c r="R397" i="2"/>
  <c r="S397" i="2"/>
  <c r="S395" i="2" s="1"/>
  <c r="L398" i="2"/>
  <c r="O398" i="2" s="1"/>
  <c r="M398" i="2"/>
  <c r="P398" i="2" s="1"/>
  <c r="N398" i="2"/>
  <c r="Q398" i="2"/>
  <c r="R398" i="2"/>
  <c r="U398" i="2" s="1"/>
  <c r="S398" i="2"/>
  <c r="T398" i="2"/>
  <c r="O399" i="2"/>
  <c r="P399" i="2"/>
  <c r="T399" i="2"/>
  <c r="U399" i="2"/>
  <c r="O400" i="2"/>
  <c r="P400" i="2"/>
  <c r="T400" i="2"/>
  <c r="U400" i="2"/>
  <c r="L414" i="2"/>
  <c r="M414" i="2"/>
  <c r="N414" i="2"/>
  <c r="Q414" i="2"/>
  <c r="T414" i="2" s="1"/>
  <c r="R414" i="2"/>
  <c r="S414" i="2"/>
  <c r="O417" i="2"/>
  <c r="P417" i="2"/>
  <c r="T417" i="2"/>
  <c r="U417" i="2"/>
  <c r="L418" i="2"/>
  <c r="L416" i="2" s="1"/>
  <c r="M418" i="2"/>
  <c r="N418" i="2"/>
  <c r="N416" i="2" s="1"/>
  <c r="Q418" i="2"/>
  <c r="R418" i="2"/>
  <c r="S418" i="2"/>
  <c r="S416" i="2" s="1"/>
  <c r="Q419" i="2"/>
  <c r="T419" i="2" s="1"/>
  <c r="R419" i="2"/>
  <c r="S419" i="2"/>
  <c r="U419" i="2"/>
  <c r="O420" i="2"/>
  <c r="P420" i="2"/>
  <c r="T420" i="2"/>
  <c r="U420" i="2"/>
  <c r="L421" i="2"/>
  <c r="O421" i="2" s="1"/>
  <c r="M421" i="2"/>
  <c r="N421" i="2"/>
  <c r="N419" i="2" s="1"/>
  <c r="T421" i="2"/>
  <c r="U421" i="2"/>
  <c r="I424" i="2"/>
  <c r="K424" i="2" s="1"/>
  <c r="J424" i="2"/>
  <c r="I425" i="2"/>
  <c r="K425" i="2" s="1"/>
  <c r="J425" i="2"/>
  <c r="I432" i="2"/>
  <c r="K432" i="2" s="1"/>
  <c r="J432" i="2"/>
  <c r="I433" i="2"/>
  <c r="K433" i="2" s="1"/>
  <c r="J433" i="2"/>
  <c r="I440" i="2"/>
  <c r="K440" i="2" s="1"/>
  <c r="I441" i="2"/>
  <c r="K441" i="2" s="1"/>
  <c r="J441" i="2"/>
  <c r="J446" i="2"/>
  <c r="J440" i="2" s="1"/>
  <c r="J423" i="2" s="1"/>
  <c r="J412" i="2" s="1"/>
  <c r="J447" i="2"/>
  <c r="I457" i="2"/>
  <c r="I458" i="2"/>
  <c r="K458" i="2" s="1"/>
  <c r="J458" i="2"/>
  <c r="J459" i="2"/>
  <c r="J457" i="2" s="1"/>
  <c r="J456" i="2" s="1"/>
  <c r="J460" i="2"/>
  <c r="J467" i="2"/>
  <c r="J468" i="2"/>
  <c r="J475" i="2"/>
  <c r="K475" i="2"/>
  <c r="J476" i="2"/>
  <c r="K476" i="2"/>
  <c r="J477" i="2"/>
  <c r="K477" i="2"/>
  <c r="J482" i="2"/>
  <c r="J483" i="2"/>
  <c r="I484" i="2"/>
  <c r="K484" i="2" s="1"/>
  <c r="J484" i="2"/>
  <c r="I485" i="2"/>
  <c r="J485" i="2"/>
  <c r="K485" i="2"/>
  <c r="L494" i="2"/>
  <c r="O494" i="2" s="1"/>
  <c r="M494" i="2"/>
  <c r="N494" i="2"/>
  <c r="P494" i="2"/>
  <c r="Q494" i="2"/>
  <c r="R494" i="2"/>
  <c r="S494" i="2"/>
  <c r="O497" i="2"/>
  <c r="P497" i="2"/>
  <c r="T497" i="2"/>
  <c r="U497" i="2"/>
  <c r="L498" i="2"/>
  <c r="M498" i="2"/>
  <c r="N498" i="2"/>
  <c r="N496" i="2" s="1"/>
  <c r="Q498" i="2"/>
  <c r="Q495" i="2" s="1"/>
  <c r="R498" i="2"/>
  <c r="R495" i="2" s="1"/>
  <c r="S498" i="2"/>
  <c r="S496" i="2" s="1"/>
  <c r="Q499" i="2"/>
  <c r="T499" i="2" s="1"/>
  <c r="R499" i="2"/>
  <c r="S499" i="2"/>
  <c r="U499" i="2"/>
  <c r="O500" i="2"/>
  <c r="P500" i="2"/>
  <c r="T500" i="2"/>
  <c r="U500" i="2"/>
  <c r="L501" i="2"/>
  <c r="M501" i="2"/>
  <c r="P501" i="2" s="1"/>
  <c r="N501" i="2"/>
  <c r="N499" i="2" s="1"/>
  <c r="T501" i="2"/>
  <c r="U501" i="2"/>
  <c r="I503" i="2"/>
  <c r="I504" i="2"/>
  <c r="K504" i="2" s="1"/>
  <c r="I505" i="2"/>
  <c r="K505" i="2" s="1"/>
  <c r="I506" i="2"/>
  <c r="K506" i="2" s="1"/>
  <c r="I507" i="2"/>
  <c r="K507" i="2" s="1"/>
  <c r="K508" i="2"/>
  <c r="I509" i="2"/>
  <c r="K509" i="2" s="1"/>
  <c r="I512" i="2"/>
  <c r="J512" i="2"/>
  <c r="L514" i="2"/>
  <c r="M514" i="2"/>
  <c r="P514" i="2" s="1"/>
  <c r="N514" i="2"/>
  <c r="O514" i="2"/>
  <c r="Q514" i="2"/>
  <c r="R514" i="2"/>
  <c r="S514" i="2"/>
  <c r="S513" i="2" s="1"/>
  <c r="T514" i="2"/>
  <c r="U514" i="2"/>
  <c r="Q515" i="2"/>
  <c r="R515" i="2"/>
  <c r="S515" i="2"/>
  <c r="U515" i="2"/>
  <c r="Q516" i="2"/>
  <c r="T516" i="2" s="1"/>
  <c r="R516" i="2"/>
  <c r="U516" i="2" s="1"/>
  <c r="S516" i="2"/>
  <c r="O517" i="2"/>
  <c r="P517" i="2"/>
  <c r="T517" i="2"/>
  <c r="U517" i="2"/>
  <c r="L518" i="2"/>
  <c r="O518" i="2" s="1"/>
  <c r="M518" i="2"/>
  <c r="M516" i="2" s="1"/>
  <c r="P516" i="2" s="1"/>
  <c r="N518" i="2"/>
  <c r="N516" i="2" s="1"/>
  <c r="T518" i="2"/>
  <c r="U518" i="2"/>
  <c r="Q519" i="2"/>
  <c r="T519" i="2" s="1"/>
  <c r="R519" i="2"/>
  <c r="U519" i="2" s="1"/>
  <c r="S519" i="2"/>
  <c r="O520" i="2"/>
  <c r="P520" i="2"/>
  <c r="T520" i="2"/>
  <c r="U520" i="2"/>
  <c r="L521" i="2"/>
  <c r="L519" i="2" s="1"/>
  <c r="M521" i="2"/>
  <c r="N521" i="2"/>
  <c r="N519" i="2" s="1"/>
  <c r="T521" i="2"/>
  <c r="U521" i="2"/>
  <c r="K523" i="2"/>
  <c r="K524" i="2"/>
  <c r="I533" i="2"/>
  <c r="K533" i="2" s="1"/>
  <c r="J533" i="2"/>
  <c r="L535" i="2"/>
  <c r="O535" i="2" s="1"/>
  <c r="M535" i="2"/>
  <c r="N535" i="2"/>
  <c r="Q535" i="2"/>
  <c r="R535" i="2"/>
  <c r="U535" i="2" s="1"/>
  <c r="S535" i="2"/>
  <c r="T535" i="2"/>
  <c r="Q536" i="2"/>
  <c r="T536" i="2" s="1"/>
  <c r="R536" i="2"/>
  <c r="S536" i="2"/>
  <c r="U536" i="2"/>
  <c r="Q537" i="2"/>
  <c r="R537" i="2"/>
  <c r="S537" i="2"/>
  <c r="T537" i="2"/>
  <c r="U537" i="2"/>
  <c r="O538" i="2"/>
  <c r="P538" i="2"/>
  <c r="T538" i="2"/>
  <c r="U538" i="2"/>
  <c r="L539" i="2"/>
  <c r="M539" i="2"/>
  <c r="N539" i="2"/>
  <c r="N537" i="2" s="1"/>
  <c r="T539" i="2"/>
  <c r="U539" i="2"/>
  <c r="Q540" i="2"/>
  <c r="T540" i="2" s="1"/>
  <c r="R540" i="2"/>
  <c r="U540" i="2" s="1"/>
  <c r="S540" i="2"/>
  <c r="O541" i="2"/>
  <c r="P541" i="2"/>
  <c r="T541" i="2"/>
  <c r="U541" i="2"/>
  <c r="L542" i="2"/>
  <c r="M542" i="2"/>
  <c r="M540" i="2" s="1"/>
  <c r="P540" i="2" s="1"/>
  <c r="N542" i="2"/>
  <c r="N540" i="2" s="1"/>
  <c r="T542" i="2"/>
  <c r="U542" i="2"/>
  <c r="I554" i="2"/>
  <c r="K554" i="2" s="1"/>
  <c r="J554" i="2"/>
  <c r="L556" i="2"/>
  <c r="M556" i="2"/>
  <c r="P556" i="2" s="1"/>
  <c r="N556" i="2"/>
  <c r="Q556" i="2"/>
  <c r="R556" i="2"/>
  <c r="S556" i="2"/>
  <c r="Q557" i="2"/>
  <c r="T557" i="2" s="1"/>
  <c r="R557" i="2"/>
  <c r="U557" i="2" s="1"/>
  <c r="S557" i="2"/>
  <c r="Q558" i="2"/>
  <c r="T558" i="2" s="1"/>
  <c r="R558" i="2"/>
  <c r="U558" i="2" s="1"/>
  <c r="S558" i="2"/>
  <c r="O559" i="2"/>
  <c r="P559" i="2"/>
  <c r="T559" i="2"/>
  <c r="U559" i="2"/>
  <c r="L560" i="2"/>
  <c r="M560" i="2"/>
  <c r="M558" i="2" s="1"/>
  <c r="P558" i="2" s="1"/>
  <c r="N560" i="2"/>
  <c r="N558" i="2" s="1"/>
  <c r="T560" i="2"/>
  <c r="U560" i="2"/>
  <c r="Q561" i="2"/>
  <c r="T561" i="2" s="1"/>
  <c r="R561" i="2"/>
  <c r="S561" i="2"/>
  <c r="U561" i="2"/>
  <c r="O562" i="2"/>
  <c r="P562" i="2"/>
  <c r="T562" i="2"/>
  <c r="U562" i="2"/>
  <c r="L563" i="2"/>
  <c r="O563" i="2" s="1"/>
  <c r="M563" i="2"/>
  <c r="N563" i="2"/>
  <c r="N561" i="2" s="1"/>
  <c r="T563" i="2"/>
  <c r="U563" i="2"/>
  <c r="I575" i="2"/>
  <c r="K575" i="2" s="1"/>
  <c r="J575" i="2"/>
  <c r="L577" i="2"/>
  <c r="M577" i="2"/>
  <c r="N577" i="2"/>
  <c r="O577" i="2"/>
  <c r="Q577" i="2"/>
  <c r="T577" i="2" s="1"/>
  <c r="R577" i="2"/>
  <c r="R576" i="2" s="1"/>
  <c r="U576" i="2" s="1"/>
  <c r="S577" i="2"/>
  <c r="U577" i="2"/>
  <c r="Q578" i="2"/>
  <c r="T578" i="2" s="1"/>
  <c r="R578" i="2"/>
  <c r="S578" i="2"/>
  <c r="U578" i="2"/>
  <c r="Q579" i="2"/>
  <c r="R579" i="2"/>
  <c r="U579" i="2" s="1"/>
  <c r="S579" i="2"/>
  <c r="T579" i="2"/>
  <c r="O580" i="2"/>
  <c r="P580" i="2"/>
  <c r="T580" i="2"/>
  <c r="U580" i="2"/>
  <c r="L581" i="2"/>
  <c r="M581" i="2"/>
  <c r="M579" i="2" s="1"/>
  <c r="N581" i="2"/>
  <c r="N579" i="2" s="1"/>
  <c r="T581" i="2"/>
  <c r="U581" i="2"/>
  <c r="Q582" i="2"/>
  <c r="T582" i="2" s="1"/>
  <c r="R582" i="2"/>
  <c r="U582" i="2" s="1"/>
  <c r="S582" i="2"/>
  <c r="O583" i="2"/>
  <c r="P583" i="2"/>
  <c r="T583" i="2"/>
  <c r="U583" i="2"/>
  <c r="L584" i="2"/>
  <c r="M584" i="2"/>
  <c r="M582" i="2" s="1"/>
  <c r="P582" i="2" s="1"/>
  <c r="N584" i="2"/>
  <c r="N582" i="2" s="1"/>
  <c r="T584" i="2"/>
  <c r="U584" i="2"/>
  <c r="K586" i="2"/>
  <c r="K587" i="2"/>
  <c r="L600" i="2"/>
  <c r="O600" i="2" s="1"/>
  <c r="M600" i="2"/>
  <c r="P600" i="2" s="1"/>
  <c r="N600" i="2"/>
  <c r="Q600" i="2"/>
  <c r="R600" i="2"/>
  <c r="S600" i="2"/>
  <c r="O603" i="2"/>
  <c r="P603" i="2"/>
  <c r="T603" i="2"/>
  <c r="U603" i="2"/>
  <c r="L604" i="2"/>
  <c r="O604" i="2" s="1"/>
  <c r="M604" i="2"/>
  <c r="M602" i="2" s="1"/>
  <c r="P602" i="2" s="1"/>
  <c r="N604" i="2"/>
  <c r="N602" i="2" s="1"/>
  <c r="Q604" i="2"/>
  <c r="R604" i="2"/>
  <c r="U604" i="2" s="1"/>
  <c r="S604" i="2"/>
  <c r="S602" i="2" s="1"/>
  <c r="O606" i="2"/>
  <c r="P606" i="2"/>
  <c r="T606" i="2"/>
  <c r="U606" i="2"/>
  <c r="L607" i="2"/>
  <c r="O607" i="2" s="1"/>
  <c r="M607" i="2"/>
  <c r="N607" i="2"/>
  <c r="N605" i="2" s="1"/>
  <c r="Q607" i="2"/>
  <c r="R607" i="2"/>
  <c r="R605" i="2" s="1"/>
  <c r="U605" i="2" s="1"/>
  <c r="S607" i="2"/>
  <c r="N616" i="2"/>
  <c r="L617" i="2"/>
  <c r="M617" i="2"/>
  <c r="N617" i="2"/>
  <c r="O617" i="2"/>
  <c r="P617" i="2"/>
  <c r="Q617" i="2"/>
  <c r="R617" i="2"/>
  <c r="S617" i="2"/>
  <c r="U617" i="2"/>
  <c r="L618" i="2"/>
  <c r="M618" i="2"/>
  <c r="N618" i="2"/>
  <c r="L619" i="2"/>
  <c r="O619" i="2" s="1"/>
  <c r="M619" i="2"/>
  <c r="P619" i="2" s="1"/>
  <c r="N619" i="2"/>
  <c r="O620" i="2"/>
  <c r="P620" i="2"/>
  <c r="T620" i="2"/>
  <c r="U620" i="2"/>
  <c r="O621" i="2"/>
  <c r="P621" i="2"/>
  <c r="Q621" i="2"/>
  <c r="Q619" i="2" s="1"/>
  <c r="R621" i="2"/>
  <c r="R618" i="2" s="1"/>
  <c r="S621" i="2"/>
  <c r="L622" i="2"/>
  <c r="M622" i="2"/>
  <c r="P622" i="2" s="1"/>
  <c r="N622" i="2"/>
  <c r="O622" i="2"/>
  <c r="Q622" i="2"/>
  <c r="T622" i="2" s="1"/>
  <c r="R622" i="2"/>
  <c r="U622" i="2" s="1"/>
  <c r="S622" i="2"/>
  <c r="O623" i="2"/>
  <c r="P623" i="2"/>
  <c r="T623" i="2"/>
  <c r="U623" i="2"/>
  <c r="O624" i="2"/>
  <c r="P624" i="2"/>
  <c r="T624" i="2"/>
  <c r="U624" i="2"/>
  <c r="I626" i="2"/>
  <c r="K632" i="2" s="1"/>
  <c r="I627" i="2"/>
  <c r="K627" i="2" s="1"/>
  <c r="I628" i="2"/>
  <c r="K628" i="2" s="1"/>
  <c r="J632" i="2"/>
  <c r="J626" i="2" s="1"/>
  <c r="J615" i="2" s="1"/>
  <c r="I635" i="2"/>
  <c r="K635" i="2" s="1"/>
  <c r="J636" i="2"/>
  <c r="J635" i="2" s="1"/>
  <c r="N642" i="2"/>
  <c r="L643" i="2"/>
  <c r="M643" i="2"/>
  <c r="N643" i="2"/>
  <c r="O643" i="2"/>
  <c r="P643" i="2"/>
  <c r="Q643" i="2"/>
  <c r="R643" i="2"/>
  <c r="S643" i="2"/>
  <c r="U643" i="2"/>
  <c r="L644" i="2"/>
  <c r="O644" i="2" s="1"/>
  <c r="M644" i="2"/>
  <c r="N644" i="2"/>
  <c r="L645" i="2"/>
  <c r="M645" i="2"/>
  <c r="P645" i="2" s="1"/>
  <c r="N645" i="2"/>
  <c r="O645" i="2"/>
  <c r="O646" i="2"/>
  <c r="P646" i="2"/>
  <c r="T646" i="2"/>
  <c r="U646" i="2"/>
  <c r="O647" i="2"/>
  <c r="P647" i="2"/>
  <c r="Q647" i="2"/>
  <c r="Q645" i="2" s="1"/>
  <c r="T645" i="2" s="1"/>
  <c r="R647" i="2"/>
  <c r="S647" i="2"/>
  <c r="S645" i="2" s="1"/>
  <c r="L648" i="2"/>
  <c r="O648" i="2" s="1"/>
  <c r="M648" i="2"/>
  <c r="N648" i="2"/>
  <c r="P648" i="2"/>
  <c r="Q648" i="2"/>
  <c r="T648" i="2" s="1"/>
  <c r="R648" i="2"/>
  <c r="U648" i="2" s="1"/>
  <c r="S648" i="2"/>
  <c r="O649" i="2"/>
  <c r="P649" i="2"/>
  <c r="T649" i="2"/>
  <c r="U649" i="2"/>
  <c r="O650" i="2"/>
  <c r="P650" i="2"/>
  <c r="T650" i="2"/>
  <c r="U650" i="2"/>
  <c r="I652" i="2"/>
  <c r="K652" i="2" s="1"/>
  <c r="J652" i="2"/>
  <c r="I653" i="2"/>
  <c r="K653" i="2" s="1"/>
  <c r="J653" i="2"/>
  <c r="I654" i="2"/>
  <c r="K654" i="2" s="1"/>
  <c r="J654" i="2"/>
  <c r="I657" i="2"/>
  <c r="I660" i="2"/>
  <c r="I661" i="2"/>
  <c r="K661" i="2" s="1"/>
  <c r="J661" i="2"/>
  <c r="J671" i="2"/>
  <c r="J672" i="2"/>
  <c r="I673" i="2"/>
  <c r="K673" i="2" s="1"/>
  <c r="J673" i="2"/>
  <c r="I674" i="2"/>
  <c r="K674" i="2" s="1"/>
  <c r="I675" i="2"/>
  <c r="K675" i="2" s="1"/>
  <c r="I676" i="2"/>
  <c r="K676" i="2" s="1"/>
  <c r="J676" i="2"/>
  <c r="J677" i="2"/>
  <c r="I678" i="2"/>
  <c r="K678" i="2" s="1"/>
  <c r="J678" i="2"/>
  <c r="I679" i="2"/>
  <c r="K679" i="2" s="1"/>
  <c r="J679" i="2"/>
  <c r="J680" i="2"/>
  <c r="I681" i="2"/>
  <c r="K681" i="2" s="1"/>
  <c r="J681" i="2"/>
  <c r="I682" i="2"/>
  <c r="K682" i="2" s="1"/>
  <c r="J682" i="2"/>
  <c r="L690" i="2"/>
  <c r="O690" i="2" s="1"/>
  <c r="L691" i="2"/>
  <c r="M691" i="2"/>
  <c r="N691" i="2"/>
  <c r="O691" i="2"/>
  <c r="P691" i="2"/>
  <c r="Q691" i="2"/>
  <c r="R691" i="2"/>
  <c r="S691" i="2"/>
  <c r="U691" i="2"/>
  <c r="L692" i="2"/>
  <c r="O692" i="2" s="1"/>
  <c r="M692" i="2"/>
  <c r="N692" i="2"/>
  <c r="N690" i="2" s="1"/>
  <c r="L693" i="2"/>
  <c r="O693" i="2" s="1"/>
  <c r="M693" i="2"/>
  <c r="P693" i="2" s="1"/>
  <c r="N693" i="2"/>
  <c r="O694" i="2"/>
  <c r="P694" i="2"/>
  <c r="T694" i="2"/>
  <c r="U694" i="2"/>
  <c r="O695" i="2"/>
  <c r="P695" i="2"/>
  <c r="Q695" i="2"/>
  <c r="R695" i="2"/>
  <c r="R693" i="2" s="1"/>
  <c r="S695" i="2"/>
  <c r="L696" i="2"/>
  <c r="O696" i="2" s="1"/>
  <c r="M696" i="2"/>
  <c r="P696" i="2" s="1"/>
  <c r="N696" i="2"/>
  <c r="Q696" i="2"/>
  <c r="T696" i="2" s="1"/>
  <c r="R696" i="2"/>
  <c r="U696" i="2" s="1"/>
  <c r="S696" i="2"/>
  <c r="O697" i="2"/>
  <c r="P697" i="2"/>
  <c r="T697" i="2"/>
  <c r="U697" i="2"/>
  <c r="O698" i="2"/>
  <c r="P698" i="2"/>
  <c r="T698" i="2"/>
  <c r="U698" i="2"/>
  <c r="I700" i="2"/>
  <c r="K700" i="2" s="1"/>
  <c r="K702" i="2"/>
  <c r="I703" i="2"/>
  <c r="J703" i="2"/>
  <c r="J704" i="2"/>
  <c r="K704" i="2"/>
  <c r="I705" i="2"/>
  <c r="J705" i="2"/>
  <c r="J706" i="2"/>
  <c r="K706" i="2"/>
  <c r="I707" i="2"/>
  <c r="I689" i="2" s="1"/>
  <c r="K689" i="2" s="1"/>
  <c r="J707" i="2"/>
  <c r="J689" i="2" s="1"/>
  <c r="J708" i="2"/>
  <c r="K708" i="2"/>
  <c r="I709" i="2"/>
  <c r="J709" i="2"/>
  <c r="J710" i="2"/>
  <c r="K710" i="2"/>
  <c r="J712" i="2"/>
  <c r="K712" i="2"/>
  <c r="L715" i="2"/>
  <c r="O715" i="2" s="1"/>
  <c r="M715" i="2"/>
  <c r="N715" i="2"/>
  <c r="N714" i="2" s="1"/>
  <c r="Q715" i="2"/>
  <c r="T715" i="2" s="1"/>
  <c r="R715" i="2"/>
  <c r="S715" i="2"/>
  <c r="S714" i="2" s="1"/>
  <c r="U715" i="2"/>
  <c r="L716" i="2"/>
  <c r="M716" i="2"/>
  <c r="N716" i="2"/>
  <c r="P716" i="2"/>
  <c r="Q716" i="2"/>
  <c r="R716" i="2"/>
  <c r="S716" i="2"/>
  <c r="L717" i="2"/>
  <c r="O717" i="2" s="1"/>
  <c r="M717" i="2"/>
  <c r="P717" i="2" s="1"/>
  <c r="N717" i="2"/>
  <c r="Q717" i="2"/>
  <c r="R717" i="2"/>
  <c r="U717" i="2" s="1"/>
  <c r="S717" i="2"/>
  <c r="T717" i="2"/>
  <c r="O718" i="2"/>
  <c r="P718" i="2"/>
  <c r="T718" i="2"/>
  <c r="U718" i="2"/>
  <c r="O719" i="2"/>
  <c r="P719" i="2"/>
  <c r="T719" i="2"/>
  <c r="U719" i="2"/>
  <c r="L720" i="2"/>
  <c r="O720" i="2" s="1"/>
  <c r="M720" i="2"/>
  <c r="P720" i="2" s="1"/>
  <c r="N720" i="2"/>
  <c r="Q720" i="2"/>
  <c r="T720" i="2" s="1"/>
  <c r="R720" i="2"/>
  <c r="U720" i="2" s="1"/>
  <c r="S720" i="2"/>
  <c r="O721" i="2"/>
  <c r="P721" i="2"/>
  <c r="T721" i="2"/>
  <c r="U721" i="2"/>
  <c r="O722" i="2"/>
  <c r="P722" i="2"/>
  <c r="T722" i="2"/>
  <c r="U722" i="2"/>
  <c r="I726" i="2"/>
  <c r="J726" i="2"/>
  <c r="I727" i="2"/>
  <c r="K727" i="2" s="1"/>
  <c r="J727" i="2"/>
  <c r="L729" i="2"/>
  <c r="O729" i="2" s="1"/>
  <c r="M729" i="2"/>
  <c r="N729" i="2"/>
  <c r="N728" i="2" s="1"/>
  <c r="Q729" i="2"/>
  <c r="R729" i="2"/>
  <c r="U729" i="2" s="1"/>
  <c r="S729" i="2"/>
  <c r="T729" i="2"/>
  <c r="L730" i="2"/>
  <c r="M730" i="2"/>
  <c r="N730" i="2"/>
  <c r="P730" i="2"/>
  <c r="L731" i="2"/>
  <c r="O731" i="2" s="1"/>
  <c r="M731" i="2"/>
  <c r="P731" i="2" s="1"/>
  <c r="N731" i="2"/>
  <c r="O732" i="2"/>
  <c r="P732" i="2"/>
  <c r="T732" i="2"/>
  <c r="U732" i="2"/>
  <c r="O733" i="2"/>
  <c r="P733" i="2"/>
  <c r="Q733" i="2"/>
  <c r="Q730" i="2" s="1"/>
  <c r="R733" i="2"/>
  <c r="R731" i="2" s="1"/>
  <c r="S733" i="2"/>
  <c r="S730" i="2" s="1"/>
  <c r="L734" i="2"/>
  <c r="M734" i="2"/>
  <c r="N734" i="2"/>
  <c r="O734" i="2"/>
  <c r="P734" i="2"/>
  <c r="Q734" i="2"/>
  <c r="T734" i="2" s="1"/>
  <c r="R734" i="2"/>
  <c r="S734" i="2"/>
  <c r="U734" i="2"/>
  <c r="O735" i="2"/>
  <c r="P735" i="2"/>
  <c r="T735" i="2"/>
  <c r="U735" i="2"/>
  <c r="O736" i="2"/>
  <c r="P736" i="2"/>
  <c r="T736" i="2"/>
  <c r="U736" i="2"/>
  <c r="I740" i="2"/>
  <c r="K740" i="2" s="1"/>
  <c r="I742" i="2"/>
  <c r="K742" i="2" s="1"/>
  <c r="I744" i="2"/>
  <c r="K744" i="2" s="1"/>
  <c r="I746" i="2"/>
  <c r="K746" i="2" s="1"/>
  <c r="I749" i="2"/>
  <c r="K749" i="2" s="1"/>
  <c r="I752" i="2"/>
  <c r="K752" i="2" s="1"/>
  <c r="I755" i="2"/>
  <c r="K755" i="2" s="1"/>
  <c r="J758" i="2"/>
  <c r="J759" i="2"/>
  <c r="L761" i="2"/>
  <c r="M761" i="2"/>
  <c r="N761" i="2"/>
  <c r="N760" i="2" s="1"/>
  <c r="O761" i="2"/>
  <c r="P761" i="2"/>
  <c r="Q761" i="2"/>
  <c r="R761" i="2"/>
  <c r="S761" i="2"/>
  <c r="U761" i="2"/>
  <c r="L762" i="2"/>
  <c r="M762" i="2"/>
  <c r="N762" i="2"/>
  <c r="L763" i="2"/>
  <c r="M763" i="2"/>
  <c r="P763" i="2" s="1"/>
  <c r="N763" i="2"/>
  <c r="O763" i="2"/>
  <c r="O764" i="2"/>
  <c r="P764" i="2"/>
  <c r="T764" i="2"/>
  <c r="U764" i="2"/>
  <c r="O765" i="2"/>
  <c r="P765" i="2"/>
  <c r="Q765" i="2"/>
  <c r="Q763" i="2" s="1"/>
  <c r="R765" i="2"/>
  <c r="S765" i="2"/>
  <c r="S763" i="2" s="1"/>
  <c r="L766" i="2"/>
  <c r="O766" i="2" s="1"/>
  <c r="M766" i="2"/>
  <c r="P766" i="2" s="1"/>
  <c r="N766" i="2"/>
  <c r="Q766" i="2"/>
  <c r="T766" i="2" s="1"/>
  <c r="R766" i="2"/>
  <c r="U766" i="2" s="1"/>
  <c r="S766" i="2"/>
  <c r="O767" i="2"/>
  <c r="P767" i="2"/>
  <c r="T767" i="2"/>
  <c r="U767" i="2"/>
  <c r="O768" i="2"/>
  <c r="P768" i="2"/>
  <c r="T768" i="2"/>
  <c r="U768" i="2"/>
  <c r="I770" i="2"/>
  <c r="K770" i="2" s="1"/>
  <c r="I772" i="2"/>
  <c r="I758" i="2" s="1"/>
  <c r="K758" i="2" s="1"/>
  <c r="I774" i="2"/>
  <c r="I759" i="2" s="1"/>
  <c r="K759" i="2" s="1"/>
  <c r="I775" i="2"/>
  <c r="I776" i="2"/>
  <c r="H777" i="2"/>
  <c r="I778" i="2"/>
  <c r="J778" i="2"/>
  <c r="I779" i="2"/>
  <c r="J779" i="2"/>
  <c r="I780" i="2"/>
  <c r="J780" i="2"/>
  <c r="I781" i="2"/>
  <c r="J781" i="2"/>
  <c r="I782" i="2"/>
  <c r="K782" i="2" s="1"/>
  <c r="J782" i="2"/>
  <c r="I783" i="2"/>
  <c r="K783" i="2" s="1"/>
  <c r="J783" i="2"/>
  <c r="I784" i="2"/>
  <c r="J784" i="2"/>
  <c r="I785" i="2"/>
  <c r="J785" i="2"/>
  <c r="A788" i="2"/>
  <c r="A789" i="2"/>
  <c r="A789" i="1"/>
  <c r="A788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I774" i="1"/>
  <c r="I759" i="1" s="1"/>
  <c r="J772" i="1"/>
  <c r="J758" i="1" s="1"/>
  <c r="I772" i="1"/>
  <c r="J770" i="1"/>
  <c r="I770" i="1"/>
  <c r="K770" i="1" s="1"/>
  <c r="S768" i="1"/>
  <c r="R768" i="1"/>
  <c r="U768" i="1" s="1"/>
  <c r="Q768" i="1"/>
  <c r="T768" i="1" s="1"/>
  <c r="N768" i="1"/>
  <c r="M768" i="1"/>
  <c r="L768" i="1"/>
  <c r="S767" i="1"/>
  <c r="R767" i="1"/>
  <c r="Q767" i="1"/>
  <c r="N767" i="1"/>
  <c r="M767" i="1"/>
  <c r="P767" i="1" s="1"/>
  <c r="L767" i="1"/>
  <c r="O767" i="1" s="1"/>
  <c r="S765" i="1"/>
  <c r="R765" i="1"/>
  <c r="R762" i="1" s="1"/>
  <c r="Q765" i="1"/>
  <c r="Q762" i="1" s="1"/>
  <c r="N765" i="1"/>
  <c r="N762" i="1" s="1"/>
  <c r="M765" i="1"/>
  <c r="P765" i="1" s="1"/>
  <c r="L765" i="1"/>
  <c r="O765" i="1" s="1"/>
  <c r="S764" i="1"/>
  <c r="S761" i="1" s="1"/>
  <c r="R764" i="1"/>
  <c r="U764" i="1" s="1"/>
  <c r="Q764" i="1"/>
  <c r="N764" i="1"/>
  <c r="M764" i="1"/>
  <c r="M761" i="1" s="1"/>
  <c r="L764" i="1"/>
  <c r="J756" i="1"/>
  <c r="J755" i="1"/>
  <c r="I755" i="1"/>
  <c r="J753" i="1"/>
  <c r="J752" i="1"/>
  <c r="I752" i="1"/>
  <c r="J749" i="1"/>
  <c r="I749" i="1"/>
  <c r="J748" i="1"/>
  <c r="J746" i="1"/>
  <c r="I746" i="1"/>
  <c r="J745" i="1"/>
  <c r="J744" i="1"/>
  <c r="I744" i="1"/>
  <c r="J742" i="1"/>
  <c r="I742" i="1"/>
  <c r="J741" i="1"/>
  <c r="J740" i="1"/>
  <c r="I740" i="1"/>
  <c r="S736" i="1"/>
  <c r="R736" i="1"/>
  <c r="U736" i="1" s="1"/>
  <c r="Q736" i="1"/>
  <c r="T736" i="1" s="1"/>
  <c r="N736" i="1"/>
  <c r="M736" i="1"/>
  <c r="L736" i="1"/>
  <c r="O736" i="1" s="1"/>
  <c r="S735" i="1"/>
  <c r="R735" i="1"/>
  <c r="Q735" i="1"/>
  <c r="T735" i="1" s="1"/>
  <c r="N735" i="1"/>
  <c r="M735" i="1"/>
  <c r="L735" i="1"/>
  <c r="O735" i="1" s="1"/>
  <c r="S733" i="1"/>
  <c r="R733" i="1"/>
  <c r="Q733" i="1"/>
  <c r="N733" i="1"/>
  <c r="M733" i="1"/>
  <c r="P733" i="1" s="1"/>
  <c r="L733" i="1"/>
  <c r="O733" i="1" s="1"/>
  <c r="S732" i="1"/>
  <c r="R732" i="1"/>
  <c r="U732" i="1" s="1"/>
  <c r="Q732" i="1"/>
  <c r="N732" i="1"/>
  <c r="M732" i="1"/>
  <c r="L732" i="1"/>
  <c r="I727" i="1"/>
  <c r="I726" i="1"/>
  <c r="S722" i="1"/>
  <c r="R722" i="1"/>
  <c r="Q722" i="1"/>
  <c r="T722" i="1" s="1"/>
  <c r="N722" i="1"/>
  <c r="M722" i="1"/>
  <c r="P722" i="1" s="1"/>
  <c r="L722" i="1"/>
  <c r="O722" i="1" s="1"/>
  <c r="S721" i="1"/>
  <c r="R721" i="1"/>
  <c r="R720" i="1" s="1"/>
  <c r="U720" i="1" s="1"/>
  <c r="Q721" i="1"/>
  <c r="T721" i="1" s="1"/>
  <c r="N721" i="1"/>
  <c r="M721" i="1"/>
  <c r="L721" i="1"/>
  <c r="O721" i="1" s="1"/>
  <c r="S719" i="1"/>
  <c r="S716" i="1" s="1"/>
  <c r="R719" i="1"/>
  <c r="U719" i="1" s="1"/>
  <c r="Q719" i="1"/>
  <c r="T719" i="1" s="1"/>
  <c r="N719" i="1"/>
  <c r="M719" i="1"/>
  <c r="L719" i="1"/>
  <c r="S718" i="1"/>
  <c r="R718" i="1"/>
  <c r="R717" i="1" s="1"/>
  <c r="U717" i="1" s="1"/>
  <c r="Q718" i="1"/>
  <c r="T718" i="1" s="1"/>
  <c r="N718" i="1"/>
  <c r="M718" i="1"/>
  <c r="L718" i="1"/>
  <c r="O718" i="1" s="1"/>
  <c r="K712" i="1"/>
  <c r="J712" i="1"/>
  <c r="K710" i="1"/>
  <c r="J710" i="1"/>
  <c r="J709" i="1"/>
  <c r="I709" i="1"/>
  <c r="K708" i="1"/>
  <c r="J708" i="1"/>
  <c r="J707" i="1"/>
  <c r="J689" i="1" s="1"/>
  <c r="I707" i="1"/>
  <c r="I689" i="1" s="1"/>
  <c r="K706" i="1"/>
  <c r="J706" i="1"/>
  <c r="J705" i="1"/>
  <c r="I705" i="1"/>
  <c r="K704" i="1"/>
  <c r="J704" i="1"/>
  <c r="J703" i="1"/>
  <c r="I703" i="1"/>
  <c r="K702" i="1"/>
  <c r="J700" i="1"/>
  <c r="I700" i="1"/>
  <c r="K700" i="1" s="1"/>
  <c r="S698" i="1"/>
  <c r="R698" i="1"/>
  <c r="U698" i="1" s="1"/>
  <c r="Q698" i="1"/>
  <c r="N698" i="1"/>
  <c r="M698" i="1"/>
  <c r="L698" i="1"/>
  <c r="O698" i="1" s="1"/>
  <c r="S697" i="1"/>
  <c r="R697" i="1"/>
  <c r="U697" i="1" s="1"/>
  <c r="Q697" i="1"/>
  <c r="T697" i="1" s="1"/>
  <c r="N697" i="1"/>
  <c r="N696" i="1" s="1"/>
  <c r="M697" i="1"/>
  <c r="L697" i="1"/>
  <c r="S695" i="1"/>
  <c r="R695" i="1"/>
  <c r="Q695" i="1"/>
  <c r="N695" i="1"/>
  <c r="N692" i="1" s="1"/>
  <c r="M695" i="1"/>
  <c r="P695" i="1" s="1"/>
  <c r="L695" i="1"/>
  <c r="O695" i="1" s="1"/>
  <c r="S694" i="1"/>
  <c r="R694" i="1"/>
  <c r="U694" i="1" s="1"/>
  <c r="Q694" i="1"/>
  <c r="N694" i="1"/>
  <c r="M694" i="1"/>
  <c r="L694" i="1"/>
  <c r="O694" i="1" s="1"/>
  <c r="J688" i="1"/>
  <c r="J687" i="1"/>
  <c r="J686" i="1"/>
  <c r="J685" i="1"/>
  <c r="J684" i="1"/>
  <c r="J683" i="1"/>
  <c r="I682" i="1"/>
  <c r="K682" i="1" s="1"/>
  <c r="J681" i="1"/>
  <c r="I681" i="1"/>
  <c r="K681" i="1" s="1"/>
  <c r="J680" i="1"/>
  <c r="J679" i="1"/>
  <c r="I679" i="1"/>
  <c r="K679" i="1" s="1"/>
  <c r="J678" i="1"/>
  <c r="I678" i="1"/>
  <c r="K678" i="1" s="1"/>
  <c r="J677" i="1"/>
  <c r="J676" i="1"/>
  <c r="I676" i="1"/>
  <c r="K676" i="1" s="1"/>
  <c r="I675" i="1"/>
  <c r="K675" i="1" s="1"/>
  <c r="I674" i="1"/>
  <c r="K674" i="1" s="1"/>
  <c r="J673" i="1"/>
  <c r="I673" i="1"/>
  <c r="K673" i="1" s="1"/>
  <c r="J672" i="1"/>
  <c r="J671" i="1"/>
  <c r="J670" i="1"/>
  <c r="J669" i="1"/>
  <c r="J668" i="1"/>
  <c r="J667" i="1"/>
  <c r="J666" i="1"/>
  <c r="J665" i="1"/>
  <c r="J663" i="1"/>
  <c r="J662" i="1"/>
  <c r="I661" i="1"/>
  <c r="K661" i="1" s="1"/>
  <c r="J660" i="1"/>
  <c r="I660" i="1"/>
  <c r="J659" i="1"/>
  <c r="J658" i="1"/>
  <c r="J657" i="1"/>
  <c r="I657" i="1"/>
  <c r="J656" i="1"/>
  <c r="J655" i="1"/>
  <c r="I654" i="1"/>
  <c r="K654" i="1" s="1"/>
  <c r="J653" i="1"/>
  <c r="I653" i="1"/>
  <c r="J652" i="1"/>
  <c r="I652" i="1"/>
  <c r="K652" i="1" s="1"/>
  <c r="S650" i="1"/>
  <c r="R650" i="1"/>
  <c r="Q650" i="1"/>
  <c r="N650" i="1"/>
  <c r="M650" i="1"/>
  <c r="P650" i="1" s="1"/>
  <c r="L650" i="1"/>
  <c r="O650" i="1" s="1"/>
  <c r="S649" i="1"/>
  <c r="R649" i="1"/>
  <c r="Q649" i="1"/>
  <c r="T649" i="1" s="1"/>
  <c r="N649" i="1"/>
  <c r="M649" i="1"/>
  <c r="P649" i="1" s="1"/>
  <c r="L649" i="1"/>
  <c r="S647" i="1"/>
  <c r="S644" i="1" s="1"/>
  <c r="R647" i="1"/>
  <c r="Q647" i="1"/>
  <c r="N647" i="1"/>
  <c r="N644" i="1" s="1"/>
  <c r="M647" i="1"/>
  <c r="L647" i="1"/>
  <c r="O647" i="1" s="1"/>
  <c r="S646" i="1"/>
  <c r="S645" i="1" s="1"/>
  <c r="R646" i="1"/>
  <c r="Q646" i="1"/>
  <c r="N646" i="1"/>
  <c r="N643" i="1" s="1"/>
  <c r="M646" i="1"/>
  <c r="P646" i="1" s="1"/>
  <c r="L646" i="1"/>
  <c r="J640" i="1"/>
  <c r="J639" i="1"/>
  <c r="J638" i="1"/>
  <c r="J637" i="1"/>
  <c r="I635" i="1"/>
  <c r="K635" i="1" s="1"/>
  <c r="J634" i="1"/>
  <c r="J633" i="1"/>
  <c r="J631" i="1"/>
  <c r="J630" i="1"/>
  <c r="J629" i="1"/>
  <c r="J628" i="1"/>
  <c r="I628" i="1"/>
  <c r="J627" i="1"/>
  <c r="I627" i="1"/>
  <c r="I626" i="1"/>
  <c r="I615" i="1" s="1"/>
  <c r="S624" i="1"/>
  <c r="R624" i="1"/>
  <c r="Q624" i="1"/>
  <c r="T624" i="1" s="1"/>
  <c r="N624" i="1"/>
  <c r="M624" i="1"/>
  <c r="P624" i="1" s="1"/>
  <c r="L624" i="1"/>
  <c r="S623" i="1"/>
  <c r="R623" i="1"/>
  <c r="U623" i="1" s="1"/>
  <c r="Q623" i="1"/>
  <c r="T623" i="1" s="1"/>
  <c r="N623" i="1"/>
  <c r="M623" i="1"/>
  <c r="P623" i="1" s="1"/>
  <c r="L623" i="1"/>
  <c r="O623" i="1" s="1"/>
  <c r="S621" i="1"/>
  <c r="R621" i="1"/>
  <c r="Q621" i="1"/>
  <c r="Q618" i="1" s="1"/>
  <c r="N621" i="1"/>
  <c r="M621" i="1"/>
  <c r="L621" i="1"/>
  <c r="S620" i="1"/>
  <c r="R620" i="1"/>
  <c r="Q620" i="1"/>
  <c r="N620" i="1"/>
  <c r="M620" i="1"/>
  <c r="P620" i="1" s="1"/>
  <c r="L620" i="1"/>
  <c r="S607" i="1"/>
  <c r="R607" i="1"/>
  <c r="Q607" i="1"/>
  <c r="T607" i="1" s="1"/>
  <c r="N607" i="1"/>
  <c r="M607" i="1"/>
  <c r="P607" i="1" s="1"/>
  <c r="L607" i="1"/>
  <c r="O607" i="1" s="1"/>
  <c r="S606" i="1"/>
  <c r="R606" i="1"/>
  <c r="U606" i="1" s="1"/>
  <c r="Q606" i="1"/>
  <c r="T606" i="1" s="1"/>
  <c r="N606" i="1"/>
  <c r="M606" i="1"/>
  <c r="L606" i="1"/>
  <c r="O606" i="1" s="1"/>
  <c r="S604" i="1"/>
  <c r="S601" i="1" s="1"/>
  <c r="R604" i="1"/>
  <c r="U604" i="1" s="1"/>
  <c r="Q604" i="1"/>
  <c r="T604" i="1" s="1"/>
  <c r="N604" i="1"/>
  <c r="M604" i="1"/>
  <c r="L604" i="1"/>
  <c r="S603" i="1"/>
  <c r="R603" i="1"/>
  <c r="R600" i="1" s="1"/>
  <c r="Q603" i="1"/>
  <c r="N603" i="1"/>
  <c r="M603" i="1"/>
  <c r="L603" i="1"/>
  <c r="J587" i="1"/>
  <c r="J575" i="1" s="1"/>
  <c r="I587" i="1"/>
  <c r="J586" i="1"/>
  <c r="I586" i="1"/>
  <c r="S584" i="1"/>
  <c r="R584" i="1"/>
  <c r="Q584" i="1"/>
  <c r="T584" i="1" s="1"/>
  <c r="N584" i="1"/>
  <c r="M584" i="1"/>
  <c r="L584" i="1"/>
  <c r="S583" i="1"/>
  <c r="R583" i="1"/>
  <c r="Q583" i="1"/>
  <c r="T583" i="1" s="1"/>
  <c r="N583" i="1"/>
  <c r="M583" i="1"/>
  <c r="P583" i="1" s="1"/>
  <c r="L583" i="1"/>
  <c r="O583" i="1" s="1"/>
  <c r="S581" i="1"/>
  <c r="R581" i="1"/>
  <c r="U581" i="1" s="1"/>
  <c r="Q581" i="1"/>
  <c r="T581" i="1" s="1"/>
  <c r="N581" i="1"/>
  <c r="M581" i="1"/>
  <c r="L581" i="1"/>
  <c r="S580" i="1"/>
  <c r="R580" i="1"/>
  <c r="Q580" i="1"/>
  <c r="T580" i="1" s="1"/>
  <c r="N580" i="1"/>
  <c r="M580" i="1"/>
  <c r="L580" i="1"/>
  <c r="S563" i="1"/>
  <c r="R563" i="1"/>
  <c r="U563" i="1" s="1"/>
  <c r="Q563" i="1"/>
  <c r="N563" i="1"/>
  <c r="M563" i="1"/>
  <c r="L563" i="1"/>
  <c r="O563" i="1" s="1"/>
  <c r="S562" i="1"/>
  <c r="R562" i="1"/>
  <c r="Q562" i="1"/>
  <c r="N562" i="1"/>
  <c r="N561" i="1" s="1"/>
  <c r="M562" i="1"/>
  <c r="P562" i="1" s="1"/>
  <c r="L562" i="1"/>
  <c r="S560" i="1"/>
  <c r="R560" i="1"/>
  <c r="Q560" i="1"/>
  <c r="T560" i="1" s="1"/>
  <c r="N560" i="1"/>
  <c r="M560" i="1"/>
  <c r="L560" i="1"/>
  <c r="S559" i="1"/>
  <c r="R559" i="1"/>
  <c r="Q559" i="1"/>
  <c r="N559" i="1"/>
  <c r="M559" i="1"/>
  <c r="L559" i="1"/>
  <c r="J554" i="1"/>
  <c r="I554" i="1"/>
  <c r="K554" i="1" s="1"/>
  <c r="K544" i="1"/>
  <c r="S542" i="1"/>
  <c r="R542" i="1"/>
  <c r="U542" i="1" s="1"/>
  <c r="Q542" i="1"/>
  <c r="N542" i="1"/>
  <c r="M542" i="1"/>
  <c r="P542" i="1" s="1"/>
  <c r="L542" i="1"/>
  <c r="S541" i="1"/>
  <c r="R541" i="1"/>
  <c r="Q541" i="1"/>
  <c r="T541" i="1" s="1"/>
  <c r="N541" i="1"/>
  <c r="M541" i="1"/>
  <c r="L541" i="1"/>
  <c r="O541" i="1" s="1"/>
  <c r="S539" i="1"/>
  <c r="R539" i="1"/>
  <c r="Q539" i="1"/>
  <c r="T539" i="1" s="1"/>
  <c r="N539" i="1"/>
  <c r="N536" i="1" s="1"/>
  <c r="M539" i="1"/>
  <c r="L539" i="1"/>
  <c r="S538" i="1"/>
  <c r="S537" i="1" s="1"/>
  <c r="R538" i="1"/>
  <c r="R537" i="1" s="1"/>
  <c r="U537" i="1" s="1"/>
  <c r="Q538" i="1"/>
  <c r="N538" i="1"/>
  <c r="M538" i="1"/>
  <c r="P538" i="1" s="1"/>
  <c r="L538" i="1"/>
  <c r="O538" i="1" s="1"/>
  <c r="J533" i="1"/>
  <c r="I533" i="1"/>
  <c r="K533" i="1" s="1"/>
  <c r="J524" i="1"/>
  <c r="J512" i="1" s="1"/>
  <c r="I524" i="1"/>
  <c r="I512" i="1" s="1"/>
  <c r="K523" i="1"/>
  <c r="J523" i="1"/>
  <c r="S521" i="1"/>
  <c r="R521" i="1"/>
  <c r="U521" i="1" s="1"/>
  <c r="Q521" i="1"/>
  <c r="T521" i="1" s="1"/>
  <c r="N521" i="1"/>
  <c r="M521" i="1"/>
  <c r="L521" i="1"/>
  <c r="S520" i="1"/>
  <c r="S519" i="1" s="1"/>
  <c r="R520" i="1"/>
  <c r="Q520" i="1"/>
  <c r="N520" i="1"/>
  <c r="M520" i="1"/>
  <c r="P520" i="1" s="1"/>
  <c r="L520" i="1"/>
  <c r="S518" i="1"/>
  <c r="S515" i="1" s="1"/>
  <c r="R518" i="1"/>
  <c r="U518" i="1" s="1"/>
  <c r="Q518" i="1"/>
  <c r="Q515" i="1" s="1"/>
  <c r="T515" i="1" s="1"/>
  <c r="N518" i="1"/>
  <c r="M518" i="1"/>
  <c r="P518" i="1" s="1"/>
  <c r="L518" i="1"/>
  <c r="S517" i="1"/>
  <c r="R517" i="1"/>
  <c r="Q517" i="1"/>
  <c r="Q514" i="1" s="1"/>
  <c r="N517" i="1"/>
  <c r="M517" i="1"/>
  <c r="L517" i="1"/>
  <c r="J509" i="1"/>
  <c r="I509" i="1"/>
  <c r="K509" i="1" s="1"/>
  <c r="K508" i="1"/>
  <c r="J507" i="1"/>
  <c r="I507" i="1"/>
  <c r="K507" i="1" s="1"/>
  <c r="J506" i="1"/>
  <c r="I506" i="1"/>
  <c r="K506" i="1" s="1"/>
  <c r="J505" i="1"/>
  <c r="I505" i="1"/>
  <c r="K505" i="1" s="1"/>
  <c r="J504" i="1"/>
  <c r="I504" i="1"/>
  <c r="K504" i="1" s="1"/>
  <c r="J503" i="1"/>
  <c r="J492" i="1" s="1"/>
  <c r="I503" i="1"/>
  <c r="I492" i="1" s="1"/>
  <c r="S501" i="1"/>
  <c r="R501" i="1"/>
  <c r="U501" i="1" s="1"/>
  <c r="Q501" i="1"/>
  <c r="T501" i="1" s="1"/>
  <c r="N501" i="1"/>
  <c r="M501" i="1"/>
  <c r="P501" i="1" s="1"/>
  <c r="L501" i="1"/>
  <c r="O501" i="1" s="1"/>
  <c r="S500" i="1"/>
  <c r="R500" i="1"/>
  <c r="Q500" i="1"/>
  <c r="T500" i="1" s="1"/>
  <c r="N500" i="1"/>
  <c r="M500" i="1"/>
  <c r="L500" i="1"/>
  <c r="O500" i="1" s="1"/>
  <c r="S498" i="1"/>
  <c r="R498" i="1"/>
  <c r="Q498" i="1"/>
  <c r="N498" i="1"/>
  <c r="M498" i="1"/>
  <c r="L498" i="1"/>
  <c r="S497" i="1"/>
  <c r="R497" i="1"/>
  <c r="U497" i="1" s="1"/>
  <c r="Q497" i="1"/>
  <c r="N497" i="1"/>
  <c r="M497" i="1"/>
  <c r="P497" i="1" s="1"/>
  <c r="L497" i="1"/>
  <c r="O497" i="1" s="1"/>
  <c r="J491" i="1"/>
  <c r="J490" i="1"/>
  <c r="J489" i="1"/>
  <c r="J488" i="1"/>
  <c r="J487" i="1"/>
  <c r="J486" i="1"/>
  <c r="J483" i="1"/>
  <c r="J482" i="1"/>
  <c r="J481" i="1"/>
  <c r="I485" i="1" s="1"/>
  <c r="K485" i="1" s="1"/>
  <c r="J480" i="1"/>
  <c r="J479" i="1"/>
  <c r="J478" i="1"/>
  <c r="K477" i="1"/>
  <c r="K476" i="1"/>
  <c r="K475" i="1"/>
  <c r="J474" i="1"/>
  <c r="J473" i="1"/>
  <c r="J472" i="1"/>
  <c r="J471" i="1"/>
  <c r="J470" i="1"/>
  <c r="J469" i="1"/>
  <c r="J466" i="1"/>
  <c r="J465" i="1"/>
  <c r="J464" i="1"/>
  <c r="J463" i="1"/>
  <c r="J462" i="1"/>
  <c r="J461" i="1"/>
  <c r="I458" i="1"/>
  <c r="K458" i="1" s="1"/>
  <c r="I457" i="1"/>
  <c r="I456" i="1" s="1"/>
  <c r="J455" i="1"/>
  <c r="J454" i="1"/>
  <c r="J453" i="1"/>
  <c r="J452" i="1"/>
  <c r="J451" i="1"/>
  <c r="J450" i="1"/>
  <c r="J449" i="1"/>
  <c r="J448" i="1"/>
  <c r="J445" i="1"/>
  <c r="J444" i="1"/>
  <c r="J443" i="1"/>
  <c r="J442" i="1"/>
  <c r="I441" i="1"/>
  <c r="I440" i="1"/>
  <c r="I423" i="1" s="1"/>
  <c r="I412" i="1" s="1"/>
  <c r="J439" i="1"/>
  <c r="J438" i="1"/>
  <c r="J437" i="1"/>
  <c r="J436" i="1"/>
  <c r="J435" i="1"/>
  <c r="J434" i="1"/>
  <c r="I433" i="1"/>
  <c r="I432" i="1"/>
  <c r="J431" i="1"/>
  <c r="J430" i="1"/>
  <c r="J429" i="1"/>
  <c r="J428" i="1"/>
  <c r="J427" i="1"/>
  <c r="J426" i="1"/>
  <c r="I425" i="1"/>
  <c r="I424" i="1"/>
  <c r="S421" i="1"/>
  <c r="R421" i="1"/>
  <c r="U421" i="1" s="1"/>
  <c r="Q421" i="1"/>
  <c r="N421" i="1"/>
  <c r="M421" i="1"/>
  <c r="L421" i="1"/>
  <c r="O421" i="1" s="1"/>
  <c r="S420" i="1"/>
  <c r="R420" i="1"/>
  <c r="U420" i="1" s="1"/>
  <c r="Q420" i="1"/>
  <c r="T420" i="1" s="1"/>
  <c r="N420" i="1"/>
  <c r="M420" i="1"/>
  <c r="P420" i="1" s="1"/>
  <c r="L420" i="1"/>
  <c r="S418" i="1"/>
  <c r="R418" i="1"/>
  <c r="Q418" i="1"/>
  <c r="N418" i="1"/>
  <c r="M418" i="1"/>
  <c r="L418" i="1"/>
  <c r="S417" i="1"/>
  <c r="S414" i="1" s="1"/>
  <c r="R417" i="1"/>
  <c r="U417" i="1" s="1"/>
  <c r="Q417" i="1"/>
  <c r="N417" i="1"/>
  <c r="M417" i="1"/>
  <c r="L417" i="1"/>
  <c r="S400" i="1"/>
  <c r="R400" i="1"/>
  <c r="Q400" i="1"/>
  <c r="T400" i="1" s="1"/>
  <c r="N400" i="1"/>
  <c r="M400" i="1"/>
  <c r="P400" i="1" s="1"/>
  <c r="L400" i="1"/>
  <c r="O400" i="1" s="1"/>
  <c r="S399" i="1"/>
  <c r="R399" i="1"/>
  <c r="Q399" i="1"/>
  <c r="N399" i="1"/>
  <c r="N398" i="1" s="1"/>
  <c r="M399" i="1"/>
  <c r="L399" i="1"/>
  <c r="S397" i="1"/>
  <c r="R397" i="1"/>
  <c r="U397" i="1" s="1"/>
  <c r="Q397" i="1"/>
  <c r="T397" i="1" s="1"/>
  <c r="N397" i="1"/>
  <c r="N394" i="1" s="1"/>
  <c r="M397" i="1"/>
  <c r="L397" i="1"/>
  <c r="S396" i="1"/>
  <c r="R396" i="1"/>
  <c r="R395" i="1" s="1"/>
  <c r="U395" i="1" s="1"/>
  <c r="Q396" i="1"/>
  <c r="N396" i="1"/>
  <c r="M396" i="1"/>
  <c r="L396" i="1"/>
  <c r="J391" i="1"/>
  <c r="I391" i="1"/>
  <c r="K391" i="1" s="1"/>
  <c r="J388" i="1"/>
  <c r="I388" i="1"/>
  <c r="K388" i="1" s="1"/>
  <c r="J387" i="1"/>
  <c r="I387" i="1"/>
  <c r="K387" i="1" s="1"/>
  <c r="J386" i="1"/>
  <c r="I386" i="1"/>
  <c r="J385" i="1"/>
  <c r="I385" i="1"/>
  <c r="S383" i="1"/>
  <c r="R383" i="1"/>
  <c r="Q383" i="1"/>
  <c r="T383" i="1" s="1"/>
  <c r="N383" i="1"/>
  <c r="M383" i="1"/>
  <c r="L383" i="1"/>
  <c r="S382" i="1"/>
  <c r="R382" i="1"/>
  <c r="U382" i="1" s="1"/>
  <c r="Q382" i="1"/>
  <c r="N382" i="1"/>
  <c r="M382" i="1"/>
  <c r="P382" i="1" s="1"/>
  <c r="L382" i="1"/>
  <c r="O382" i="1" s="1"/>
  <c r="S380" i="1"/>
  <c r="R380" i="1"/>
  <c r="Q380" i="1"/>
  <c r="N380" i="1"/>
  <c r="M380" i="1"/>
  <c r="L380" i="1"/>
  <c r="S379" i="1"/>
  <c r="S378" i="1" s="1"/>
  <c r="R379" i="1"/>
  <c r="Q379" i="1"/>
  <c r="N379" i="1"/>
  <c r="M379" i="1"/>
  <c r="L379" i="1"/>
  <c r="D373" i="1"/>
  <c r="K372" i="1"/>
  <c r="J372" i="1"/>
  <c r="J371" i="1"/>
  <c r="J365" i="1" s="1"/>
  <c r="I371" i="1"/>
  <c r="I365" i="1" s="1"/>
  <c r="K370" i="1"/>
  <c r="J370" i="1"/>
  <c r="J369" i="1"/>
  <c r="I369" i="1"/>
  <c r="J368" i="1"/>
  <c r="I368" i="1"/>
  <c r="K367" i="1"/>
  <c r="J367" i="1"/>
  <c r="S364" i="1"/>
  <c r="R364" i="1"/>
  <c r="U364" i="1" s="1"/>
  <c r="Q364" i="1"/>
  <c r="N364" i="1"/>
  <c r="M364" i="1"/>
  <c r="L364" i="1"/>
  <c r="O364" i="1" s="1"/>
  <c r="S363" i="1"/>
  <c r="S362" i="1" s="1"/>
  <c r="R363" i="1"/>
  <c r="Q363" i="1"/>
  <c r="T363" i="1" s="1"/>
  <c r="N363" i="1"/>
  <c r="M363" i="1"/>
  <c r="P363" i="1" s="1"/>
  <c r="L363" i="1"/>
  <c r="O363" i="1" s="1"/>
  <c r="S361" i="1"/>
  <c r="R361" i="1"/>
  <c r="Q361" i="1"/>
  <c r="N361" i="1"/>
  <c r="M361" i="1"/>
  <c r="L361" i="1"/>
  <c r="S360" i="1"/>
  <c r="R360" i="1"/>
  <c r="U360" i="1" s="1"/>
  <c r="Q360" i="1"/>
  <c r="Q357" i="1" s="1"/>
  <c r="T357" i="1" s="1"/>
  <c r="N360" i="1"/>
  <c r="M360" i="1"/>
  <c r="L360" i="1"/>
  <c r="O360" i="1" s="1"/>
  <c r="D354" i="1"/>
  <c r="J353" i="1"/>
  <c r="J352" i="1"/>
  <c r="D350" i="1"/>
  <c r="J349" i="1"/>
  <c r="J348" i="1"/>
  <c r="J347" i="1"/>
  <c r="J346" i="1"/>
  <c r="I346" i="1"/>
  <c r="J344" i="1"/>
  <c r="I344" i="1"/>
  <c r="S341" i="1"/>
  <c r="R341" i="1"/>
  <c r="U341" i="1" s="1"/>
  <c r="Q341" i="1"/>
  <c r="T341" i="1" s="1"/>
  <c r="N341" i="1"/>
  <c r="M341" i="1"/>
  <c r="L341" i="1"/>
  <c r="S340" i="1"/>
  <c r="R340" i="1"/>
  <c r="R339" i="1" s="1"/>
  <c r="U339" i="1" s="1"/>
  <c r="Q340" i="1"/>
  <c r="N340" i="1"/>
  <c r="M340" i="1"/>
  <c r="P340" i="1" s="1"/>
  <c r="L340" i="1"/>
  <c r="O340" i="1" s="1"/>
  <c r="S338" i="1"/>
  <c r="R338" i="1"/>
  <c r="R335" i="1" s="1"/>
  <c r="U335" i="1" s="1"/>
  <c r="Q338" i="1"/>
  <c r="T338" i="1" s="1"/>
  <c r="N338" i="1"/>
  <c r="M338" i="1"/>
  <c r="L338" i="1"/>
  <c r="S337" i="1"/>
  <c r="R337" i="1"/>
  <c r="Q337" i="1"/>
  <c r="N337" i="1"/>
  <c r="M337" i="1"/>
  <c r="L337" i="1"/>
  <c r="J330" i="1"/>
  <c r="J319" i="1" s="1"/>
  <c r="I330" i="1"/>
  <c r="S328" i="1"/>
  <c r="R328" i="1"/>
  <c r="Q328" i="1"/>
  <c r="T328" i="1" s="1"/>
  <c r="N328" i="1"/>
  <c r="M328" i="1"/>
  <c r="L328" i="1"/>
  <c r="S327" i="1"/>
  <c r="R327" i="1"/>
  <c r="U327" i="1" s="1"/>
  <c r="Q327" i="1"/>
  <c r="N327" i="1"/>
  <c r="M327" i="1"/>
  <c r="P327" i="1" s="1"/>
  <c r="L327" i="1"/>
  <c r="O327" i="1" s="1"/>
  <c r="S325" i="1"/>
  <c r="R325" i="1"/>
  <c r="U325" i="1" s="1"/>
  <c r="Q325" i="1"/>
  <c r="N325" i="1"/>
  <c r="M325" i="1"/>
  <c r="L325" i="1"/>
  <c r="L322" i="1" s="1"/>
  <c r="S324" i="1"/>
  <c r="S321" i="1" s="1"/>
  <c r="R324" i="1"/>
  <c r="R323" i="1" s="1"/>
  <c r="U323" i="1" s="1"/>
  <c r="Q324" i="1"/>
  <c r="N324" i="1"/>
  <c r="N321" i="1" s="1"/>
  <c r="M324" i="1"/>
  <c r="P324" i="1" s="1"/>
  <c r="L324" i="1"/>
  <c r="J317" i="1"/>
  <c r="I317" i="1"/>
  <c r="K317" i="1" s="1"/>
  <c r="J316" i="1"/>
  <c r="I316" i="1"/>
  <c r="K316" i="1" s="1"/>
  <c r="J315" i="1"/>
  <c r="I315" i="1"/>
  <c r="K315" i="1" s="1"/>
  <c r="J314" i="1"/>
  <c r="J302" i="1" s="1"/>
  <c r="I314" i="1"/>
  <c r="J313" i="1"/>
  <c r="S311" i="1"/>
  <c r="R311" i="1"/>
  <c r="Q311" i="1"/>
  <c r="T311" i="1" s="1"/>
  <c r="N311" i="1"/>
  <c r="M311" i="1"/>
  <c r="P311" i="1" s="1"/>
  <c r="L311" i="1"/>
  <c r="O311" i="1" s="1"/>
  <c r="S310" i="1"/>
  <c r="R310" i="1"/>
  <c r="U310" i="1" s="1"/>
  <c r="Q310" i="1"/>
  <c r="T310" i="1" s="1"/>
  <c r="N310" i="1"/>
  <c r="N309" i="1" s="1"/>
  <c r="M310" i="1"/>
  <c r="P310" i="1" s="1"/>
  <c r="L310" i="1"/>
  <c r="O310" i="1" s="1"/>
  <c r="S308" i="1"/>
  <c r="R308" i="1"/>
  <c r="Q308" i="1"/>
  <c r="N308" i="1"/>
  <c r="M308" i="1"/>
  <c r="L308" i="1"/>
  <c r="S307" i="1"/>
  <c r="R307" i="1"/>
  <c r="U307" i="1" s="1"/>
  <c r="Q307" i="1"/>
  <c r="T307" i="1" s="1"/>
  <c r="N307" i="1"/>
  <c r="M307" i="1"/>
  <c r="P307" i="1" s="1"/>
  <c r="L307" i="1"/>
  <c r="J296" i="1"/>
  <c r="I296" i="1"/>
  <c r="J295" i="1"/>
  <c r="I295" i="1"/>
  <c r="J293" i="1"/>
  <c r="J280" i="1" s="1"/>
  <c r="I293" i="1"/>
  <c r="I280" i="1" s="1"/>
  <c r="J292" i="1"/>
  <c r="J281" i="1" s="1"/>
  <c r="I292" i="1"/>
  <c r="S290" i="1"/>
  <c r="R290" i="1"/>
  <c r="U290" i="1" s="1"/>
  <c r="Q290" i="1"/>
  <c r="T290" i="1" s="1"/>
  <c r="N290" i="1"/>
  <c r="M290" i="1"/>
  <c r="P290" i="1" s="1"/>
  <c r="L290" i="1"/>
  <c r="O290" i="1" s="1"/>
  <c r="S289" i="1"/>
  <c r="S288" i="1" s="1"/>
  <c r="R289" i="1"/>
  <c r="Q289" i="1"/>
  <c r="T289" i="1" s="1"/>
  <c r="N289" i="1"/>
  <c r="M289" i="1"/>
  <c r="L289" i="1"/>
  <c r="S287" i="1"/>
  <c r="R287" i="1"/>
  <c r="U287" i="1" s="1"/>
  <c r="Q287" i="1"/>
  <c r="N287" i="1"/>
  <c r="N284" i="1" s="1"/>
  <c r="M287" i="1"/>
  <c r="L287" i="1"/>
  <c r="S286" i="1"/>
  <c r="R286" i="1"/>
  <c r="U286" i="1" s="1"/>
  <c r="Q286" i="1"/>
  <c r="T286" i="1" s="1"/>
  <c r="N286" i="1"/>
  <c r="M286" i="1"/>
  <c r="L286" i="1"/>
  <c r="J276" i="1"/>
  <c r="I276" i="1"/>
  <c r="S274" i="1"/>
  <c r="R274" i="1"/>
  <c r="U274" i="1" s="1"/>
  <c r="Q274" i="1"/>
  <c r="N274" i="1"/>
  <c r="M274" i="1"/>
  <c r="P274" i="1" s="1"/>
  <c r="L274" i="1"/>
  <c r="O274" i="1" s="1"/>
  <c r="S273" i="1"/>
  <c r="R273" i="1"/>
  <c r="Q273" i="1"/>
  <c r="T273" i="1" s="1"/>
  <c r="N273" i="1"/>
  <c r="M273" i="1"/>
  <c r="L273" i="1"/>
  <c r="S271" i="1"/>
  <c r="R271" i="1"/>
  <c r="Q271" i="1"/>
  <c r="N271" i="1"/>
  <c r="M271" i="1"/>
  <c r="L271" i="1"/>
  <c r="L268" i="1" s="1"/>
  <c r="S270" i="1"/>
  <c r="R270" i="1"/>
  <c r="Q270" i="1"/>
  <c r="T270" i="1" s="1"/>
  <c r="N270" i="1"/>
  <c r="M270" i="1"/>
  <c r="L270" i="1"/>
  <c r="L267" i="1" s="1"/>
  <c r="J265" i="1"/>
  <c r="I265" i="1"/>
  <c r="K241" i="1"/>
  <c r="J241" i="1"/>
  <c r="K240" i="1"/>
  <c r="J240" i="1"/>
  <c r="J238" i="1"/>
  <c r="I238" i="1"/>
  <c r="S236" i="1"/>
  <c r="R236" i="1"/>
  <c r="Q236" i="1"/>
  <c r="N236" i="1"/>
  <c r="M236" i="1"/>
  <c r="L236" i="1"/>
  <c r="S235" i="1"/>
  <c r="R235" i="1"/>
  <c r="Q235" i="1"/>
  <c r="N235" i="1"/>
  <c r="M235" i="1"/>
  <c r="L235" i="1"/>
  <c r="S234" i="1"/>
  <c r="R234" i="1"/>
  <c r="Q234" i="1"/>
  <c r="N234" i="1"/>
  <c r="M234" i="1"/>
  <c r="L234" i="1"/>
  <c r="S233" i="1"/>
  <c r="R233" i="1"/>
  <c r="Q233" i="1"/>
  <c r="N233" i="1"/>
  <c r="M233" i="1"/>
  <c r="L233" i="1"/>
  <c r="J231" i="1"/>
  <c r="I231" i="1"/>
  <c r="K231" i="1" s="1"/>
  <c r="J230" i="1"/>
  <c r="I230" i="1"/>
  <c r="K230" i="1" s="1"/>
  <c r="J229" i="1"/>
  <c r="J221" i="1" s="1"/>
  <c r="I229" i="1"/>
  <c r="J228" i="1"/>
  <c r="I228" i="1"/>
  <c r="S224" i="1"/>
  <c r="R224" i="1"/>
  <c r="Q224" i="1"/>
  <c r="N224" i="1"/>
  <c r="M224" i="1"/>
  <c r="L224" i="1"/>
  <c r="S223" i="1"/>
  <c r="R223" i="1"/>
  <c r="R222" i="1" s="1"/>
  <c r="Q223" i="1"/>
  <c r="N223" i="1"/>
  <c r="N222" i="1" s="1"/>
  <c r="M223" i="1"/>
  <c r="L223" i="1"/>
  <c r="J220" i="1"/>
  <c r="J213" i="1" s="1"/>
  <c r="I220" i="1"/>
  <c r="J219" i="1"/>
  <c r="I219" i="1"/>
  <c r="S217" i="1"/>
  <c r="R217" i="1"/>
  <c r="Q217" i="1"/>
  <c r="N217" i="1"/>
  <c r="M217" i="1"/>
  <c r="L217" i="1"/>
  <c r="S216" i="1"/>
  <c r="R216" i="1"/>
  <c r="Q216" i="1"/>
  <c r="N216" i="1"/>
  <c r="M216" i="1"/>
  <c r="L216" i="1"/>
  <c r="S215" i="1"/>
  <c r="S214" i="1" s="1"/>
  <c r="R215" i="1"/>
  <c r="Q215" i="1"/>
  <c r="N215" i="1"/>
  <c r="M215" i="1"/>
  <c r="L215" i="1"/>
  <c r="K212" i="1"/>
  <c r="J212" i="1"/>
  <c r="K211" i="1"/>
  <c r="J211" i="1"/>
  <c r="J209" i="1"/>
  <c r="J202" i="1" s="1"/>
  <c r="I209" i="1"/>
  <c r="S207" i="1"/>
  <c r="R207" i="1"/>
  <c r="Q207" i="1"/>
  <c r="N207" i="1"/>
  <c r="M207" i="1"/>
  <c r="L207" i="1"/>
  <c r="S206" i="1"/>
  <c r="R206" i="1"/>
  <c r="Q206" i="1"/>
  <c r="N206" i="1"/>
  <c r="M206" i="1"/>
  <c r="L206" i="1"/>
  <c r="S204" i="1"/>
  <c r="S203" i="1" s="1"/>
  <c r="R204" i="1"/>
  <c r="Q204" i="1"/>
  <c r="Q203" i="1" s="1"/>
  <c r="N204" i="1"/>
  <c r="N203" i="1" s="1"/>
  <c r="M204" i="1"/>
  <c r="M203" i="1" s="1"/>
  <c r="L204" i="1"/>
  <c r="L203" i="1" s="1"/>
  <c r="J201" i="1"/>
  <c r="J200" i="1"/>
  <c r="J198" i="1"/>
  <c r="J195" i="1" s="1"/>
  <c r="I198" i="1"/>
  <c r="I195" i="1" s="1"/>
  <c r="S196" i="1"/>
  <c r="R196" i="1"/>
  <c r="Q196" i="1"/>
  <c r="N196" i="1"/>
  <c r="M196" i="1"/>
  <c r="L196" i="1"/>
  <c r="S194" i="1"/>
  <c r="R194" i="1"/>
  <c r="U194" i="1" s="1"/>
  <c r="Q194" i="1"/>
  <c r="T194" i="1" s="1"/>
  <c r="N194" i="1"/>
  <c r="M194" i="1"/>
  <c r="P194" i="1" s="1"/>
  <c r="L194" i="1"/>
  <c r="O194" i="1" s="1"/>
  <c r="S193" i="1"/>
  <c r="R193" i="1"/>
  <c r="Q193" i="1"/>
  <c r="N193" i="1"/>
  <c r="M193" i="1"/>
  <c r="P193" i="1" s="1"/>
  <c r="L193" i="1"/>
  <c r="S191" i="1"/>
  <c r="S188" i="1" s="1"/>
  <c r="R191" i="1"/>
  <c r="Q191" i="1"/>
  <c r="N191" i="1"/>
  <c r="M191" i="1"/>
  <c r="L191" i="1"/>
  <c r="S190" i="1"/>
  <c r="S187" i="1" s="1"/>
  <c r="R190" i="1"/>
  <c r="U190" i="1" s="1"/>
  <c r="Q190" i="1"/>
  <c r="N190" i="1"/>
  <c r="N189" i="1" s="1"/>
  <c r="M190" i="1"/>
  <c r="P190" i="1" s="1"/>
  <c r="L190" i="1"/>
  <c r="O190" i="1" s="1"/>
  <c r="K184" i="1"/>
  <c r="J183" i="1"/>
  <c r="J172" i="1" s="1"/>
  <c r="I183" i="1"/>
  <c r="I172" i="1" s="1"/>
  <c r="S181" i="1"/>
  <c r="R181" i="1"/>
  <c r="U181" i="1" s="1"/>
  <c r="Q181" i="1"/>
  <c r="T181" i="1" s="1"/>
  <c r="N181" i="1"/>
  <c r="M181" i="1"/>
  <c r="L181" i="1"/>
  <c r="O181" i="1" s="1"/>
  <c r="S180" i="1"/>
  <c r="R180" i="1"/>
  <c r="Q180" i="1"/>
  <c r="N180" i="1"/>
  <c r="M180" i="1"/>
  <c r="L180" i="1"/>
  <c r="S178" i="1"/>
  <c r="S175" i="1" s="1"/>
  <c r="R178" i="1"/>
  <c r="U178" i="1" s="1"/>
  <c r="Q178" i="1"/>
  <c r="N178" i="1"/>
  <c r="M178" i="1"/>
  <c r="L178" i="1"/>
  <c r="S177" i="1"/>
  <c r="R177" i="1"/>
  <c r="Q177" i="1"/>
  <c r="Q174" i="1" s="1"/>
  <c r="N177" i="1"/>
  <c r="N174" i="1" s="1"/>
  <c r="M177" i="1"/>
  <c r="L177" i="1"/>
  <c r="J167" i="1"/>
  <c r="I167" i="1"/>
  <c r="S165" i="1"/>
  <c r="R165" i="1"/>
  <c r="U165" i="1" s="1"/>
  <c r="Q165" i="1"/>
  <c r="T165" i="1" s="1"/>
  <c r="N165" i="1"/>
  <c r="M165" i="1"/>
  <c r="P165" i="1" s="1"/>
  <c r="L165" i="1"/>
  <c r="O165" i="1" s="1"/>
  <c r="S164" i="1"/>
  <c r="S163" i="1" s="1"/>
  <c r="R164" i="1"/>
  <c r="Q164" i="1"/>
  <c r="T164" i="1" s="1"/>
  <c r="N164" i="1"/>
  <c r="M164" i="1"/>
  <c r="P164" i="1" s="1"/>
  <c r="L164" i="1"/>
  <c r="O164" i="1" s="1"/>
  <c r="S162" i="1"/>
  <c r="S159" i="1" s="1"/>
  <c r="R162" i="1"/>
  <c r="U162" i="1" s="1"/>
  <c r="Q162" i="1"/>
  <c r="T162" i="1" s="1"/>
  <c r="N162" i="1"/>
  <c r="M162" i="1"/>
  <c r="L162" i="1"/>
  <c r="S161" i="1"/>
  <c r="R161" i="1"/>
  <c r="Q161" i="1"/>
  <c r="N161" i="1"/>
  <c r="M161" i="1"/>
  <c r="P161" i="1" s="1"/>
  <c r="L161" i="1"/>
  <c r="J156" i="1"/>
  <c r="J154" i="1"/>
  <c r="J136" i="1" s="1"/>
  <c r="I154" i="1"/>
  <c r="I136" i="1" s="1"/>
  <c r="J153" i="1"/>
  <c r="J138" i="1" s="1"/>
  <c r="I153" i="1"/>
  <c r="J152" i="1"/>
  <c r="J137" i="1" s="1"/>
  <c r="I152" i="1"/>
  <c r="I137" i="1" s="1"/>
  <c r="J151" i="1"/>
  <c r="I151" i="1"/>
  <c r="J150" i="1"/>
  <c r="I150" i="1"/>
  <c r="J149" i="1"/>
  <c r="S147" i="1"/>
  <c r="R147" i="1"/>
  <c r="U147" i="1" s="1"/>
  <c r="Q147" i="1"/>
  <c r="T147" i="1" s="1"/>
  <c r="N147" i="1"/>
  <c r="M147" i="1"/>
  <c r="P147" i="1" s="1"/>
  <c r="L147" i="1"/>
  <c r="O147" i="1" s="1"/>
  <c r="S146" i="1"/>
  <c r="R146" i="1"/>
  <c r="U146" i="1" s="1"/>
  <c r="Q146" i="1"/>
  <c r="N146" i="1"/>
  <c r="M146" i="1"/>
  <c r="P146" i="1" s="1"/>
  <c r="L146" i="1"/>
  <c r="O146" i="1" s="1"/>
  <c r="S144" i="1"/>
  <c r="R144" i="1"/>
  <c r="Q144" i="1"/>
  <c r="N144" i="1"/>
  <c r="M144" i="1"/>
  <c r="L144" i="1"/>
  <c r="S143" i="1"/>
  <c r="R143" i="1"/>
  <c r="Q143" i="1"/>
  <c r="Q140" i="1" s="1"/>
  <c r="N143" i="1"/>
  <c r="M143" i="1"/>
  <c r="L143" i="1"/>
  <c r="O143" i="1" s="1"/>
  <c r="J130" i="1"/>
  <c r="I130" i="1"/>
  <c r="K130" i="1" s="1"/>
  <c r="J129" i="1"/>
  <c r="I129" i="1"/>
  <c r="J128" i="1"/>
  <c r="I128" i="1"/>
  <c r="K128" i="1" s="1"/>
  <c r="J127" i="1"/>
  <c r="J116" i="1" s="1"/>
  <c r="I127" i="1"/>
  <c r="S125" i="1"/>
  <c r="R125" i="1"/>
  <c r="Q125" i="1"/>
  <c r="N125" i="1"/>
  <c r="M125" i="1"/>
  <c r="L125" i="1"/>
  <c r="S124" i="1"/>
  <c r="S123" i="1" s="1"/>
  <c r="R124" i="1"/>
  <c r="U124" i="1" s="1"/>
  <c r="Q124" i="1"/>
  <c r="T124" i="1" s="1"/>
  <c r="N124" i="1"/>
  <c r="M124" i="1"/>
  <c r="L124" i="1"/>
  <c r="O124" i="1" s="1"/>
  <c r="S122" i="1"/>
  <c r="R122" i="1"/>
  <c r="Q122" i="1"/>
  <c r="N122" i="1"/>
  <c r="M122" i="1"/>
  <c r="P122" i="1" s="1"/>
  <c r="L122" i="1"/>
  <c r="O122" i="1" s="1"/>
  <c r="S121" i="1"/>
  <c r="R121" i="1"/>
  <c r="U121" i="1" s="1"/>
  <c r="Q121" i="1"/>
  <c r="T121" i="1" s="1"/>
  <c r="N121" i="1"/>
  <c r="M121" i="1"/>
  <c r="L121" i="1"/>
  <c r="O121" i="1" s="1"/>
  <c r="J114" i="1"/>
  <c r="I114" i="1"/>
  <c r="J113" i="1"/>
  <c r="I113" i="1"/>
  <c r="J109" i="1"/>
  <c r="J93" i="1" s="1"/>
  <c r="I109" i="1"/>
  <c r="J108" i="1"/>
  <c r="J92" i="1" s="1"/>
  <c r="I108" i="1"/>
  <c r="I92" i="1" s="1"/>
  <c r="S102" i="1"/>
  <c r="R102" i="1"/>
  <c r="Q102" i="1"/>
  <c r="N102" i="1"/>
  <c r="M102" i="1"/>
  <c r="P102" i="1" s="1"/>
  <c r="L102" i="1"/>
  <c r="S101" i="1"/>
  <c r="R101" i="1"/>
  <c r="Q101" i="1"/>
  <c r="N101" i="1"/>
  <c r="M101" i="1"/>
  <c r="P101" i="1" s="1"/>
  <c r="L101" i="1"/>
  <c r="S99" i="1"/>
  <c r="R99" i="1"/>
  <c r="Q99" i="1"/>
  <c r="Q96" i="1" s="1"/>
  <c r="N99" i="1"/>
  <c r="M99" i="1"/>
  <c r="L99" i="1"/>
  <c r="L96" i="1" s="1"/>
  <c r="O96" i="1" s="1"/>
  <c r="S98" i="1"/>
  <c r="S95" i="1" s="1"/>
  <c r="R98" i="1"/>
  <c r="U98" i="1" s="1"/>
  <c r="Q98" i="1"/>
  <c r="N98" i="1"/>
  <c r="M98" i="1"/>
  <c r="P98" i="1" s="1"/>
  <c r="L98" i="1"/>
  <c r="O98" i="1" s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S80" i="1"/>
  <c r="R80" i="1"/>
  <c r="Q80" i="1"/>
  <c r="T80" i="1" s="1"/>
  <c r="N80" i="1"/>
  <c r="M80" i="1"/>
  <c r="P80" i="1" s="1"/>
  <c r="L80" i="1"/>
  <c r="S79" i="1"/>
  <c r="R79" i="1"/>
  <c r="U79" i="1" s="1"/>
  <c r="Q79" i="1"/>
  <c r="N79" i="1"/>
  <c r="M79" i="1"/>
  <c r="L79" i="1"/>
  <c r="O79" i="1" s="1"/>
  <c r="S77" i="1"/>
  <c r="S74" i="1" s="1"/>
  <c r="R77" i="1"/>
  <c r="Q77" i="1"/>
  <c r="N77" i="1"/>
  <c r="M77" i="1"/>
  <c r="L77" i="1"/>
  <c r="L74" i="1" s="1"/>
  <c r="S76" i="1"/>
  <c r="R76" i="1"/>
  <c r="Q76" i="1"/>
  <c r="Q75" i="1" s="1"/>
  <c r="N76" i="1"/>
  <c r="M76" i="1"/>
  <c r="L76" i="1"/>
  <c r="O76" i="1" s="1"/>
  <c r="S67" i="1"/>
  <c r="R67" i="1"/>
  <c r="U67" i="1" s="1"/>
  <c r="Q67" i="1"/>
  <c r="T67" i="1" s="1"/>
  <c r="N67" i="1"/>
  <c r="M67" i="1"/>
  <c r="L67" i="1"/>
  <c r="S66" i="1"/>
  <c r="S65" i="1" s="1"/>
  <c r="R66" i="1"/>
  <c r="U66" i="1" s="1"/>
  <c r="Q66" i="1"/>
  <c r="T66" i="1" s="1"/>
  <c r="N66" i="1"/>
  <c r="M66" i="1"/>
  <c r="L66" i="1"/>
  <c r="O66" i="1" s="1"/>
  <c r="S64" i="1"/>
  <c r="S61" i="1" s="1"/>
  <c r="R64" i="1"/>
  <c r="U64" i="1" s="1"/>
  <c r="Q64" i="1"/>
  <c r="T64" i="1" s="1"/>
  <c r="N64" i="1"/>
  <c r="M64" i="1"/>
  <c r="L64" i="1"/>
  <c r="S63" i="1"/>
  <c r="R63" i="1"/>
  <c r="U63" i="1" s="1"/>
  <c r="Q63" i="1"/>
  <c r="N63" i="1"/>
  <c r="M63" i="1"/>
  <c r="L63" i="1"/>
  <c r="O63" i="1" s="1"/>
  <c r="S52" i="1"/>
  <c r="S50" i="1" s="1"/>
  <c r="R52" i="1"/>
  <c r="R50" i="1" s="1"/>
  <c r="U50" i="1" s="1"/>
  <c r="Q52" i="1"/>
  <c r="T52" i="1" s="1"/>
  <c r="N52" i="1"/>
  <c r="N50" i="1" s="1"/>
  <c r="M52" i="1"/>
  <c r="P52" i="1" s="1"/>
  <c r="L52" i="1"/>
  <c r="L50" i="1" s="1"/>
  <c r="O50" i="1" s="1"/>
  <c r="U51" i="1"/>
  <c r="T51" i="1"/>
  <c r="P51" i="1"/>
  <c r="O51" i="1"/>
  <c r="S49" i="1"/>
  <c r="S47" i="1" s="1"/>
  <c r="R49" i="1"/>
  <c r="Q49" i="1"/>
  <c r="N49" i="1"/>
  <c r="N47" i="1" s="1"/>
  <c r="M49" i="1"/>
  <c r="L49" i="1"/>
  <c r="U48" i="1"/>
  <c r="T48" i="1"/>
  <c r="P48" i="1"/>
  <c r="O48" i="1"/>
  <c r="T45" i="1"/>
  <c r="S45" i="1"/>
  <c r="R45" i="1"/>
  <c r="U45" i="1" s="1"/>
  <c r="Q45" i="1"/>
  <c r="N45" i="1"/>
  <c r="M45" i="1"/>
  <c r="L45" i="1"/>
  <c r="O45" i="1" s="1"/>
  <c r="S192" i="1" l="1"/>
  <c r="N720" i="1"/>
  <c r="N416" i="1"/>
  <c r="L232" i="1"/>
  <c r="N514" i="1"/>
  <c r="S339" i="1"/>
  <c r="N648" i="1"/>
  <c r="S600" i="1"/>
  <c r="M176" i="1"/>
  <c r="M141" i="1"/>
  <c r="R232" i="1"/>
  <c r="R214" i="1"/>
  <c r="S222" i="1"/>
  <c r="N141" i="1"/>
  <c r="S622" i="1"/>
  <c r="R100" i="1"/>
  <c r="U100" i="1" s="1"/>
  <c r="M358" i="3"/>
  <c r="M356" i="3" s="1"/>
  <c r="L272" i="14"/>
  <c r="O272" i="14" s="1"/>
  <c r="O271" i="14"/>
  <c r="N322" i="1"/>
  <c r="N320" i="1" s="1"/>
  <c r="N283" i="1"/>
  <c r="N282" i="1" s="1"/>
  <c r="K779" i="15"/>
  <c r="P269" i="15"/>
  <c r="K705" i="15"/>
  <c r="K183" i="15"/>
  <c r="O64" i="14"/>
  <c r="T765" i="15"/>
  <c r="K433" i="15"/>
  <c r="K424" i="15"/>
  <c r="M415" i="15"/>
  <c r="M413" i="15" s="1"/>
  <c r="L159" i="15"/>
  <c r="R734" i="1"/>
  <c r="U734" i="1" s="1"/>
  <c r="M377" i="15"/>
  <c r="P377" i="15" s="1"/>
  <c r="K346" i="15"/>
  <c r="P338" i="15"/>
  <c r="P308" i="15"/>
  <c r="P287" i="15"/>
  <c r="P64" i="15"/>
  <c r="U308" i="14"/>
  <c r="M285" i="15"/>
  <c r="P285" i="15" s="1"/>
  <c r="R269" i="13"/>
  <c r="K629" i="15"/>
  <c r="K369" i="15"/>
  <c r="O181" i="15"/>
  <c r="U178" i="15"/>
  <c r="K127" i="15"/>
  <c r="U416" i="15"/>
  <c r="Q731" i="13"/>
  <c r="K781" i="14"/>
  <c r="K784" i="15"/>
  <c r="K778" i="15"/>
  <c r="S763" i="15"/>
  <c r="U763" i="15" s="1"/>
  <c r="K727" i="15"/>
  <c r="N96" i="15"/>
  <c r="N94" i="15" s="1"/>
  <c r="P75" i="15"/>
  <c r="U122" i="13"/>
  <c r="N377" i="14"/>
  <c r="N375" i="14" s="1"/>
  <c r="R693" i="15"/>
  <c r="U693" i="15" s="1"/>
  <c r="S692" i="15"/>
  <c r="S690" i="15" s="1"/>
  <c r="M605" i="15"/>
  <c r="P605" i="15" s="1"/>
  <c r="L601" i="15"/>
  <c r="O601" i="15" s="1"/>
  <c r="N515" i="15"/>
  <c r="N513" i="15" s="1"/>
  <c r="M326" i="14"/>
  <c r="P326" i="14" s="1"/>
  <c r="P271" i="14"/>
  <c r="K265" i="14"/>
  <c r="K783" i="15"/>
  <c r="K780" i="15"/>
  <c r="S760" i="15"/>
  <c r="O380" i="15"/>
  <c r="K154" i="15"/>
  <c r="U77" i="15"/>
  <c r="M62" i="15"/>
  <c r="P62" i="15" s="1"/>
  <c r="K249" i="14"/>
  <c r="K782" i="15"/>
  <c r="L536" i="15"/>
  <c r="O536" i="15" s="1"/>
  <c r="O341" i="15"/>
  <c r="K779" i="14"/>
  <c r="P62" i="14"/>
  <c r="Q762" i="15"/>
  <c r="T762" i="15" s="1"/>
  <c r="K709" i="15"/>
  <c r="K371" i="15"/>
  <c r="O99" i="15"/>
  <c r="P80" i="15"/>
  <c r="P77" i="15"/>
  <c r="I238" i="15"/>
  <c r="K238" i="15" s="1"/>
  <c r="K778" i="13"/>
  <c r="K386" i="13"/>
  <c r="K368" i="13"/>
  <c r="K784" i="14"/>
  <c r="K772" i="14"/>
  <c r="U765" i="15"/>
  <c r="Q763" i="15"/>
  <c r="M578" i="15"/>
  <c r="M576" i="15" s="1"/>
  <c r="P563" i="15"/>
  <c r="U495" i="15"/>
  <c r="S415" i="15"/>
  <c r="S413" i="15" s="1"/>
  <c r="N322" i="15"/>
  <c r="N320" i="15" s="1"/>
  <c r="M306" i="15"/>
  <c r="P306" i="15" s="1"/>
  <c r="N268" i="15"/>
  <c r="N266" i="15" s="1"/>
  <c r="Q74" i="15"/>
  <c r="L272" i="13"/>
  <c r="O272" i="13" s="1"/>
  <c r="K630" i="14"/>
  <c r="K229" i="14"/>
  <c r="J702" i="15"/>
  <c r="P581" i="15"/>
  <c r="O563" i="15"/>
  <c r="U418" i="15"/>
  <c r="S378" i="15"/>
  <c r="T378" i="15" s="1"/>
  <c r="M358" i="15"/>
  <c r="M356" i="15" s="1"/>
  <c r="O308" i="15"/>
  <c r="I253" i="15"/>
  <c r="K253" i="15" s="1"/>
  <c r="M188" i="15"/>
  <c r="M186" i="15" s="1"/>
  <c r="I93" i="15"/>
  <c r="K93" i="15" s="1"/>
  <c r="N232" i="1"/>
  <c r="O232" i="1" s="1"/>
  <c r="K344" i="13"/>
  <c r="S645" i="14"/>
  <c r="K152" i="14"/>
  <c r="K781" i="15"/>
  <c r="U733" i="15"/>
  <c r="S644" i="15"/>
  <c r="S642" i="15" s="1"/>
  <c r="N578" i="15"/>
  <c r="N576" i="15" s="1"/>
  <c r="N495" i="15"/>
  <c r="N493" i="15" s="1"/>
  <c r="O361" i="15"/>
  <c r="N305" i="15"/>
  <c r="N303" i="15" s="1"/>
  <c r="S303" i="15"/>
  <c r="M192" i="15"/>
  <c r="P192" i="15" s="1"/>
  <c r="O191" i="15"/>
  <c r="L189" i="15"/>
  <c r="N159" i="15"/>
  <c r="N157" i="15" s="1"/>
  <c r="O64" i="15"/>
  <c r="P122" i="13"/>
  <c r="R730" i="15"/>
  <c r="R728" i="15" s="1"/>
  <c r="R645" i="15"/>
  <c r="U645" i="15" s="1"/>
  <c r="M557" i="15"/>
  <c r="P557" i="15" s="1"/>
  <c r="L243" i="15"/>
  <c r="O243" i="15" s="1"/>
  <c r="L203" i="15"/>
  <c r="O203" i="15" s="1"/>
  <c r="Q176" i="15"/>
  <c r="T176" i="15" s="1"/>
  <c r="K153" i="15"/>
  <c r="M123" i="15"/>
  <c r="P123" i="15" s="1"/>
  <c r="R140" i="1"/>
  <c r="U140" i="1" s="1"/>
  <c r="N96" i="14"/>
  <c r="N94" i="14" s="1"/>
  <c r="R762" i="15"/>
  <c r="U762" i="15" s="1"/>
  <c r="T731" i="15"/>
  <c r="K249" i="15"/>
  <c r="T178" i="15"/>
  <c r="L175" i="15"/>
  <c r="L173" i="15" s="1"/>
  <c r="O75" i="15"/>
  <c r="R303" i="15"/>
  <c r="U305" i="15"/>
  <c r="Q730" i="15"/>
  <c r="M714" i="15"/>
  <c r="P714" i="15" s="1"/>
  <c r="N601" i="15"/>
  <c r="N599" i="15" s="1"/>
  <c r="N602" i="15"/>
  <c r="L499" i="15"/>
  <c r="O499" i="15" s="1"/>
  <c r="O501" i="15"/>
  <c r="L392" i="15"/>
  <c r="O392" i="15" s="1"/>
  <c r="M326" i="15"/>
  <c r="P326" i="15" s="1"/>
  <c r="P328" i="15"/>
  <c r="I302" i="15"/>
  <c r="K302" i="15" s="1"/>
  <c r="K314" i="15"/>
  <c r="L309" i="15"/>
  <c r="O309" i="15" s="1"/>
  <c r="O311" i="15"/>
  <c r="I281" i="15"/>
  <c r="K281" i="15" s="1"/>
  <c r="K292" i="15"/>
  <c r="U271" i="15"/>
  <c r="S269" i="15"/>
  <c r="L268" i="15"/>
  <c r="L266" i="15" s="1"/>
  <c r="L269" i="15"/>
  <c r="O269" i="15" s="1"/>
  <c r="R141" i="15"/>
  <c r="R139" i="15" s="1"/>
  <c r="P416" i="13"/>
  <c r="P189" i="14"/>
  <c r="K785" i="15"/>
  <c r="K726" i="15"/>
  <c r="N536" i="15"/>
  <c r="N534" i="15" s="1"/>
  <c r="N537" i="15"/>
  <c r="L519" i="15"/>
  <c r="O519" i="15" s="1"/>
  <c r="O521" i="15"/>
  <c r="N496" i="15"/>
  <c r="O496" i="15" s="1"/>
  <c r="Q415" i="15"/>
  <c r="Q413" i="15" s="1"/>
  <c r="Q416" i="15"/>
  <c r="T416" i="15" s="1"/>
  <c r="J332" i="15"/>
  <c r="K332" i="15" s="1"/>
  <c r="J343" i="15"/>
  <c r="I195" i="15"/>
  <c r="K195" i="15" s="1"/>
  <c r="K198" i="15"/>
  <c r="M189" i="15"/>
  <c r="Q145" i="15"/>
  <c r="T145" i="15" s="1"/>
  <c r="T147" i="15"/>
  <c r="S119" i="15"/>
  <c r="S117" i="15" s="1"/>
  <c r="S120" i="15"/>
  <c r="M47" i="15"/>
  <c r="P47" i="15" s="1"/>
  <c r="P49" i="15"/>
  <c r="M393" i="1"/>
  <c r="P393" i="1" s="1"/>
  <c r="K774" i="13"/>
  <c r="U765" i="13"/>
  <c r="T733" i="13"/>
  <c r="I332" i="13"/>
  <c r="T271" i="13"/>
  <c r="Q269" i="13"/>
  <c r="T730" i="14"/>
  <c r="K705" i="14"/>
  <c r="Q378" i="14"/>
  <c r="O328" i="14"/>
  <c r="O311" i="14"/>
  <c r="T308" i="14"/>
  <c r="O77" i="14"/>
  <c r="P761" i="15"/>
  <c r="U715" i="15"/>
  <c r="N714" i="15"/>
  <c r="R644" i="15"/>
  <c r="U644" i="15" s="1"/>
  <c r="S619" i="15"/>
  <c r="T619" i="15" s="1"/>
  <c r="U607" i="15"/>
  <c r="R605" i="15"/>
  <c r="U605" i="15" s="1"/>
  <c r="S601" i="15"/>
  <c r="S599" i="15" s="1"/>
  <c r="S602" i="15"/>
  <c r="L602" i="15"/>
  <c r="O602" i="15" s="1"/>
  <c r="L582" i="15"/>
  <c r="O582" i="15" s="1"/>
  <c r="O584" i="15"/>
  <c r="R555" i="15"/>
  <c r="U555" i="15" s="1"/>
  <c r="N415" i="15"/>
  <c r="N413" i="15" s="1"/>
  <c r="N377" i="15"/>
  <c r="N375" i="15" s="1"/>
  <c r="N378" i="15"/>
  <c r="S375" i="15"/>
  <c r="L359" i="15"/>
  <c r="O359" i="15" s="1"/>
  <c r="Q356" i="15"/>
  <c r="T356" i="15" s="1"/>
  <c r="R333" i="15"/>
  <c r="U333" i="15" s="1"/>
  <c r="K330" i="15"/>
  <c r="I319" i="15"/>
  <c r="K319" i="15" s="1"/>
  <c r="M305" i="15"/>
  <c r="M303" i="15" s="1"/>
  <c r="S306" i="15"/>
  <c r="L235" i="15"/>
  <c r="N160" i="15"/>
  <c r="P160" i="15" s="1"/>
  <c r="L100" i="15"/>
  <c r="O100" i="15" s="1"/>
  <c r="O102" i="15"/>
  <c r="O47" i="15"/>
  <c r="Q19" i="15"/>
  <c r="T19" i="15" s="1"/>
  <c r="T22" i="15"/>
  <c r="N267" i="1"/>
  <c r="O383" i="12"/>
  <c r="O364" i="12"/>
  <c r="U604" i="13"/>
  <c r="K707" i="14"/>
  <c r="P341" i="14"/>
  <c r="K330" i="14"/>
  <c r="L214" i="14"/>
  <c r="O214" i="14" s="1"/>
  <c r="K169" i="14"/>
  <c r="P125" i="14"/>
  <c r="U77" i="14"/>
  <c r="P64" i="14"/>
  <c r="L62" i="14"/>
  <c r="O62" i="14" s="1"/>
  <c r="T733" i="15"/>
  <c r="L728" i="15"/>
  <c r="O728" i="15" s="1"/>
  <c r="J701" i="15"/>
  <c r="U695" i="15"/>
  <c r="N557" i="15"/>
  <c r="N555" i="15" s="1"/>
  <c r="N558" i="15"/>
  <c r="S513" i="15"/>
  <c r="P501" i="15"/>
  <c r="P414" i="15"/>
  <c r="S394" i="15"/>
  <c r="S392" i="15" s="1"/>
  <c r="M381" i="15"/>
  <c r="P381" i="15" s="1"/>
  <c r="P380" i="15"/>
  <c r="M378" i="15"/>
  <c r="P378" i="15" s="1"/>
  <c r="M362" i="15"/>
  <c r="P362" i="15" s="1"/>
  <c r="P364" i="15"/>
  <c r="P311" i="15"/>
  <c r="O287" i="15"/>
  <c r="L285" i="15"/>
  <c r="O285" i="15" s="1"/>
  <c r="K276" i="15"/>
  <c r="L272" i="15"/>
  <c r="O272" i="15" s="1"/>
  <c r="O274" i="15"/>
  <c r="O271" i="15"/>
  <c r="L234" i="15"/>
  <c r="T191" i="15"/>
  <c r="Q189" i="15"/>
  <c r="T189" i="15" s="1"/>
  <c r="K172" i="15"/>
  <c r="M163" i="15"/>
  <c r="P163" i="15" s="1"/>
  <c r="M141" i="15"/>
  <c r="M139" i="15" s="1"/>
  <c r="Q75" i="15"/>
  <c r="S44" i="15"/>
  <c r="S762" i="1"/>
  <c r="L163" i="13"/>
  <c r="O163" i="13" s="1"/>
  <c r="O77" i="13"/>
  <c r="T380" i="14"/>
  <c r="K314" i="14"/>
  <c r="L203" i="14"/>
  <c r="O203" i="14" s="1"/>
  <c r="T77" i="14"/>
  <c r="O579" i="15"/>
  <c r="P521" i="15"/>
  <c r="R496" i="15"/>
  <c r="U498" i="15"/>
  <c r="T418" i="15"/>
  <c r="M335" i="15"/>
  <c r="M333" i="15" s="1"/>
  <c r="T321" i="15"/>
  <c r="I213" i="15"/>
  <c r="K213" i="15" s="1"/>
  <c r="K220" i="15"/>
  <c r="P191" i="15"/>
  <c r="M96" i="15"/>
  <c r="Q97" i="15"/>
  <c r="R44" i="15"/>
  <c r="U44" i="15" s="1"/>
  <c r="O191" i="14"/>
  <c r="K154" i="14"/>
  <c r="K774" i="15"/>
  <c r="U731" i="15"/>
  <c r="N728" i="15"/>
  <c r="R690" i="15"/>
  <c r="I689" i="15"/>
  <c r="K689" i="15" s="1"/>
  <c r="M616" i="15"/>
  <c r="P616" i="15" s="1"/>
  <c r="P584" i="15"/>
  <c r="L558" i="15"/>
  <c r="O558" i="15" s="1"/>
  <c r="L557" i="15"/>
  <c r="O557" i="15" s="1"/>
  <c r="N516" i="15"/>
  <c r="U494" i="15"/>
  <c r="R493" i="15"/>
  <c r="U493" i="15" s="1"/>
  <c r="J365" i="15"/>
  <c r="K365" i="15" s="1"/>
  <c r="K280" i="15"/>
  <c r="S282" i="15"/>
  <c r="R269" i="15"/>
  <c r="L222" i="15"/>
  <c r="O222" i="15" s="1"/>
  <c r="Q44" i="15"/>
  <c r="T44" i="15" s="1"/>
  <c r="L19" i="15"/>
  <c r="I701" i="15"/>
  <c r="J674" i="15"/>
  <c r="L605" i="15"/>
  <c r="O605" i="15" s="1"/>
  <c r="M601" i="15"/>
  <c r="M599" i="15" s="1"/>
  <c r="P599" i="15" s="1"/>
  <c r="P579" i="15"/>
  <c r="R576" i="15"/>
  <c r="U576" i="15" s="1"/>
  <c r="O539" i="15"/>
  <c r="M516" i="15"/>
  <c r="P516" i="15" s="1"/>
  <c r="P498" i="15"/>
  <c r="O421" i="15"/>
  <c r="P418" i="15"/>
  <c r="P361" i="15"/>
  <c r="M359" i="15"/>
  <c r="P359" i="15" s="1"/>
  <c r="Q282" i="15"/>
  <c r="T282" i="15" s="1"/>
  <c r="I242" i="15"/>
  <c r="N188" i="15"/>
  <c r="L188" i="15"/>
  <c r="L186" i="15" s="1"/>
  <c r="M159" i="15"/>
  <c r="S160" i="15"/>
  <c r="N141" i="15"/>
  <c r="N139" i="15" s="1"/>
  <c r="I82" i="15"/>
  <c r="O80" i="15"/>
  <c r="O77" i="15"/>
  <c r="S59" i="15"/>
  <c r="N19" i="15"/>
  <c r="L616" i="15"/>
  <c r="O616" i="15" s="1"/>
  <c r="R601" i="15"/>
  <c r="R599" i="15" s="1"/>
  <c r="U599" i="15" s="1"/>
  <c r="M495" i="15"/>
  <c r="K368" i="15"/>
  <c r="J351" i="15"/>
  <c r="N309" i="15"/>
  <c r="S188" i="15"/>
  <c r="S186" i="15" s="1"/>
  <c r="N119" i="15"/>
  <c r="N117" i="15" s="1"/>
  <c r="S74" i="15"/>
  <c r="S72" i="15" s="1"/>
  <c r="M74" i="15"/>
  <c r="M72" i="15" s="1"/>
  <c r="S75" i="15"/>
  <c r="T693" i="15"/>
  <c r="L690" i="15"/>
  <c r="O690" i="15" s="1"/>
  <c r="J675" i="15"/>
  <c r="L642" i="15"/>
  <c r="O642" i="15" s="1"/>
  <c r="S616" i="15"/>
  <c r="M602" i="15"/>
  <c r="P602" i="15" s="1"/>
  <c r="P560" i="15"/>
  <c r="R534" i="15"/>
  <c r="U534" i="15" s="1"/>
  <c r="K432" i="15"/>
  <c r="J374" i="15"/>
  <c r="O383" i="15"/>
  <c r="S333" i="15"/>
  <c r="M322" i="15"/>
  <c r="J231" i="15"/>
  <c r="J185" i="15" s="1"/>
  <c r="L214" i="15"/>
  <c r="O214" i="15" s="1"/>
  <c r="T203" i="15"/>
  <c r="N189" i="15"/>
  <c r="M119" i="15"/>
  <c r="P119" i="15" s="1"/>
  <c r="R74" i="15"/>
  <c r="R72" i="15" s="1"/>
  <c r="L74" i="15"/>
  <c r="L72" i="15" s="1"/>
  <c r="R75" i="15"/>
  <c r="O49" i="15"/>
  <c r="Q601" i="15"/>
  <c r="O321" i="15"/>
  <c r="M272" i="15"/>
  <c r="P272" i="15" s="1"/>
  <c r="L192" i="14"/>
  <c r="O192" i="14" s="1"/>
  <c r="T380" i="15"/>
  <c r="Q377" i="15"/>
  <c r="I202" i="15"/>
  <c r="K202" i="15" s="1"/>
  <c r="K209" i="15"/>
  <c r="N188" i="11"/>
  <c r="N186" i="11" s="1"/>
  <c r="K784" i="13"/>
  <c r="K781" i="13"/>
  <c r="K709" i="13"/>
  <c r="I615" i="13"/>
  <c r="K615" i="13" s="1"/>
  <c r="K778" i="14"/>
  <c r="P584" i="14"/>
  <c r="L578" i="14"/>
  <c r="O578" i="14" s="1"/>
  <c r="L558" i="14"/>
  <c r="O558" i="14" s="1"/>
  <c r="O338" i="14"/>
  <c r="K127" i="14"/>
  <c r="P80" i="14"/>
  <c r="K772" i="15"/>
  <c r="T761" i="15"/>
  <c r="L760" i="15"/>
  <c r="O760" i="15" s="1"/>
  <c r="Q728" i="15"/>
  <c r="Q714" i="15"/>
  <c r="T714" i="15" s="1"/>
  <c r="T695" i="15"/>
  <c r="Q692" i="15"/>
  <c r="U691" i="15"/>
  <c r="O691" i="15"/>
  <c r="M690" i="15"/>
  <c r="P690" i="15" s="1"/>
  <c r="T647" i="15"/>
  <c r="Q644" i="15"/>
  <c r="T644" i="15" s="1"/>
  <c r="U643" i="15"/>
  <c r="O643" i="15"/>
  <c r="M642" i="15"/>
  <c r="P642" i="15" s="1"/>
  <c r="K632" i="15"/>
  <c r="U621" i="15"/>
  <c r="R618" i="15"/>
  <c r="U618" i="15" s="1"/>
  <c r="P617" i="15"/>
  <c r="Q605" i="15"/>
  <c r="T605" i="15" s="1"/>
  <c r="U604" i="15"/>
  <c r="O604" i="15"/>
  <c r="Q602" i="15"/>
  <c r="T602" i="15" s="1"/>
  <c r="O581" i="15"/>
  <c r="L578" i="15"/>
  <c r="Q576" i="15"/>
  <c r="T576" i="15" s="1"/>
  <c r="S555" i="15"/>
  <c r="J503" i="15"/>
  <c r="J492" i="15" s="1"/>
  <c r="I492" i="15"/>
  <c r="K425" i="15"/>
  <c r="M416" i="15"/>
  <c r="I412" i="15"/>
  <c r="R395" i="15"/>
  <c r="U395" i="15" s="1"/>
  <c r="R394" i="15"/>
  <c r="U394" i="15" s="1"/>
  <c r="U397" i="15"/>
  <c r="T393" i="15"/>
  <c r="K344" i="15"/>
  <c r="P341" i="15"/>
  <c r="N336" i="15"/>
  <c r="P336" i="15" s="1"/>
  <c r="N335" i="15"/>
  <c r="N333" i="15" s="1"/>
  <c r="P325" i="15"/>
  <c r="P181" i="15"/>
  <c r="M179" i="15"/>
  <c r="P179" i="15" s="1"/>
  <c r="O125" i="15"/>
  <c r="L123" i="15"/>
  <c r="O123" i="15" s="1"/>
  <c r="O95" i="15"/>
  <c r="M214" i="1"/>
  <c r="L236" i="15"/>
  <c r="M120" i="14"/>
  <c r="P120" i="14" s="1"/>
  <c r="L540" i="15"/>
  <c r="O540" i="15" s="1"/>
  <c r="I374" i="15"/>
  <c r="K386" i="15"/>
  <c r="U321" i="15"/>
  <c r="R320" i="15"/>
  <c r="U320" i="15" s="1"/>
  <c r="T194" i="15"/>
  <c r="Q192" i="15"/>
  <c r="T192" i="15" s="1"/>
  <c r="Q188" i="15"/>
  <c r="P73" i="15"/>
  <c r="O194" i="13"/>
  <c r="J702" i="14"/>
  <c r="O584" i="14"/>
  <c r="T498" i="14"/>
  <c r="L495" i="14"/>
  <c r="O495" i="14" s="1"/>
  <c r="Q496" i="14"/>
  <c r="T496" i="14" s="1"/>
  <c r="U418" i="14"/>
  <c r="S416" i="14"/>
  <c r="K386" i="14"/>
  <c r="I280" i="14"/>
  <c r="K280" i="14" s="1"/>
  <c r="P194" i="14"/>
  <c r="U191" i="14"/>
  <c r="L159" i="14"/>
  <c r="O159" i="14" s="1"/>
  <c r="P162" i="14"/>
  <c r="U80" i="14"/>
  <c r="O80" i="14"/>
  <c r="K703" i="15"/>
  <c r="T691" i="15"/>
  <c r="T643" i="15"/>
  <c r="T621" i="15"/>
  <c r="Q618" i="15"/>
  <c r="T618" i="15" s="1"/>
  <c r="U617" i="15"/>
  <c r="O617" i="15"/>
  <c r="P542" i="15"/>
  <c r="U536" i="15"/>
  <c r="T515" i="15"/>
  <c r="L515" i="15"/>
  <c r="O515" i="15" s="1"/>
  <c r="O514" i="15"/>
  <c r="U414" i="15"/>
  <c r="O364" i="15"/>
  <c r="L362" i="15"/>
  <c r="O362" i="15" s="1"/>
  <c r="L358" i="15"/>
  <c r="O328" i="15"/>
  <c r="N323" i="15"/>
  <c r="P323" i="15" s="1"/>
  <c r="R306" i="15"/>
  <c r="U308" i="15"/>
  <c r="L305" i="15"/>
  <c r="L306" i="15"/>
  <c r="O306" i="15" s="1"/>
  <c r="L254" i="15"/>
  <c r="O254" i="15" s="1"/>
  <c r="L233" i="15"/>
  <c r="U191" i="15"/>
  <c r="R188" i="15"/>
  <c r="R189" i="15"/>
  <c r="U189" i="15" s="1"/>
  <c r="T498" i="15"/>
  <c r="Q496" i="15"/>
  <c r="P178" i="15"/>
  <c r="M176" i="15"/>
  <c r="M175" i="15"/>
  <c r="P47" i="13"/>
  <c r="I615" i="15"/>
  <c r="K615" i="15" s="1"/>
  <c r="K780" i="13"/>
  <c r="L561" i="13"/>
  <c r="O561" i="13" s="1"/>
  <c r="P518" i="13"/>
  <c r="K293" i="13"/>
  <c r="K785" i="14"/>
  <c r="K780" i="14"/>
  <c r="K709" i="14"/>
  <c r="P518" i="14"/>
  <c r="T418" i="14"/>
  <c r="M322" i="14"/>
  <c r="P322" i="14" s="1"/>
  <c r="L236" i="14"/>
  <c r="K109" i="14"/>
  <c r="M96" i="14"/>
  <c r="M94" i="14" s="1"/>
  <c r="T80" i="14"/>
  <c r="P77" i="14"/>
  <c r="S730" i="15"/>
  <c r="S728" i="15" s="1"/>
  <c r="K631" i="15"/>
  <c r="T617" i="15"/>
  <c r="S576" i="15"/>
  <c r="O542" i="15"/>
  <c r="P539" i="15"/>
  <c r="M536" i="15"/>
  <c r="P536" i="15" s="1"/>
  <c r="P535" i="15"/>
  <c r="O518" i="15"/>
  <c r="U514" i="15"/>
  <c r="L495" i="15"/>
  <c r="S496" i="15"/>
  <c r="N416" i="15"/>
  <c r="O416" i="15" s="1"/>
  <c r="O418" i="15"/>
  <c r="P393" i="15"/>
  <c r="M392" i="15"/>
  <c r="P392" i="15" s="1"/>
  <c r="U380" i="15"/>
  <c r="S356" i="15"/>
  <c r="L335" i="15"/>
  <c r="O338" i="15"/>
  <c r="L336" i="15"/>
  <c r="K293" i="15"/>
  <c r="N284" i="15"/>
  <c r="N282" i="15" s="1"/>
  <c r="R266" i="15"/>
  <c r="S19" i="15"/>
  <c r="K440" i="15"/>
  <c r="J423" i="15"/>
  <c r="J412" i="15" s="1"/>
  <c r="Q333" i="15"/>
  <c r="T333" i="15" s="1"/>
  <c r="P290" i="15"/>
  <c r="M288" i="15"/>
  <c r="P288" i="15" s="1"/>
  <c r="O52" i="15"/>
  <c r="L26" i="15"/>
  <c r="O26" i="15" s="1"/>
  <c r="L50" i="15"/>
  <c r="O50" i="15" s="1"/>
  <c r="L288" i="15"/>
  <c r="O288" i="15" s="1"/>
  <c r="O290" i="15"/>
  <c r="L362" i="13"/>
  <c r="O362" i="13" s="1"/>
  <c r="K220" i="13"/>
  <c r="U415" i="14"/>
  <c r="K368" i="14"/>
  <c r="J332" i="14"/>
  <c r="L254" i="14"/>
  <c r="O254" i="14" s="1"/>
  <c r="L234" i="14"/>
  <c r="P191" i="14"/>
  <c r="P178" i="14"/>
  <c r="K630" i="15"/>
  <c r="U557" i="15"/>
  <c r="P556" i="15"/>
  <c r="Q495" i="15"/>
  <c r="T495" i="15" s="1"/>
  <c r="U393" i="15"/>
  <c r="R377" i="15"/>
  <c r="L322" i="15"/>
  <c r="O325" i="15"/>
  <c r="L323" i="15"/>
  <c r="R282" i="15"/>
  <c r="U282" i="15" s="1"/>
  <c r="S268" i="15"/>
  <c r="S266" i="15" s="1"/>
  <c r="N175" i="15"/>
  <c r="N173" i="15" s="1"/>
  <c r="O178" i="15"/>
  <c r="N176" i="15"/>
  <c r="O176" i="15" s="1"/>
  <c r="P147" i="15"/>
  <c r="M145" i="15"/>
  <c r="P145" i="15" s="1"/>
  <c r="T140" i="15"/>
  <c r="O147" i="15"/>
  <c r="L145" i="15"/>
  <c r="O145" i="15" s="1"/>
  <c r="U122" i="15"/>
  <c r="R120" i="15"/>
  <c r="R119" i="15"/>
  <c r="M515" i="15"/>
  <c r="J457" i="15"/>
  <c r="Q394" i="15"/>
  <c r="T394" i="15" s="1"/>
  <c r="L284" i="15"/>
  <c r="M268" i="15"/>
  <c r="P271" i="15"/>
  <c r="N26" i="15"/>
  <c r="N24" i="15" s="1"/>
  <c r="P45" i="15"/>
  <c r="O498" i="15"/>
  <c r="P494" i="15"/>
  <c r="M419" i="15"/>
  <c r="P419" i="15" s="1"/>
  <c r="T397" i="15"/>
  <c r="O393" i="15"/>
  <c r="L377" i="15"/>
  <c r="Q305" i="15"/>
  <c r="T308" i="15"/>
  <c r="Q306" i="15"/>
  <c r="Q268" i="15"/>
  <c r="T271" i="15"/>
  <c r="Q269" i="15"/>
  <c r="U99" i="15"/>
  <c r="S97" i="15"/>
  <c r="U97" i="15" s="1"/>
  <c r="S96" i="15"/>
  <c r="T96" i="15" s="1"/>
  <c r="T99" i="15"/>
  <c r="P52" i="15"/>
  <c r="M26" i="15"/>
  <c r="P26" i="15" s="1"/>
  <c r="M50" i="15"/>
  <c r="P50" i="15" s="1"/>
  <c r="L46" i="15"/>
  <c r="R415" i="15"/>
  <c r="L415" i="15"/>
  <c r="N358" i="15"/>
  <c r="M284" i="15"/>
  <c r="O194" i="15"/>
  <c r="S175" i="15"/>
  <c r="S173" i="15" s="1"/>
  <c r="S176" i="15"/>
  <c r="P144" i="15"/>
  <c r="M142" i="15"/>
  <c r="P142" i="15" s="1"/>
  <c r="T122" i="15"/>
  <c r="Q120" i="15"/>
  <c r="Q119" i="15"/>
  <c r="P99" i="15"/>
  <c r="M97" i="15"/>
  <c r="P97" i="15" s="1"/>
  <c r="Q26" i="15"/>
  <c r="U22" i="15"/>
  <c r="O162" i="15"/>
  <c r="L160" i="15"/>
  <c r="S141" i="15"/>
  <c r="K108" i="15"/>
  <c r="P102" i="15"/>
  <c r="M100" i="15"/>
  <c r="P100" i="15" s="1"/>
  <c r="R19" i="15"/>
  <c r="I221" i="15"/>
  <c r="K221" i="15" s="1"/>
  <c r="Q173" i="15"/>
  <c r="T173" i="15" s="1"/>
  <c r="T174" i="15"/>
  <c r="L119" i="15"/>
  <c r="M46" i="15"/>
  <c r="U25" i="15"/>
  <c r="P19" i="15"/>
  <c r="O165" i="15"/>
  <c r="L163" i="15"/>
  <c r="O163" i="15" s="1"/>
  <c r="U147" i="15"/>
  <c r="R145" i="15"/>
  <c r="U145" i="15" s="1"/>
  <c r="O144" i="15"/>
  <c r="L142" i="15"/>
  <c r="O142" i="15" s="1"/>
  <c r="L141" i="15"/>
  <c r="U95" i="15"/>
  <c r="I83" i="15"/>
  <c r="O62" i="15"/>
  <c r="I156" i="15"/>
  <c r="K156" i="15" s="1"/>
  <c r="K167" i="15"/>
  <c r="I168" i="15"/>
  <c r="K168" i="15" s="1"/>
  <c r="U162" i="15"/>
  <c r="R160" i="15"/>
  <c r="U160" i="15" s="1"/>
  <c r="T144" i="15"/>
  <c r="S142" i="15"/>
  <c r="T142" i="15" s="1"/>
  <c r="U125" i="15"/>
  <c r="R123" i="15"/>
  <c r="U123" i="15" s="1"/>
  <c r="O122" i="15"/>
  <c r="L120" i="15"/>
  <c r="O120" i="15" s="1"/>
  <c r="Q94" i="15"/>
  <c r="T95" i="15"/>
  <c r="S26" i="15"/>
  <c r="S24" i="15" s="1"/>
  <c r="P25" i="15"/>
  <c r="O19" i="15"/>
  <c r="R176" i="15"/>
  <c r="U176" i="15" s="1"/>
  <c r="R173" i="15"/>
  <c r="U173" i="15" s="1"/>
  <c r="T162" i="15"/>
  <c r="Q160" i="15"/>
  <c r="T160" i="15" s="1"/>
  <c r="R159" i="15"/>
  <c r="Q157" i="15"/>
  <c r="T157" i="15" s="1"/>
  <c r="U144" i="15"/>
  <c r="R142" i="15"/>
  <c r="T125" i="15"/>
  <c r="Q123" i="15"/>
  <c r="T123" i="15" s="1"/>
  <c r="R26" i="15"/>
  <c r="U26" i="15" s="1"/>
  <c r="P67" i="15"/>
  <c r="M65" i="15"/>
  <c r="P65" i="15" s="1"/>
  <c r="M61" i="15"/>
  <c r="M59" i="15" s="1"/>
  <c r="P60" i="15"/>
  <c r="O25" i="15"/>
  <c r="N23" i="15"/>
  <c r="N21" i="15" s="1"/>
  <c r="P22" i="15"/>
  <c r="O67" i="15"/>
  <c r="L65" i="15"/>
  <c r="O65" i="15" s="1"/>
  <c r="L61" i="15"/>
  <c r="O22" i="15"/>
  <c r="P162" i="15"/>
  <c r="T158" i="15"/>
  <c r="Q141" i="15"/>
  <c r="U140" i="15"/>
  <c r="O140" i="15"/>
  <c r="P122" i="15"/>
  <c r="T118" i="15"/>
  <c r="R96" i="15"/>
  <c r="R94" i="15" s="1"/>
  <c r="L96" i="15"/>
  <c r="O96" i="15" s="1"/>
  <c r="P95" i="15"/>
  <c r="T80" i="15"/>
  <c r="T77" i="15"/>
  <c r="N74" i="15"/>
  <c r="N61" i="15"/>
  <c r="N59" i="15" s="1"/>
  <c r="N46" i="15"/>
  <c r="N44" i="15" s="1"/>
  <c r="S23" i="15"/>
  <c r="M23" i="15"/>
  <c r="I137" i="15"/>
  <c r="K137" i="15" s="1"/>
  <c r="K85" i="15"/>
  <c r="R23" i="15"/>
  <c r="R21" i="15" s="1"/>
  <c r="L23" i="15"/>
  <c r="L21" i="15" s="1"/>
  <c r="Q23" i="15"/>
  <c r="M322" i="12"/>
  <c r="P322" i="12" s="1"/>
  <c r="K330" i="13"/>
  <c r="I319" i="13"/>
  <c r="K319" i="13" s="1"/>
  <c r="M309" i="13"/>
  <c r="P309" i="13" s="1"/>
  <c r="P311" i="13"/>
  <c r="M145" i="13"/>
  <c r="P145" i="13" s="1"/>
  <c r="Q75" i="13"/>
  <c r="T75" i="13" s="1"/>
  <c r="T77" i="13"/>
  <c r="S97" i="14"/>
  <c r="T97" i="14" s="1"/>
  <c r="S96" i="14"/>
  <c r="S94" i="14" s="1"/>
  <c r="O49" i="14"/>
  <c r="L47" i="14"/>
  <c r="O47" i="14" s="1"/>
  <c r="S645" i="13"/>
  <c r="P539" i="13"/>
  <c r="L309" i="13"/>
  <c r="O309" i="13" s="1"/>
  <c r="O311" i="13"/>
  <c r="S159" i="13"/>
  <c r="S157" i="13" s="1"/>
  <c r="S160" i="13"/>
  <c r="U765" i="14"/>
  <c r="R763" i="14"/>
  <c r="U763" i="14" s="1"/>
  <c r="R731" i="14"/>
  <c r="R730" i="14"/>
  <c r="U730" i="14" s="1"/>
  <c r="U733" i="14"/>
  <c r="S601" i="14"/>
  <c r="S599" i="14" s="1"/>
  <c r="M557" i="14"/>
  <c r="P557" i="14" s="1"/>
  <c r="M558" i="14"/>
  <c r="P558" i="14" s="1"/>
  <c r="P560" i="14"/>
  <c r="M415" i="14"/>
  <c r="M413" i="14" s="1"/>
  <c r="M416" i="14"/>
  <c r="P416" i="14" s="1"/>
  <c r="J374" i="14"/>
  <c r="L377" i="14"/>
  <c r="O377" i="14" s="1"/>
  <c r="Q268" i="14"/>
  <c r="Q266" i="14" s="1"/>
  <c r="Q269" i="14"/>
  <c r="T269" i="14" s="1"/>
  <c r="T271" i="14"/>
  <c r="L141" i="14"/>
  <c r="L139" i="14" s="1"/>
  <c r="O139" i="14" s="1"/>
  <c r="Q214" i="1"/>
  <c r="Q232" i="1"/>
  <c r="M579" i="13"/>
  <c r="P579" i="13" s="1"/>
  <c r="I302" i="13"/>
  <c r="K302" i="13" s="1"/>
  <c r="K314" i="13"/>
  <c r="L285" i="13"/>
  <c r="O285" i="13" s="1"/>
  <c r="O287" i="13"/>
  <c r="Q78" i="13"/>
  <c r="T78" i="13" s="1"/>
  <c r="T80" i="13"/>
  <c r="Q731" i="14"/>
  <c r="T733" i="14"/>
  <c r="R602" i="14"/>
  <c r="U602" i="14" s="1"/>
  <c r="U604" i="14"/>
  <c r="N415" i="14"/>
  <c r="N413" i="14" s="1"/>
  <c r="S378" i="14"/>
  <c r="S377" i="14"/>
  <c r="T377" i="14" s="1"/>
  <c r="M419" i="12"/>
  <c r="P419" i="12" s="1"/>
  <c r="L309" i="12"/>
  <c r="O309" i="12" s="1"/>
  <c r="L305" i="12"/>
  <c r="O305" i="12" s="1"/>
  <c r="O328" i="13"/>
  <c r="Q119" i="13"/>
  <c r="J701" i="14"/>
  <c r="M561" i="14"/>
  <c r="P561" i="14" s="1"/>
  <c r="N557" i="14"/>
  <c r="N555" i="14" s="1"/>
  <c r="L519" i="14"/>
  <c r="O519" i="14" s="1"/>
  <c r="O521" i="14"/>
  <c r="K504" i="14"/>
  <c r="J503" i="14"/>
  <c r="J492" i="14" s="1"/>
  <c r="P359" i="14"/>
  <c r="J351" i="14"/>
  <c r="Q282" i="14"/>
  <c r="T282" i="14" s="1"/>
  <c r="T284" i="14"/>
  <c r="I138" i="14"/>
  <c r="K138" i="14" s="1"/>
  <c r="K153" i="14"/>
  <c r="J675" i="12"/>
  <c r="U194" i="12"/>
  <c r="K183" i="12"/>
  <c r="T144" i="12"/>
  <c r="S731" i="13"/>
  <c r="K705" i="13"/>
  <c r="K703" i="14"/>
  <c r="I701" i="14"/>
  <c r="S693" i="14"/>
  <c r="T693" i="14" s="1"/>
  <c r="S692" i="14"/>
  <c r="S690" i="14" s="1"/>
  <c r="Q645" i="14"/>
  <c r="T645" i="14" s="1"/>
  <c r="T647" i="14"/>
  <c r="M419" i="14"/>
  <c r="P419" i="14" s="1"/>
  <c r="P421" i="14"/>
  <c r="Q44" i="14"/>
  <c r="T44" i="14" s="1"/>
  <c r="T46" i="14"/>
  <c r="R174" i="1"/>
  <c r="U174" i="1" s="1"/>
  <c r="U496" i="13"/>
  <c r="R75" i="13"/>
  <c r="U75" i="13" s="1"/>
  <c r="U77" i="13"/>
  <c r="K632" i="14"/>
  <c r="L540" i="14"/>
  <c r="O540" i="14" s="1"/>
  <c r="O542" i="14"/>
  <c r="L536" i="14"/>
  <c r="O536" i="14" s="1"/>
  <c r="L419" i="14"/>
  <c r="O419" i="14" s="1"/>
  <c r="O421" i="14"/>
  <c r="K344" i="14"/>
  <c r="I332" i="14"/>
  <c r="L284" i="14"/>
  <c r="O284" i="14" s="1"/>
  <c r="O287" i="14"/>
  <c r="L285" i="14"/>
  <c r="O285" i="14" s="1"/>
  <c r="L243" i="14"/>
  <c r="T99" i="14"/>
  <c r="M192" i="13"/>
  <c r="P192" i="13" s="1"/>
  <c r="M96" i="13"/>
  <c r="M94" i="13" s="1"/>
  <c r="R78" i="13"/>
  <c r="U78" i="13" s="1"/>
  <c r="M714" i="14"/>
  <c r="P714" i="14" s="1"/>
  <c r="J674" i="14"/>
  <c r="K631" i="14"/>
  <c r="U621" i="14"/>
  <c r="N616" i="14"/>
  <c r="M578" i="14"/>
  <c r="P578" i="14" s="1"/>
  <c r="S555" i="14"/>
  <c r="P542" i="14"/>
  <c r="L415" i="14"/>
  <c r="L413" i="14" s="1"/>
  <c r="R416" i="14"/>
  <c r="R413" i="14"/>
  <c r="K369" i="14"/>
  <c r="P361" i="14"/>
  <c r="R306" i="14"/>
  <c r="U306" i="14" s="1"/>
  <c r="P287" i="14"/>
  <c r="K276" i="14"/>
  <c r="U271" i="14"/>
  <c r="U194" i="14"/>
  <c r="N175" i="14"/>
  <c r="N173" i="14" s="1"/>
  <c r="K116" i="14"/>
  <c r="K108" i="14"/>
  <c r="P49" i="14"/>
  <c r="N19" i="14"/>
  <c r="S306" i="13"/>
  <c r="R141" i="13"/>
  <c r="R139" i="13" s="1"/>
  <c r="S731" i="14"/>
  <c r="M728" i="14"/>
  <c r="P728" i="14" s="1"/>
  <c r="M616" i="14"/>
  <c r="P616" i="14" s="1"/>
  <c r="N601" i="14"/>
  <c r="N599" i="14" s="1"/>
  <c r="S495" i="14"/>
  <c r="S493" i="14" s="1"/>
  <c r="J458" i="14"/>
  <c r="Q416" i="14"/>
  <c r="N358" i="14"/>
  <c r="N356" i="14" s="1"/>
  <c r="K346" i="14"/>
  <c r="P338" i="14"/>
  <c r="L305" i="14"/>
  <c r="Q306" i="14"/>
  <c r="T306" i="14" s="1"/>
  <c r="R282" i="14"/>
  <c r="U282" i="14" s="1"/>
  <c r="R269" i="14"/>
  <c r="U269" i="14" s="1"/>
  <c r="S188" i="14"/>
  <c r="S186" i="14" s="1"/>
  <c r="M188" i="14"/>
  <c r="M186" i="14" s="1"/>
  <c r="S189" i="14"/>
  <c r="S176" i="14"/>
  <c r="P165" i="14"/>
  <c r="N159" i="14"/>
  <c r="N157" i="14" s="1"/>
  <c r="N141" i="14"/>
  <c r="N139" i="14" s="1"/>
  <c r="N119" i="14"/>
  <c r="N117" i="14" s="1"/>
  <c r="R74" i="14"/>
  <c r="U74" i="14" s="1"/>
  <c r="L74" i="14"/>
  <c r="S44" i="14"/>
  <c r="R44" i="14"/>
  <c r="U44" i="14" s="1"/>
  <c r="K153" i="13"/>
  <c r="Q763" i="14"/>
  <c r="T763" i="14" s="1"/>
  <c r="L760" i="14"/>
  <c r="O760" i="14" s="1"/>
  <c r="L728" i="14"/>
  <c r="O728" i="14" s="1"/>
  <c r="Q714" i="14"/>
  <c r="T714" i="14" s="1"/>
  <c r="L690" i="14"/>
  <c r="O690" i="14" s="1"/>
  <c r="K629" i="14"/>
  <c r="N578" i="14"/>
  <c r="N576" i="14" s="1"/>
  <c r="N579" i="14"/>
  <c r="O336" i="14"/>
  <c r="S320" i="14"/>
  <c r="L306" i="14"/>
  <c r="O306" i="14" s="1"/>
  <c r="L268" i="14"/>
  <c r="L266" i="14" s="1"/>
  <c r="L222" i="14"/>
  <c r="O222" i="14" s="1"/>
  <c r="R188" i="14"/>
  <c r="R186" i="14" s="1"/>
  <c r="L188" i="14"/>
  <c r="L186" i="14" s="1"/>
  <c r="R189" i="14"/>
  <c r="N176" i="14"/>
  <c r="P176" i="14" s="1"/>
  <c r="M159" i="14"/>
  <c r="M157" i="14" s="1"/>
  <c r="S160" i="14"/>
  <c r="N142" i="14"/>
  <c r="M119" i="14"/>
  <c r="Q74" i="14"/>
  <c r="T74" i="14" s="1"/>
  <c r="L19" i="14"/>
  <c r="T305" i="13"/>
  <c r="L236" i="13"/>
  <c r="I83" i="13"/>
  <c r="I71" i="13" s="1"/>
  <c r="K71" i="13" s="1"/>
  <c r="T765" i="14"/>
  <c r="S728" i="14"/>
  <c r="N714" i="14"/>
  <c r="M690" i="14"/>
  <c r="P690" i="14" s="1"/>
  <c r="R618" i="14"/>
  <c r="R616" i="14" s="1"/>
  <c r="N602" i="14"/>
  <c r="N495" i="14"/>
  <c r="N493" i="14" s="1"/>
  <c r="O418" i="14"/>
  <c r="L416" i="14"/>
  <c r="O416" i="14" s="1"/>
  <c r="J343" i="14"/>
  <c r="P311" i="14"/>
  <c r="P308" i="14"/>
  <c r="L269" i="14"/>
  <c r="L235" i="14"/>
  <c r="J231" i="14"/>
  <c r="J185" i="14" s="1"/>
  <c r="Q192" i="14"/>
  <c r="T192" i="14" s="1"/>
  <c r="Q188" i="14"/>
  <c r="Q186" i="14" s="1"/>
  <c r="Q189" i="14"/>
  <c r="T189" i="14" s="1"/>
  <c r="N160" i="14"/>
  <c r="P160" i="14" s="1"/>
  <c r="S119" i="14"/>
  <c r="S117" i="14" s="1"/>
  <c r="L119" i="14"/>
  <c r="L117" i="14" s="1"/>
  <c r="O117" i="14" s="1"/>
  <c r="N120" i="14"/>
  <c r="S642" i="14"/>
  <c r="K615" i="14"/>
  <c r="R119" i="13"/>
  <c r="R692" i="14"/>
  <c r="U695" i="14"/>
  <c r="M602" i="14"/>
  <c r="P602" i="14" s="1"/>
  <c r="O563" i="14"/>
  <c r="L561" i="14"/>
  <c r="O561" i="14" s="1"/>
  <c r="P383" i="14"/>
  <c r="M381" i="14"/>
  <c r="P381" i="14" s="1"/>
  <c r="N378" i="14"/>
  <c r="S305" i="1"/>
  <c r="L515" i="13"/>
  <c r="O515" i="13" s="1"/>
  <c r="S619" i="14"/>
  <c r="T619" i="14" s="1"/>
  <c r="S618" i="14"/>
  <c r="O539" i="14"/>
  <c r="L537" i="14"/>
  <c r="O537" i="14" s="1"/>
  <c r="O501" i="14"/>
  <c r="L499" i="14"/>
  <c r="O499" i="14" s="1"/>
  <c r="P498" i="14"/>
  <c r="M496" i="14"/>
  <c r="P496" i="14" s="1"/>
  <c r="O494" i="14"/>
  <c r="O383" i="14"/>
  <c r="L381" i="14"/>
  <c r="O381" i="14" s="1"/>
  <c r="P380" i="14"/>
  <c r="M378" i="14"/>
  <c r="P378" i="14" s="1"/>
  <c r="O376" i="14"/>
  <c r="P290" i="14"/>
  <c r="M288" i="14"/>
  <c r="P288" i="14" s="1"/>
  <c r="P187" i="14"/>
  <c r="N322" i="13"/>
  <c r="N320" i="13" s="1"/>
  <c r="Q692" i="14"/>
  <c r="J675" i="14"/>
  <c r="M642" i="14"/>
  <c r="P642" i="14" s="1"/>
  <c r="S602" i="14"/>
  <c r="O498" i="14"/>
  <c r="L496" i="14"/>
  <c r="O496" i="14" s="1"/>
  <c r="R493" i="14"/>
  <c r="U493" i="14" s="1"/>
  <c r="U494" i="14"/>
  <c r="S413" i="14"/>
  <c r="T413" i="14" s="1"/>
  <c r="R375" i="14"/>
  <c r="U375" i="14" s="1"/>
  <c r="U376" i="14"/>
  <c r="O321" i="14"/>
  <c r="P267" i="14"/>
  <c r="U159" i="14"/>
  <c r="R157" i="14"/>
  <c r="U157" i="14" s="1"/>
  <c r="U619" i="12"/>
  <c r="T418" i="12"/>
  <c r="N335" i="12"/>
  <c r="N333" i="12" s="1"/>
  <c r="K209" i="12"/>
  <c r="M145" i="12"/>
  <c r="P145" i="12" s="1"/>
  <c r="R762" i="13"/>
  <c r="U762" i="13" s="1"/>
  <c r="S693" i="13"/>
  <c r="U693" i="13" s="1"/>
  <c r="M515" i="13"/>
  <c r="P515" i="13" s="1"/>
  <c r="O518" i="13"/>
  <c r="S495" i="13"/>
  <c r="S493" i="13" s="1"/>
  <c r="J374" i="13"/>
  <c r="O380" i="13"/>
  <c r="N358" i="13"/>
  <c r="N356" i="13" s="1"/>
  <c r="K292" i="13"/>
  <c r="U194" i="13"/>
  <c r="K183" i="13"/>
  <c r="N119" i="13"/>
  <c r="N117" i="13" s="1"/>
  <c r="T99" i="13"/>
  <c r="L96" i="13"/>
  <c r="O96" i="13" s="1"/>
  <c r="P49" i="13"/>
  <c r="S762" i="14"/>
  <c r="S760" i="14" s="1"/>
  <c r="Q760" i="14"/>
  <c r="T760" i="14" s="1"/>
  <c r="P729" i="14"/>
  <c r="R714" i="14"/>
  <c r="U714" i="14" s="1"/>
  <c r="L714" i="14"/>
  <c r="O714" i="14" s="1"/>
  <c r="P692" i="14"/>
  <c r="R644" i="14"/>
  <c r="U644" i="14" s="1"/>
  <c r="U647" i="14"/>
  <c r="T644" i="14"/>
  <c r="L642" i="14"/>
  <c r="O642" i="14" s="1"/>
  <c r="Q618" i="14"/>
  <c r="T621" i="14"/>
  <c r="O607" i="14"/>
  <c r="Q602" i="14"/>
  <c r="T602" i="14" s="1"/>
  <c r="R601" i="14"/>
  <c r="U601" i="14" s="1"/>
  <c r="O581" i="14"/>
  <c r="L579" i="14"/>
  <c r="O579" i="14" s="1"/>
  <c r="M579" i="14"/>
  <c r="P579" i="14" s="1"/>
  <c r="R555" i="14"/>
  <c r="U555" i="14" s="1"/>
  <c r="R534" i="14"/>
  <c r="U534" i="14" s="1"/>
  <c r="Q513" i="14"/>
  <c r="T513" i="14" s="1"/>
  <c r="Q493" i="14"/>
  <c r="T493" i="14" s="1"/>
  <c r="T494" i="14"/>
  <c r="T415" i="14"/>
  <c r="Q394" i="14"/>
  <c r="T397" i="14"/>
  <c r="N392" i="14"/>
  <c r="L392" i="14"/>
  <c r="O392" i="14" s="1"/>
  <c r="Q375" i="14"/>
  <c r="T376" i="14"/>
  <c r="M358" i="14"/>
  <c r="P325" i="14"/>
  <c r="M323" i="14"/>
  <c r="P323" i="14" s="1"/>
  <c r="R320" i="14"/>
  <c r="U320" i="14" s="1"/>
  <c r="U321" i="14"/>
  <c r="K292" i="14"/>
  <c r="I281" i="14"/>
  <c r="K281" i="14" s="1"/>
  <c r="N269" i="14"/>
  <c r="N268" i="14"/>
  <c r="U147" i="14"/>
  <c r="R145" i="14"/>
  <c r="U145" i="14" s="1"/>
  <c r="U25" i="14"/>
  <c r="S19" i="14"/>
  <c r="L605" i="13"/>
  <c r="O605" i="13" s="1"/>
  <c r="M601" i="14"/>
  <c r="N496" i="14"/>
  <c r="O341" i="14"/>
  <c r="L339" i="14"/>
  <c r="O339" i="14" s="1"/>
  <c r="P334" i="14"/>
  <c r="L557" i="14"/>
  <c r="S395" i="14"/>
  <c r="S394" i="14"/>
  <c r="S392" i="14" s="1"/>
  <c r="Q74" i="1"/>
  <c r="T74" i="1" s="1"/>
  <c r="N288" i="1"/>
  <c r="Q415" i="12"/>
  <c r="T415" i="12" s="1"/>
  <c r="J351" i="13"/>
  <c r="I242" i="13"/>
  <c r="K242" i="13" s="1"/>
  <c r="L616" i="14"/>
  <c r="O616" i="14" s="1"/>
  <c r="Q605" i="14"/>
  <c r="T605" i="14" s="1"/>
  <c r="R394" i="14"/>
  <c r="U397" i="14"/>
  <c r="O19" i="14"/>
  <c r="O181" i="11"/>
  <c r="L537" i="12"/>
  <c r="O537" i="12" s="1"/>
  <c r="O338" i="12"/>
  <c r="M284" i="12"/>
  <c r="P284" i="12" s="1"/>
  <c r="L235" i="12"/>
  <c r="J702" i="13"/>
  <c r="N495" i="13"/>
  <c r="N493" i="13" s="1"/>
  <c r="L243" i="13"/>
  <c r="O243" i="13" s="1"/>
  <c r="K229" i="13"/>
  <c r="K198" i="13"/>
  <c r="Q192" i="13"/>
  <c r="T192" i="13" s="1"/>
  <c r="S141" i="13"/>
  <c r="S139" i="13" s="1"/>
  <c r="O80" i="13"/>
  <c r="O64" i="13"/>
  <c r="R762" i="14"/>
  <c r="U762" i="14" s="1"/>
  <c r="M760" i="14"/>
  <c r="P760" i="14" s="1"/>
  <c r="I759" i="14"/>
  <c r="K759" i="14" s="1"/>
  <c r="O729" i="14"/>
  <c r="T695" i="14"/>
  <c r="R693" i="14"/>
  <c r="K626" i="14"/>
  <c r="O604" i="14"/>
  <c r="Q601" i="14"/>
  <c r="Q534" i="14"/>
  <c r="T534" i="14" s="1"/>
  <c r="T535" i="14"/>
  <c r="N515" i="14"/>
  <c r="N513" i="14" s="1"/>
  <c r="L515" i="14"/>
  <c r="U498" i="14"/>
  <c r="R496" i="14"/>
  <c r="U496" i="14" s="1"/>
  <c r="R395" i="14"/>
  <c r="U395" i="14" s="1"/>
  <c r="M392" i="14"/>
  <c r="P392" i="14" s="1"/>
  <c r="P393" i="14"/>
  <c r="U380" i="14"/>
  <c r="R378" i="14"/>
  <c r="U378" i="14" s="1"/>
  <c r="P364" i="14"/>
  <c r="M362" i="14"/>
  <c r="P362" i="14" s="1"/>
  <c r="L359" i="14"/>
  <c r="O359" i="14" s="1"/>
  <c r="O361" i="14"/>
  <c r="L358" i="14"/>
  <c r="U358" i="14"/>
  <c r="R356" i="14"/>
  <c r="U356" i="14" s="1"/>
  <c r="L233" i="14"/>
  <c r="M179" i="14"/>
  <c r="P179" i="14" s="1"/>
  <c r="U22" i="14"/>
  <c r="R19" i="14"/>
  <c r="Q576" i="14"/>
  <c r="T576" i="14" s="1"/>
  <c r="T577" i="14"/>
  <c r="P521" i="14"/>
  <c r="M519" i="14"/>
  <c r="P519" i="14" s="1"/>
  <c r="P501" i="14"/>
  <c r="M499" i="14"/>
  <c r="P499" i="14" s="1"/>
  <c r="K440" i="14"/>
  <c r="I423" i="14"/>
  <c r="P414" i="14"/>
  <c r="K365" i="14"/>
  <c r="L601" i="14"/>
  <c r="O601" i="14" s="1"/>
  <c r="P556" i="14"/>
  <c r="M537" i="14"/>
  <c r="P537" i="14" s="1"/>
  <c r="K371" i="14"/>
  <c r="I253" i="13"/>
  <c r="K253" i="13" s="1"/>
  <c r="I238" i="13"/>
  <c r="K238" i="13" s="1"/>
  <c r="I492" i="14"/>
  <c r="K492" i="14" s="1"/>
  <c r="O380" i="14"/>
  <c r="L378" i="14"/>
  <c r="O378" i="14" s="1"/>
  <c r="I374" i="14"/>
  <c r="O290" i="14"/>
  <c r="L288" i="14"/>
  <c r="O288" i="14" s="1"/>
  <c r="T162" i="14"/>
  <c r="Q160" i="14"/>
  <c r="T160" i="14" s="1"/>
  <c r="Q159" i="14"/>
  <c r="K780" i="12"/>
  <c r="U733" i="12"/>
  <c r="M188" i="12"/>
  <c r="M186" i="12" s="1"/>
  <c r="K169" i="12"/>
  <c r="K153" i="12"/>
  <c r="J701" i="13"/>
  <c r="P563" i="13"/>
  <c r="L557" i="13"/>
  <c r="O557" i="13" s="1"/>
  <c r="P328" i="13"/>
  <c r="L120" i="13"/>
  <c r="O120" i="13" s="1"/>
  <c r="U729" i="14"/>
  <c r="Q728" i="14"/>
  <c r="P715" i="14"/>
  <c r="N642" i="14"/>
  <c r="P617" i="14"/>
  <c r="U607" i="14"/>
  <c r="M605" i="14"/>
  <c r="P605" i="14" s="1"/>
  <c r="R576" i="14"/>
  <c r="U576" i="14" s="1"/>
  <c r="N536" i="14"/>
  <c r="N534" i="14" s="1"/>
  <c r="M536" i="14"/>
  <c r="M515" i="14"/>
  <c r="L516" i="14"/>
  <c r="O516" i="14" s="1"/>
  <c r="R513" i="14"/>
  <c r="U513" i="14" s="1"/>
  <c r="M495" i="14"/>
  <c r="P495" i="14" s="1"/>
  <c r="K457" i="14"/>
  <c r="I456" i="14"/>
  <c r="K456" i="14" s="1"/>
  <c r="P418" i="14"/>
  <c r="M377" i="14"/>
  <c r="P377" i="14" s="1"/>
  <c r="L362" i="14"/>
  <c r="O362" i="14" s="1"/>
  <c r="O364" i="14"/>
  <c r="P304" i="14"/>
  <c r="O181" i="14"/>
  <c r="L179" i="14"/>
  <c r="O179" i="14" s="1"/>
  <c r="L175" i="14"/>
  <c r="T358" i="14"/>
  <c r="Q356" i="14"/>
  <c r="T356" i="14" s="1"/>
  <c r="N335" i="14"/>
  <c r="N333" i="14" s="1"/>
  <c r="O334" i="14"/>
  <c r="Q320" i="14"/>
  <c r="T320" i="14" s="1"/>
  <c r="T321" i="14"/>
  <c r="O267" i="14"/>
  <c r="I213" i="14"/>
  <c r="K213" i="14" s="1"/>
  <c r="K220" i="14"/>
  <c r="I195" i="14"/>
  <c r="K195" i="14" s="1"/>
  <c r="O189" i="14"/>
  <c r="I172" i="14"/>
  <c r="K172" i="14" s="1"/>
  <c r="K183" i="14"/>
  <c r="R173" i="14"/>
  <c r="U173" i="14" s="1"/>
  <c r="U122" i="14"/>
  <c r="R120" i="14"/>
  <c r="U120" i="14" s="1"/>
  <c r="R119" i="14"/>
  <c r="N100" i="14"/>
  <c r="N26" i="14"/>
  <c r="N24" i="14" s="1"/>
  <c r="N97" i="14"/>
  <c r="N23" i="14"/>
  <c r="Q303" i="14"/>
  <c r="P283" i="14"/>
  <c r="I238" i="14"/>
  <c r="K238" i="14" s="1"/>
  <c r="I253" i="14"/>
  <c r="K260" i="14"/>
  <c r="O144" i="14"/>
  <c r="L142" i="14"/>
  <c r="O142" i="14" s="1"/>
  <c r="T122" i="14"/>
  <c r="Q120" i="14"/>
  <c r="T120" i="14" s="1"/>
  <c r="Q119" i="14"/>
  <c r="P102" i="14"/>
  <c r="M100" i="14"/>
  <c r="P100" i="14" s="1"/>
  <c r="P99" i="14"/>
  <c r="M97" i="14"/>
  <c r="K84" i="14"/>
  <c r="I82" i="14"/>
  <c r="R333" i="14"/>
  <c r="U333" i="14" s="1"/>
  <c r="U334" i="14"/>
  <c r="N322" i="14"/>
  <c r="N320" i="14" s="1"/>
  <c r="R266" i="14"/>
  <c r="U267" i="14"/>
  <c r="T175" i="14"/>
  <c r="Q173" i="14"/>
  <c r="T173" i="14" s="1"/>
  <c r="S142" i="14"/>
  <c r="S141" i="14"/>
  <c r="S139" i="14" s="1"/>
  <c r="P73" i="14"/>
  <c r="M335" i="14"/>
  <c r="L322" i="14"/>
  <c r="O322" i="14" s="1"/>
  <c r="N305" i="14"/>
  <c r="N303" i="14" s="1"/>
  <c r="N284" i="14"/>
  <c r="N282" i="14" s="1"/>
  <c r="S268" i="14"/>
  <c r="M268" i="14"/>
  <c r="T191" i="14"/>
  <c r="N188" i="14"/>
  <c r="M175" i="14"/>
  <c r="U144" i="14"/>
  <c r="R142" i="14"/>
  <c r="U142" i="14" s="1"/>
  <c r="O125" i="14"/>
  <c r="L123" i="14"/>
  <c r="O123" i="14" s="1"/>
  <c r="O95" i="14"/>
  <c r="K87" i="14"/>
  <c r="I83" i="14"/>
  <c r="P60" i="14"/>
  <c r="P45" i="14"/>
  <c r="P19" i="14"/>
  <c r="L335" i="14"/>
  <c r="L333" i="14" s="1"/>
  <c r="S305" i="14"/>
  <c r="U305" i="14" s="1"/>
  <c r="M305" i="14"/>
  <c r="P305" i="14" s="1"/>
  <c r="M284" i="14"/>
  <c r="P284" i="14" s="1"/>
  <c r="I202" i="14"/>
  <c r="K202" i="14" s="1"/>
  <c r="O178" i="14"/>
  <c r="L176" i="14"/>
  <c r="P147" i="14"/>
  <c r="M145" i="14"/>
  <c r="P145" i="14" s="1"/>
  <c r="U125" i="14"/>
  <c r="R123" i="14"/>
  <c r="U123" i="14" s="1"/>
  <c r="U95" i="14"/>
  <c r="R26" i="14"/>
  <c r="U26" i="14" s="1"/>
  <c r="M336" i="14"/>
  <c r="P336" i="14" s="1"/>
  <c r="L323" i="14"/>
  <c r="O323" i="14" s="1"/>
  <c r="M272" i="14"/>
  <c r="P272" i="14" s="1"/>
  <c r="M269" i="14"/>
  <c r="U178" i="14"/>
  <c r="R176" i="14"/>
  <c r="U176" i="14" s="1"/>
  <c r="O162" i="14"/>
  <c r="L160" i="14"/>
  <c r="O160" i="14" s="1"/>
  <c r="O147" i="14"/>
  <c r="L145" i="14"/>
  <c r="O145" i="14" s="1"/>
  <c r="R141" i="14"/>
  <c r="T140" i="14"/>
  <c r="T125" i="14"/>
  <c r="Q123" i="14"/>
  <c r="T123" i="14" s="1"/>
  <c r="U99" i="14"/>
  <c r="T95" i="14"/>
  <c r="Q26" i="14"/>
  <c r="P67" i="14"/>
  <c r="M65" i="14"/>
  <c r="P65" i="14" s="1"/>
  <c r="P52" i="14"/>
  <c r="M26" i="14"/>
  <c r="P26" i="14" s="1"/>
  <c r="M50" i="14"/>
  <c r="P50" i="14" s="1"/>
  <c r="P47" i="14"/>
  <c r="P25" i="14"/>
  <c r="P22" i="14"/>
  <c r="T178" i="14"/>
  <c r="Q176" i="14"/>
  <c r="T176" i="14" s="1"/>
  <c r="O165" i="14"/>
  <c r="L163" i="14"/>
  <c r="O163" i="14" s="1"/>
  <c r="U162" i="14"/>
  <c r="R160" i="14"/>
  <c r="U160" i="14" s="1"/>
  <c r="P144" i="14"/>
  <c r="M142" i="14"/>
  <c r="P142" i="14" s="1"/>
  <c r="M141" i="14"/>
  <c r="P141" i="14" s="1"/>
  <c r="O122" i="14"/>
  <c r="L120" i="14"/>
  <c r="O120" i="14" s="1"/>
  <c r="O67" i="14"/>
  <c r="L65" i="14"/>
  <c r="O65" i="14" s="1"/>
  <c r="L61" i="14"/>
  <c r="O52" i="14"/>
  <c r="L26" i="14"/>
  <c r="O26" i="14" s="1"/>
  <c r="L50" i="14"/>
  <c r="O50" i="14" s="1"/>
  <c r="L46" i="14"/>
  <c r="O25" i="14"/>
  <c r="O22" i="14"/>
  <c r="Q141" i="14"/>
  <c r="T141" i="14" s="1"/>
  <c r="R96" i="14"/>
  <c r="L96" i="14"/>
  <c r="O96" i="14" s="1"/>
  <c r="N74" i="14"/>
  <c r="N72" i="14" s="1"/>
  <c r="N61" i="14"/>
  <c r="N59" i="14" s="1"/>
  <c r="N46" i="14"/>
  <c r="N44" i="14" s="1"/>
  <c r="S26" i="14"/>
  <c r="S24" i="14" s="1"/>
  <c r="S23" i="14"/>
  <c r="S21" i="14" s="1"/>
  <c r="M23" i="14"/>
  <c r="M21" i="14" s="1"/>
  <c r="Q19" i="14"/>
  <c r="Q96" i="14"/>
  <c r="S74" i="14"/>
  <c r="S72" i="14" s="1"/>
  <c r="M74" i="14"/>
  <c r="P74" i="14" s="1"/>
  <c r="M61" i="14"/>
  <c r="M59" i="14" s="1"/>
  <c r="M46" i="14"/>
  <c r="R23" i="14"/>
  <c r="L23" i="14"/>
  <c r="Q145" i="14"/>
  <c r="T145" i="14" s="1"/>
  <c r="Q142" i="14"/>
  <c r="T142" i="14" s="1"/>
  <c r="L100" i="14"/>
  <c r="O100" i="14" s="1"/>
  <c r="R97" i="14"/>
  <c r="L97" i="14"/>
  <c r="O97" i="14" s="1"/>
  <c r="Q23" i="14"/>
  <c r="L415" i="13"/>
  <c r="L413" i="13" s="1"/>
  <c r="O418" i="13"/>
  <c r="Q731" i="12"/>
  <c r="K709" i="12"/>
  <c r="N557" i="12"/>
  <c r="N555" i="12" s="1"/>
  <c r="M601" i="13"/>
  <c r="M599" i="13" s="1"/>
  <c r="M602" i="13"/>
  <c r="P604" i="13"/>
  <c r="L536" i="13"/>
  <c r="L534" i="13" s="1"/>
  <c r="O534" i="13" s="1"/>
  <c r="L537" i="13"/>
  <c r="O537" i="13" s="1"/>
  <c r="O514" i="13"/>
  <c r="S415" i="13"/>
  <c r="S413" i="13" s="1"/>
  <c r="L392" i="13"/>
  <c r="O392" i="13" s="1"/>
  <c r="N284" i="13"/>
  <c r="N282" i="13" s="1"/>
  <c r="N601" i="13"/>
  <c r="N599" i="13" s="1"/>
  <c r="N602" i="13"/>
  <c r="O602" i="13" s="1"/>
  <c r="R305" i="13"/>
  <c r="U305" i="13" s="1"/>
  <c r="U308" i="13"/>
  <c r="L47" i="13"/>
  <c r="O47" i="13" s="1"/>
  <c r="O49" i="13"/>
  <c r="U99" i="6"/>
  <c r="P607" i="12"/>
  <c r="O518" i="12"/>
  <c r="K785" i="13"/>
  <c r="U695" i="13"/>
  <c r="S619" i="13"/>
  <c r="U619" i="13" s="1"/>
  <c r="S618" i="13"/>
  <c r="S616" i="13" s="1"/>
  <c r="S601" i="13"/>
  <c r="S599" i="13" s="1"/>
  <c r="L601" i="13"/>
  <c r="S555" i="13"/>
  <c r="R415" i="13"/>
  <c r="U418" i="13"/>
  <c r="L358" i="13"/>
  <c r="L359" i="13"/>
  <c r="O361" i="13"/>
  <c r="K346" i="13"/>
  <c r="R333" i="13"/>
  <c r="U333" i="13" s="1"/>
  <c r="M268" i="13"/>
  <c r="M175" i="13"/>
  <c r="M173" i="13" s="1"/>
  <c r="P178" i="13"/>
  <c r="M176" i="13"/>
  <c r="P176" i="13" s="1"/>
  <c r="N74" i="13"/>
  <c r="N72" i="13" s="1"/>
  <c r="N62" i="13"/>
  <c r="P62" i="13" s="1"/>
  <c r="N61" i="13"/>
  <c r="N59" i="13" s="1"/>
  <c r="Q44" i="13"/>
  <c r="T44" i="13" s="1"/>
  <c r="T45" i="13"/>
  <c r="O125" i="13"/>
  <c r="L123" i="13"/>
  <c r="O123" i="13" s="1"/>
  <c r="L119" i="13"/>
  <c r="O119" i="13" s="1"/>
  <c r="P584" i="11"/>
  <c r="O607" i="12"/>
  <c r="N714" i="13"/>
  <c r="S642" i="13"/>
  <c r="R601" i="13"/>
  <c r="U601" i="13" s="1"/>
  <c r="O581" i="13"/>
  <c r="N557" i="13"/>
  <c r="N555" i="13" s="1"/>
  <c r="N558" i="13"/>
  <c r="N499" i="13"/>
  <c r="P498" i="13"/>
  <c r="M495" i="13"/>
  <c r="Q394" i="13"/>
  <c r="T394" i="13" s="1"/>
  <c r="M305" i="13"/>
  <c r="P305" i="13" s="1"/>
  <c r="M306" i="13"/>
  <c r="P306" i="13" s="1"/>
  <c r="P308" i="13"/>
  <c r="L268" i="13"/>
  <c r="L269" i="13"/>
  <c r="L214" i="13"/>
  <c r="O214" i="13" s="1"/>
  <c r="S188" i="13"/>
  <c r="S186" i="13" s="1"/>
  <c r="S189" i="13"/>
  <c r="T189" i="13" s="1"/>
  <c r="M179" i="13"/>
  <c r="P179" i="13" s="1"/>
  <c r="O178" i="13"/>
  <c r="L175" i="13"/>
  <c r="L173" i="13" s="1"/>
  <c r="N159" i="13"/>
  <c r="N157" i="13" s="1"/>
  <c r="N160" i="13"/>
  <c r="K154" i="13"/>
  <c r="R203" i="1"/>
  <c r="K365" i="13"/>
  <c r="U607" i="9"/>
  <c r="P311" i="10"/>
  <c r="P539" i="12"/>
  <c r="P498" i="12"/>
  <c r="T380" i="12"/>
  <c r="O287" i="12"/>
  <c r="O269" i="12"/>
  <c r="T178" i="12"/>
  <c r="T122" i="12"/>
  <c r="O52" i="12"/>
  <c r="N728" i="13"/>
  <c r="R714" i="13"/>
  <c r="U714" i="13" s="1"/>
  <c r="L690" i="13"/>
  <c r="O690" i="13" s="1"/>
  <c r="K632" i="13"/>
  <c r="K626" i="13"/>
  <c r="R618" i="13"/>
  <c r="U607" i="13"/>
  <c r="M605" i="13"/>
  <c r="P605" i="13" s="1"/>
  <c r="P607" i="13"/>
  <c r="Q576" i="13"/>
  <c r="T576" i="13" s="1"/>
  <c r="O539" i="13"/>
  <c r="R534" i="13"/>
  <c r="U534" i="13" s="1"/>
  <c r="Q534" i="13"/>
  <c r="T534" i="13" s="1"/>
  <c r="M499" i="13"/>
  <c r="P499" i="13" s="1"/>
  <c r="L496" i="13"/>
  <c r="O496" i="13" s="1"/>
  <c r="O498" i="13"/>
  <c r="Q395" i="13"/>
  <c r="T395" i="13" s="1"/>
  <c r="J332" i="13"/>
  <c r="J343" i="13"/>
  <c r="L305" i="13"/>
  <c r="O305" i="13" s="1"/>
  <c r="L306" i="13"/>
  <c r="O306" i="13" s="1"/>
  <c r="O308" i="13"/>
  <c r="R306" i="13"/>
  <c r="R188" i="13"/>
  <c r="R189" i="13"/>
  <c r="U191" i="13"/>
  <c r="S173" i="13"/>
  <c r="M163" i="13"/>
  <c r="P163" i="13" s="1"/>
  <c r="M159" i="13"/>
  <c r="P162" i="13"/>
  <c r="M160" i="13"/>
  <c r="P160" i="13" s="1"/>
  <c r="S59" i="13"/>
  <c r="L416" i="13"/>
  <c r="O416" i="13" s="1"/>
  <c r="I116" i="13"/>
  <c r="K116" i="13" s="1"/>
  <c r="K127" i="13"/>
  <c r="Q601" i="11"/>
  <c r="T601" i="11" s="1"/>
  <c r="K779" i="12"/>
  <c r="P563" i="12"/>
  <c r="T191" i="12"/>
  <c r="K779" i="13"/>
  <c r="Q763" i="13"/>
  <c r="T763" i="13" s="1"/>
  <c r="S762" i="13"/>
  <c r="S760" i="13" s="1"/>
  <c r="S714" i="13"/>
  <c r="Q693" i="13"/>
  <c r="T695" i="13"/>
  <c r="S690" i="13"/>
  <c r="I689" i="13"/>
  <c r="K689" i="13" s="1"/>
  <c r="J674" i="13"/>
  <c r="K629" i="13"/>
  <c r="N616" i="13"/>
  <c r="O604" i="13"/>
  <c r="L495" i="13"/>
  <c r="L493" i="13" s="1"/>
  <c r="L419" i="13"/>
  <c r="O419" i="13" s="1"/>
  <c r="O421" i="13"/>
  <c r="U416" i="13"/>
  <c r="N377" i="13"/>
  <c r="N375" i="13" s="1"/>
  <c r="N378" i="13"/>
  <c r="K371" i="13"/>
  <c r="K369" i="13"/>
  <c r="R356" i="13"/>
  <c r="U356" i="13" s="1"/>
  <c r="Q282" i="13"/>
  <c r="T282" i="13" s="1"/>
  <c r="L234" i="13"/>
  <c r="L222" i="13"/>
  <c r="O222" i="13" s="1"/>
  <c r="P125" i="13"/>
  <c r="M123" i="13"/>
  <c r="P123" i="13" s="1"/>
  <c r="Q306" i="13"/>
  <c r="M288" i="13"/>
  <c r="P288" i="13" s="1"/>
  <c r="M284" i="13"/>
  <c r="P284" i="13" s="1"/>
  <c r="Q188" i="13"/>
  <c r="Q186" i="13" s="1"/>
  <c r="K138" i="13"/>
  <c r="P67" i="13"/>
  <c r="M65" i="13"/>
  <c r="P65" i="13" s="1"/>
  <c r="J675" i="13"/>
  <c r="N642" i="13"/>
  <c r="N578" i="13"/>
  <c r="N576" i="13" s="1"/>
  <c r="N536" i="13"/>
  <c r="N534" i="13" s="1"/>
  <c r="M519" i="13"/>
  <c r="P519" i="13" s="1"/>
  <c r="Q513" i="13"/>
  <c r="T513" i="13" s="1"/>
  <c r="L335" i="13"/>
  <c r="L333" i="13" s="1"/>
  <c r="L322" i="13"/>
  <c r="S282" i="13"/>
  <c r="K221" i="13"/>
  <c r="K195" i="13"/>
  <c r="O191" i="13"/>
  <c r="N188" i="13"/>
  <c r="N186" i="13" s="1"/>
  <c r="M119" i="13"/>
  <c r="R74" i="13"/>
  <c r="U74" i="13" s="1"/>
  <c r="L74" i="13"/>
  <c r="O74" i="13" s="1"/>
  <c r="N46" i="13"/>
  <c r="N44" i="13" s="1"/>
  <c r="N19" i="13"/>
  <c r="S576" i="13"/>
  <c r="S534" i="13"/>
  <c r="T496" i="13"/>
  <c r="I374" i="13"/>
  <c r="N359" i="13"/>
  <c r="L339" i="13"/>
  <c r="O339" i="13" s="1"/>
  <c r="T268" i="13"/>
  <c r="L254" i="13"/>
  <c r="O254" i="13" s="1"/>
  <c r="J231" i="13"/>
  <c r="J185" i="13" s="1"/>
  <c r="M188" i="13"/>
  <c r="M186" i="13" s="1"/>
  <c r="K169" i="13"/>
  <c r="S119" i="13"/>
  <c r="S117" i="13" s="1"/>
  <c r="N120" i="13"/>
  <c r="K92" i="13"/>
  <c r="Q74" i="13"/>
  <c r="Q72" i="13" s="1"/>
  <c r="T72" i="13" s="1"/>
  <c r="L62" i="13"/>
  <c r="M19" i="13"/>
  <c r="R377" i="13"/>
  <c r="R375" i="13" s="1"/>
  <c r="T308" i="13"/>
  <c r="P287" i="13"/>
  <c r="S266" i="13"/>
  <c r="L235" i="13"/>
  <c r="L203" i="13"/>
  <c r="O203" i="13" s="1"/>
  <c r="T191" i="13"/>
  <c r="L188" i="13"/>
  <c r="L186" i="13" s="1"/>
  <c r="L159" i="13"/>
  <c r="O159" i="13" s="1"/>
  <c r="N141" i="13"/>
  <c r="N139" i="13" s="1"/>
  <c r="I93" i="13"/>
  <c r="K93" i="13" s="1"/>
  <c r="I82" i="13"/>
  <c r="K82" i="13" s="1"/>
  <c r="P80" i="13"/>
  <c r="P77" i="13"/>
  <c r="M50" i="13"/>
  <c r="P50" i="13" s="1"/>
  <c r="S44" i="13"/>
  <c r="L19" i="13"/>
  <c r="S728" i="13"/>
  <c r="L602" i="12"/>
  <c r="O604" i="12"/>
  <c r="M306" i="12"/>
  <c r="P306" i="12" s="1"/>
  <c r="P308" i="12"/>
  <c r="M123" i="12"/>
  <c r="P123" i="12" s="1"/>
  <c r="M642" i="13"/>
  <c r="P642" i="13" s="1"/>
  <c r="P535" i="13"/>
  <c r="R394" i="13"/>
  <c r="U394" i="13" s="1"/>
  <c r="U397" i="13"/>
  <c r="R395" i="13"/>
  <c r="U395" i="13" s="1"/>
  <c r="Q760" i="13"/>
  <c r="T760" i="13" s="1"/>
  <c r="T761" i="13"/>
  <c r="O283" i="13"/>
  <c r="Q605" i="9"/>
  <c r="T605" i="9" s="1"/>
  <c r="T607" i="9"/>
  <c r="N65" i="12"/>
  <c r="O65" i="12" s="1"/>
  <c r="O67" i="12"/>
  <c r="Q728" i="13"/>
  <c r="T729" i="13"/>
  <c r="Q690" i="13"/>
  <c r="T692" i="13"/>
  <c r="Q618" i="13"/>
  <c r="T621" i="13"/>
  <c r="Q619" i="13"/>
  <c r="N515" i="13"/>
  <c r="N513" i="13" s="1"/>
  <c r="N516" i="13"/>
  <c r="P394" i="13"/>
  <c r="M392" i="13"/>
  <c r="P392" i="13" s="1"/>
  <c r="J675" i="10"/>
  <c r="R602" i="12"/>
  <c r="U602" i="12" s="1"/>
  <c r="U604" i="12"/>
  <c r="P730" i="13"/>
  <c r="M728" i="13"/>
  <c r="P728" i="13" s="1"/>
  <c r="M714" i="13"/>
  <c r="P714" i="13" s="1"/>
  <c r="P715" i="13"/>
  <c r="R645" i="13"/>
  <c r="U645" i="13" s="1"/>
  <c r="U647" i="13"/>
  <c r="R644" i="13"/>
  <c r="U644" i="13" s="1"/>
  <c r="L616" i="13"/>
  <c r="O616" i="13" s="1"/>
  <c r="O617" i="13"/>
  <c r="T604" i="13"/>
  <c r="Q601" i="13"/>
  <c r="Q602" i="13"/>
  <c r="T602" i="13" s="1"/>
  <c r="O338" i="13"/>
  <c r="N336" i="13"/>
  <c r="O336" i="13" s="1"/>
  <c r="N335" i="13"/>
  <c r="N333" i="13" s="1"/>
  <c r="R266" i="13"/>
  <c r="U267" i="13"/>
  <c r="M690" i="13"/>
  <c r="P690" i="13" s="1"/>
  <c r="P691" i="13"/>
  <c r="I689" i="8"/>
  <c r="K689" i="8" s="1"/>
  <c r="K707" i="8"/>
  <c r="I615" i="11"/>
  <c r="K615" i="11" s="1"/>
  <c r="K630" i="11"/>
  <c r="K631" i="11"/>
  <c r="Q395" i="11"/>
  <c r="T395" i="11" s="1"/>
  <c r="Q394" i="11"/>
  <c r="T394" i="11" s="1"/>
  <c r="Q692" i="12"/>
  <c r="Q690" i="12" s="1"/>
  <c r="T690" i="12" s="1"/>
  <c r="Q693" i="12"/>
  <c r="R731" i="13"/>
  <c r="U733" i="13"/>
  <c r="R730" i="13"/>
  <c r="P560" i="13"/>
  <c r="M558" i="13"/>
  <c r="P558" i="13" s="1"/>
  <c r="M557" i="13"/>
  <c r="P557" i="13" s="1"/>
  <c r="O542" i="13"/>
  <c r="L540" i="13"/>
  <c r="O540" i="13" s="1"/>
  <c r="P144" i="13"/>
  <c r="M142" i="13"/>
  <c r="P142" i="13" s="1"/>
  <c r="M141" i="13"/>
  <c r="K368" i="12"/>
  <c r="P361" i="13"/>
  <c r="M358" i="13"/>
  <c r="L284" i="13"/>
  <c r="O284" i="13" s="1"/>
  <c r="O144" i="13"/>
  <c r="L142" i="13"/>
  <c r="O142" i="13" s="1"/>
  <c r="L141" i="13"/>
  <c r="O67" i="13"/>
  <c r="L65" i="13"/>
  <c r="O65" i="13" s="1"/>
  <c r="L285" i="10"/>
  <c r="O285" i="10" s="1"/>
  <c r="K784" i="11"/>
  <c r="K778" i="11"/>
  <c r="I701" i="11"/>
  <c r="U607" i="11"/>
  <c r="N284" i="11"/>
  <c r="N282" i="11" s="1"/>
  <c r="K229" i="11"/>
  <c r="T191" i="11"/>
  <c r="M159" i="11"/>
  <c r="P159" i="11" s="1"/>
  <c r="O77" i="11"/>
  <c r="S693" i="12"/>
  <c r="U693" i="12" s="1"/>
  <c r="K457" i="12"/>
  <c r="J374" i="12"/>
  <c r="U378" i="12"/>
  <c r="R377" i="12"/>
  <c r="J351" i="12"/>
  <c r="S305" i="12"/>
  <c r="S303" i="12" s="1"/>
  <c r="N284" i="12"/>
  <c r="N282" i="12" s="1"/>
  <c r="K154" i="12"/>
  <c r="O144" i="12"/>
  <c r="T99" i="12"/>
  <c r="T765" i="13"/>
  <c r="T730" i="13"/>
  <c r="L728" i="13"/>
  <c r="O728" i="13" s="1"/>
  <c r="K630" i="13"/>
  <c r="T617" i="13"/>
  <c r="O584" i="13"/>
  <c r="L582" i="13"/>
  <c r="O582" i="13" s="1"/>
  <c r="L578" i="13"/>
  <c r="P577" i="13"/>
  <c r="R555" i="13"/>
  <c r="U555" i="13" s="1"/>
  <c r="O521" i="13"/>
  <c r="L519" i="13"/>
  <c r="O519" i="13" s="1"/>
  <c r="J457" i="13"/>
  <c r="Q415" i="13"/>
  <c r="T418" i="13"/>
  <c r="Q416" i="13"/>
  <c r="T416" i="13" s="1"/>
  <c r="T414" i="13"/>
  <c r="M381" i="13"/>
  <c r="P381" i="13" s="1"/>
  <c r="M362" i="13"/>
  <c r="P362" i="13" s="1"/>
  <c r="P364" i="13"/>
  <c r="M339" i="13"/>
  <c r="P339" i="13" s="1"/>
  <c r="L233" i="13"/>
  <c r="P60" i="13"/>
  <c r="S377" i="12"/>
  <c r="S375" i="12" s="1"/>
  <c r="M97" i="12"/>
  <c r="P97" i="12" s="1"/>
  <c r="P584" i="13"/>
  <c r="M582" i="13"/>
  <c r="P582" i="13" s="1"/>
  <c r="M578" i="13"/>
  <c r="P578" i="13" s="1"/>
  <c r="U414" i="13"/>
  <c r="L268" i="11"/>
  <c r="L266" i="11" s="1"/>
  <c r="S268" i="11"/>
  <c r="S266" i="11" s="1"/>
  <c r="S268" i="12"/>
  <c r="S266" i="12" s="1"/>
  <c r="K229" i="12"/>
  <c r="K772" i="13"/>
  <c r="L760" i="13"/>
  <c r="O760" i="13" s="1"/>
  <c r="Q644" i="13"/>
  <c r="T644" i="13" s="1"/>
  <c r="U621" i="13"/>
  <c r="Q555" i="13"/>
  <c r="T555" i="13" s="1"/>
  <c r="T556" i="13"/>
  <c r="L499" i="13"/>
  <c r="O499" i="13" s="1"/>
  <c r="O501" i="13"/>
  <c r="M419" i="13"/>
  <c r="P419" i="13" s="1"/>
  <c r="U393" i="13"/>
  <c r="L381" i="13"/>
  <c r="O381" i="13" s="1"/>
  <c r="O383" i="13"/>
  <c r="S375" i="13"/>
  <c r="Q333" i="13"/>
  <c r="T333" i="13" s="1"/>
  <c r="T334" i="13"/>
  <c r="P187" i="13"/>
  <c r="U162" i="13"/>
  <c r="R159" i="13"/>
  <c r="R160" i="13"/>
  <c r="U160" i="13" s="1"/>
  <c r="N322" i="12"/>
  <c r="N320" i="12" s="1"/>
  <c r="L203" i="12"/>
  <c r="O203" i="12" s="1"/>
  <c r="U515" i="13"/>
  <c r="R513" i="13"/>
  <c r="U513" i="13" s="1"/>
  <c r="K784" i="12"/>
  <c r="I758" i="12"/>
  <c r="K758" i="12" s="1"/>
  <c r="M557" i="12"/>
  <c r="P557" i="12" s="1"/>
  <c r="O380" i="12"/>
  <c r="O194" i="12"/>
  <c r="M160" i="12"/>
  <c r="P160" i="12" s="1"/>
  <c r="I83" i="12"/>
  <c r="I71" i="12" s="1"/>
  <c r="K71" i="12" s="1"/>
  <c r="L46" i="12"/>
  <c r="L44" i="12" s="1"/>
  <c r="O691" i="13"/>
  <c r="T647" i="13"/>
  <c r="L642" i="13"/>
  <c r="O642" i="13" s="1"/>
  <c r="J503" i="13"/>
  <c r="J492" i="13" s="1"/>
  <c r="I492" i="13"/>
  <c r="T393" i="13"/>
  <c r="T376" i="13"/>
  <c r="Q375" i="13"/>
  <c r="P325" i="13"/>
  <c r="M323" i="13"/>
  <c r="P323" i="13" s="1"/>
  <c r="M322" i="13"/>
  <c r="O271" i="13"/>
  <c r="N269" i="13"/>
  <c r="N268" i="13"/>
  <c r="N266" i="13" s="1"/>
  <c r="T162" i="13"/>
  <c r="Q160" i="13"/>
  <c r="T160" i="13" s="1"/>
  <c r="Q159" i="13"/>
  <c r="S19" i="13"/>
  <c r="P19" i="13"/>
  <c r="K386" i="12"/>
  <c r="U617" i="13"/>
  <c r="O560" i="13"/>
  <c r="L558" i="13"/>
  <c r="O558" i="13" s="1"/>
  <c r="M359" i="13"/>
  <c r="M336" i="13"/>
  <c r="P338" i="13"/>
  <c r="M335" i="13"/>
  <c r="M333" i="13" s="1"/>
  <c r="O290" i="13"/>
  <c r="L288" i="13"/>
  <c r="O288" i="13" s="1"/>
  <c r="K785" i="11"/>
  <c r="K778" i="12"/>
  <c r="T763" i="12"/>
  <c r="J674" i="12"/>
  <c r="L557" i="12"/>
  <c r="O557" i="12" s="1"/>
  <c r="U380" i="12"/>
  <c r="K221" i="12"/>
  <c r="L214" i="12"/>
  <c r="O214" i="12" s="1"/>
  <c r="L188" i="12"/>
  <c r="L186" i="12" s="1"/>
  <c r="P178" i="12"/>
  <c r="M176" i="12"/>
  <c r="P176" i="12" s="1"/>
  <c r="L160" i="12"/>
  <c r="O160" i="12" s="1"/>
  <c r="U144" i="12"/>
  <c r="I701" i="13"/>
  <c r="R692" i="13"/>
  <c r="U692" i="13" s="1"/>
  <c r="U691" i="13"/>
  <c r="M616" i="13"/>
  <c r="P616" i="13" s="1"/>
  <c r="Q605" i="13"/>
  <c r="T605" i="13" s="1"/>
  <c r="P542" i="13"/>
  <c r="M540" i="13"/>
  <c r="P540" i="13" s="1"/>
  <c r="M536" i="13"/>
  <c r="P536" i="13" s="1"/>
  <c r="Q495" i="13"/>
  <c r="T498" i="13"/>
  <c r="I423" i="13"/>
  <c r="N415" i="13"/>
  <c r="N413" i="13" s="1"/>
  <c r="S395" i="13"/>
  <c r="S394" i="13"/>
  <c r="S392" i="13" s="1"/>
  <c r="T377" i="13"/>
  <c r="Q356" i="13"/>
  <c r="T356" i="13" s="1"/>
  <c r="T357" i="13"/>
  <c r="L323" i="13"/>
  <c r="O323" i="13" s="1"/>
  <c r="O325" i="13"/>
  <c r="P283" i="13"/>
  <c r="U25" i="13"/>
  <c r="O19" i="13"/>
  <c r="U556" i="13"/>
  <c r="O556" i="13"/>
  <c r="P521" i="13"/>
  <c r="T514" i="13"/>
  <c r="U498" i="13"/>
  <c r="R495" i="13"/>
  <c r="R493" i="13" s="1"/>
  <c r="P418" i="13"/>
  <c r="M415" i="13"/>
  <c r="U380" i="13"/>
  <c r="M378" i="13"/>
  <c r="P378" i="13" s="1"/>
  <c r="M377" i="13"/>
  <c r="P377" i="13" s="1"/>
  <c r="R320" i="13"/>
  <c r="U320" i="13" s="1"/>
  <c r="N305" i="13"/>
  <c r="N303" i="13" s="1"/>
  <c r="P304" i="13"/>
  <c r="K276" i="13"/>
  <c r="P274" i="13"/>
  <c r="M272" i="13"/>
  <c r="P272" i="13" s="1"/>
  <c r="P271" i="13"/>
  <c r="M269" i="13"/>
  <c r="Q266" i="13"/>
  <c r="T267" i="13"/>
  <c r="O187" i="13"/>
  <c r="O181" i="13"/>
  <c r="L179" i="13"/>
  <c r="O179" i="13" s="1"/>
  <c r="U99" i="13"/>
  <c r="R97" i="13"/>
  <c r="R96" i="13"/>
  <c r="U96" i="13" s="1"/>
  <c r="O60" i="13"/>
  <c r="R44" i="13"/>
  <c r="U44" i="13" s="1"/>
  <c r="N392" i="13"/>
  <c r="L377" i="13"/>
  <c r="O377" i="13" s="1"/>
  <c r="Q320" i="13"/>
  <c r="T320" i="13" s="1"/>
  <c r="T321" i="13"/>
  <c r="O304" i="13"/>
  <c r="R282" i="13"/>
  <c r="U282" i="13" s="1"/>
  <c r="U283" i="13"/>
  <c r="P191" i="13"/>
  <c r="N189" i="13"/>
  <c r="P189" i="13" s="1"/>
  <c r="R175" i="13"/>
  <c r="U178" i="13"/>
  <c r="U22" i="13"/>
  <c r="M496" i="13"/>
  <c r="P496" i="13" s="1"/>
  <c r="S378" i="13"/>
  <c r="U378" i="13" s="1"/>
  <c r="S303" i="13"/>
  <c r="T303" i="13" s="1"/>
  <c r="U271" i="13"/>
  <c r="S269" i="13"/>
  <c r="U187" i="13"/>
  <c r="Q176" i="13"/>
  <c r="T176" i="13" s="1"/>
  <c r="Q175" i="13"/>
  <c r="T175" i="13" s="1"/>
  <c r="T178" i="13"/>
  <c r="T147" i="13"/>
  <c r="Q145" i="13"/>
  <c r="T145" i="13" s="1"/>
  <c r="Q141" i="13"/>
  <c r="O73" i="13"/>
  <c r="T380" i="13"/>
  <c r="Q378" i="13"/>
  <c r="U304" i="13"/>
  <c r="U268" i="13"/>
  <c r="O267" i="13"/>
  <c r="N96" i="13"/>
  <c r="N94" i="13" s="1"/>
  <c r="N26" i="13"/>
  <c r="N24" i="13" s="1"/>
  <c r="N100" i="13"/>
  <c r="L61" i="13"/>
  <c r="R19" i="13"/>
  <c r="P334" i="13"/>
  <c r="U321" i="13"/>
  <c r="O321" i="13"/>
  <c r="P267" i="13"/>
  <c r="I202" i="13"/>
  <c r="K202" i="13" s="1"/>
  <c r="T140" i="13"/>
  <c r="P102" i="13"/>
  <c r="M100" i="13"/>
  <c r="P100" i="13" s="1"/>
  <c r="S94" i="13"/>
  <c r="O95" i="13"/>
  <c r="S26" i="13"/>
  <c r="S24" i="13" s="1"/>
  <c r="N175" i="13"/>
  <c r="L176" i="13"/>
  <c r="O176" i="13" s="1"/>
  <c r="L160" i="13"/>
  <c r="O160" i="13" s="1"/>
  <c r="O147" i="13"/>
  <c r="L145" i="13"/>
  <c r="O145" i="13" s="1"/>
  <c r="U144" i="13"/>
  <c r="R142" i="13"/>
  <c r="U142" i="13" s="1"/>
  <c r="R120" i="13"/>
  <c r="U120" i="13" s="1"/>
  <c r="K108" i="13"/>
  <c r="O102" i="13"/>
  <c r="L100" i="13"/>
  <c r="O100" i="13" s="1"/>
  <c r="P99" i="13"/>
  <c r="M97" i="13"/>
  <c r="P97" i="13" s="1"/>
  <c r="M23" i="13"/>
  <c r="M21" i="13" s="1"/>
  <c r="U95" i="13"/>
  <c r="P64" i="13"/>
  <c r="T144" i="13"/>
  <c r="Q142" i="13"/>
  <c r="T142" i="13" s="1"/>
  <c r="R123" i="13"/>
  <c r="U123" i="13" s="1"/>
  <c r="T122" i="13"/>
  <c r="Q120" i="13"/>
  <c r="T120" i="13" s="1"/>
  <c r="O99" i="13"/>
  <c r="L97" i="13"/>
  <c r="O97" i="13" s="1"/>
  <c r="T95" i="13"/>
  <c r="R26" i="13"/>
  <c r="U26" i="13" s="1"/>
  <c r="O52" i="13"/>
  <c r="L26" i="13"/>
  <c r="L50" i="13"/>
  <c r="O50" i="13" s="1"/>
  <c r="P45" i="13"/>
  <c r="P25" i="13"/>
  <c r="P22" i="13"/>
  <c r="S176" i="13"/>
  <c r="U147" i="13"/>
  <c r="R145" i="13"/>
  <c r="U145" i="13" s="1"/>
  <c r="T125" i="13"/>
  <c r="Q123" i="13"/>
  <c r="T123" i="13" s="1"/>
  <c r="S97" i="13"/>
  <c r="T97" i="13" s="1"/>
  <c r="S23" i="13"/>
  <c r="Q26" i="13"/>
  <c r="P73" i="13"/>
  <c r="L46" i="13"/>
  <c r="M26" i="13"/>
  <c r="M24" i="13" s="1"/>
  <c r="O25" i="13"/>
  <c r="N23" i="13"/>
  <c r="N21" i="13" s="1"/>
  <c r="O22" i="13"/>
  <c r="Q19" i="13"/>
  <c r="I137" i="13"/>
  <c r="K137" i="13" s="1"/>
  <c r="Q96" i="13"/>
  <c r="T96" i="13" s="1"/>
  <c r="K85" i="13"/>
  <c r="S74" i="13"/>
  <c r="S72" i="13" s="1"/>
  <c r="M74" i="13"/>
  <c r="P74" i="13" s="1"/>
  <c r="M61" i="13"/>
  <c r="M46" i="13"/>
  <c r="R23" i="13"/>
  <c r="R21" i="13" s="1"/>
  <c r="L23" i="13"/>
  <c r="L21" i="13" s="1"/>
  <c r="Q23" i="13"/>
  <c r="J351" i="10"/>
  <c r="M284" i="11"/>
  <c r="P284" i="11" s="1"/>
  <c r="O729" i="12"/>
  <c r="L728" i="12"/>
  <c r="O728" i="12" s="1"/>
  <c r="L579" i="12"/>
  <c r="O579" i="12" s="1"/>
  <c r="O581" i="12"/>
  <c r="M515" i="12"/>
  <c r="P515" i="12" s="1"/>
  <c r="M516" i="12"/>
  <c r="P516" i="12" s="1"/>
  <c r="P518" i="12"/>
  <c r="O501" i="12"/>
  <c r="L499" i="12"/>
  <c r="O499" i="12" s="1"/>
  <c r="M415" i="12"/>
  <c r="P415" i="12" s="1"/>
  <c r="P418" i="12"/>
  <c r="M416" i="12"/>
  <c r="P416" i="12" s="1"/>
  <c r="Q375" i="12"/>
  <c r="T376" i="12"/>
  <c r="P269" i="12"/>
  <c r="R188" i="12"/>
  <c r="R186" i="12" s="1"/>
  <c r="R189" i="12"/>
  <c r="K152" i="12"/>
  <c r="I137" i="12"/>
  <c r="K137" i="12" s="1"/>
  <c r="R145" i="12"/>
  <c r="U145" i="12" s="1"/>
  <c r="U147" i="12"/>
  <c r="M119" i="12"/>
  <c r="P119" i="12" s="1"/>
  <c r="P122" i="12"/>
  <c r="M120" i="12"/>
  <c r="P120" i="12" s="1"/>
  <c r="I92" i="12"/>
  <c r="K92" i="12" s="1"/>
  <c r="T73" i="12"/>
  <c r="R19" i="12"/>
  <c r="U19" i="12" s="1"/>
  <c r="U22" i="12"/>
  <c r="M728" i="12"/>
  <c r="P728" i="12" s="1"/>
  <c r="P730" i="12"/>
  <c r="M339" i="12"/>
  <c r="P341" i="12"/>
  <c r="L61" i="12"/>
  <c r="L59" i="12" s="1"/>
  <c r="L62" i="12"/>
  <c r="O62" i="12" s="1"/>
  <c r="K368" i="8"/>
  <c r="K783" i="11"/>
  <c r="K780" i="11"/>
  <c r="K705" i="11"/>
  <c r="K371" i="11"/>
  <c r="K346" i="11"/>
  <c r="S642" i="12"/>
  <c r="N601" i="12"/>
  <c r="N599" i="12" s="1"/>
  <c r="P604" i="12"/>
  <c r="N602" i="12"/>
  <c r="P602" i="12" s="1"/>
  <c r="M519" i="12"/>
  <c r="P519" i="12" s="1"/>
  <c r="K344" i="12"/>
  <c r="I332" i="12"/>
  <c r="Q305" i="12"/>
  <c r="T305" i="12" s="1"/>
  <c r="Q306" i="12"/>
  <c r="T306" i="12" s="1"/>
  <c r="T308" i="12"/>
  <c r="M179" i="12"/>
  <c r="P179" i="12" s="1"/>
  <c r="P181" i="12"/>
  <c r="Q59" i="12"/>
  <c r="T59" i="12" s="1"/>
  <c r="T60" i="12"/>
  <c r="M579" i="12"/>
  <c r="P579" i="12" s="1"/>
  <c r="P581" i="12"/>
  <c r="M537" i="10"/>
  <c r="P537" i="10" s="1"/>
  <c r="O328" i="11"/>
  <c r="S731" i="12"/>
  <c r="S730" i="12"/>
  <c r="S728" i="12" s="1"/>
  <c r="T607" i="12"/>
  <c r="Q605" i="12"/>
  <c r="T605" i="12" s="1"/>
  <c r="R394" i="12"/>
  <c r="U394" i="12" s="1"/>
  <c r="R395" i="12"/>
  <c r="U395" i="12" s="1"/>
  <c r="U397" i="12"/>
  <c r="N232" i="12"/>
  <c r="Q192" i="12"/>
  <c r="T192" i="12" s="1"/>
  <c r="T194" i="12"/>
  <c r="Q160" i="12"/>
  <c r="T160" i="12" s="1"/>
  <c r="T162" i="12"/>
  <c r="Q159" i="12"/>
  <c r="T159" i="12" s="1"/>
  <c r="U733" i="9"/>
  <c r="P416" i="11"/>
  <c r="P290" i="11"/>
  <c r="Q728" i="12"/>
  <c r="T729" i="12"/>
  <c r="Q394" i="12"/>
  <c r="Q392" i="12" s="1"/>
  <c r="T392" i="12" s="1"/>
  <c r="T397" i="12"/>
  <c r="N323" i="12"/>
  <c r="K172" i="12"/>
  <c r="N141" i="12"/>
  <c r="N139" i="12" s="1"/>
  <c r="N142" i="12"/>
  <c r="O142" i="12" s="1"/>
  <c r="S96" i="12"/>
  <c r="S94" i="12" s="1"/>
  <c r="S97" i="12"/>
  <c r="M75" i="12"/>
  <c r="P75" i="12" s="1"/>
  <c r="P77" i="12"/>
  <c r="K784" i="10"/>
  <c r="U604" i="10"/>
  <c r="K772" i="11"/>
  <c r="S690" i="11"/>
  <c r="K369" i="11"/>
  <c r="R763" i="12"/>
  <c r="U763" i="12" s="1"/>
  <c r="R762" i="12"/>
  <c r="J702" i="12"/>
  <c r="Q645" i="12"/>
  <c r="T645" i="12" s="1"/>
  <c r="T647" i="12"/>
  <c r="Q618" i="12"/>
  <c r="Q616" i="12" s="1"/>
  <c r="Q619" i="12"/>
  <c r="T619" i="12" s="1"/>
  <c r="R495" i="12"/>
  <c r="U495" i="12" s="1"/>
  <c r="R496" i="12"/>
  <c r="U496" i="12" s="1"/>
  <c r="N339" i="12"/>
  <c r="O339" i="12" s="1"/>
  <c r="O341" i="12"/>
  <c r="M323" i="12"/>
  <c r="P323" i="12" s="1"/>
  <c r="P325" i="12"/>
  <c r="T269" i="12"/>
  <c r="S176" i="12"/>
  <c r="L145" i="12"/>
  <c r="O145" i="12" s="1"/>
  <c r="O147" i="12"/>
  <c r="P140" i="12"/>
  <c r="Q123" i="12"/>
  <c r="T123" i="12" s="1"/>
  <c r="T125" i="12"/>
  <c r="M62" i="12"/>
  <c r="P62" i="12" s="1"/>
  <c r="P64" i="12"/>
  <c r="P49" i="12"/>
  <c r="U144" i="11"/>
  <c r="M74" i="11"/>
  <c r="P74" i="11" s="1"/>
  <c r="R760" i="12"/>
  <c r="S714" i="12"/>
  <c r="K707" i="12"/>
  <c r="K705" i="12"/>
  <c r="T695" i="12"/>
  <c r="M690" i="12"/>
  <c r="P690" i="12" s="1"/>
  <c r="U647" i="12"/>
  <c r="S645" i="12"/>
  <c r="S618" i="12"/>
  <c r="S616" i="12" s="1"/>
  <c r="O563" i="12"/>
  <c r="N536" i="12"/>
  <c r="N534" i="12" s="1"/>
  <c r="S534" i="12"/>
  <c r="S416" i="12"/>
  <c r="S395" i="12"/>
  <c r="J332" i="12"/>
  <c r="O328" i="12"/>
  <c r="S320" i="12"/>
  <c r="U308" i="12"/>
  <c r="O308" i="12"/>
  <c r="L236" i="12"/>
  <c r="Q188" i="12"/>
  <c r="Q186" i="12" s="1"/>
  <c r="P144" i="12"/>
  <c r="S119" i="12"/>
  <c r="S117" i="12" s="1"/>
  <c r="L74" i="12"/>
  <c r="O74" i="12" s="1"/>
  <c r="L75" i="12"/>
  <c r="O75" i="12" s="1"/>
  <c r="S44" i="12"/>
  <c r="Q44" i="12"/>
  <c r="T44" i="12" s="1"/>
  <c r="T189" i="11"/>
  <c r="K153" i="11"/>
  <c r="I93" i="11"/>
  <c r="K93" i="11" s="1"/>
  <c r="Q762" i="12"/>
  <c r="Q760" i="12" s="1"/>
  <c r="L690" i="12"/>
  <c r="O690" i="12" s="1"/>
  <c r="R644" i="12"/>
  <c r="U644" i="12" s="1"/>
  <c r="P501" i="12"/>
  <c r="J457" i="12"/>
  <c r="J456" i="12" s="1"/>
  <c r="S392" i="12"/>
  <c r="L377" i="12"/>
  <c r="L375" i="12" s="1"/>
  <c r="O375" i="12" s="1"/>
  <c r="K369" i="12"/>
  <c r="N358" i="12"/>
  <c r="N356" i="12" s="1"/>
  <c r="K293" i="12"/>
  <c r="P290" i="12"/>
  <c r="M272" i="12"/>
  <c r="P272" i="12" s="1"/>
  <c r="L234" i="12"/>
  <c r="N175" i="12"/>
  <c r="N173" i="12" s="1"/>
  <c r="P165" i="12"/>
  <c r="M142" i="12"/>
  <c r="U122" i="12"/>
  <c r="K109" i="12"/>
  <c r="P102" i="12"/>
  <c r="P80" i="12"/>
  <c r="R74" i="12"/>
  <c r="U74" i="12" s="1"/>
  <c r="N19" i="12"/>
  <c r="M119" i="11"/>
  <c r="P119" i="11" s="1"/>
  <c r="N728" i="12"/>
  <c r="Q601" i="12"/>
  <c r="T601" i="12" s="1"/>
  <c r="S555" i="12"/>
  <c r="M495" i="12"/>
  <c r="P495" i="12" s="1"/>
  <c r="S496" i="12"/>
  <c r="S413" i="12"/>
  <c r="Q378" i="12"/>
  <c r="T378" i="12" s="1"/>
  <c r="K330" i="12"/>
  <c r="K314" i="12"/>
  <c r="K276" i="12"/>
  <c r="M159" i="12"/>
  <c r="M157" i="12" s="1"/>
  <c r="P157" i="12" s="1"/>
  <c r="R141" i="12"/>
  <c r="R139" i="12" s="1"/>
  <c r="T120" i="12"/>
  <c r="Q74" i="12"/>
  <c r="T74" i="12" s="1"/>
  <c r="N690" i="12"/>
  <c r="L616" i="12"/>
  <c r="O616" i="12" s="1"/>
  <c r="N578" i="12"/>
  <c r="N576" i="12" s="1"/>
  <c r="S576" i="12"/>
  <c r="N558" i="12"/>
  <c r="L495" i="12"/>
  <c r="O421" i="12"/>
  <c r="N392" i="12"/>
  <c r="P383" i="12"/>
  <c r="P380" i="12"/>
  <c r="P364" i="12"/>
  <c r="Q189" i="12"/>
  <c r="M175" i="12"/>
  <c r="S160" i="12"/>
  <c r="M141" i="12"/>
  <c r="M139" i="12" s="1"/>
  <c r="M96" i="12"/>
  <c r="P96" i="12" s="1"/>
  <c r="R59" i="12"/>
  <c r="U59" i="12" s="1"/>
  <c r="L19" i="12"/>
  <c r="O19" i="12" s="1"/>
  <c r="R728" i="12"/>
  <c r="U557" i="12"/>
  <c r="R555" i="12"/>
  <c r="U555" i="12" s="1"/>
  <c r="K365" i="9"/>
  <c r="L335" i="11"/>
  <c r="L333" i="11" s="1"/>
  <c r="K785" i="12"/>
  <c r="S762" i="12"/>
  <c r="M760" i="12"/>
  <c r="P760" i="12" s="1"/>
  <c r="M714" i="12"/>
  <c r="P714" i="12" s="1"/>
  <c r="K629" i="12"/>
  <c r="K631" i="12"/>
  <c r="R618" i="12"/>
  <c r="I615" i="12"/>
  <c r="K615" i="12" s="1"/>
  <c r="O584" i="12"/>
  <c r="L582" i="12"/>
  <c r="O582" i="12" s="1"/>
  <c r="L578" i="12"/>
  <c r="T498" i="12"/>
  <c r="Q496" i="12"/>
  <c r="T496" i="12" s="1"/>
  <c r="U414" i="12"/>
  <c r="N377" i="12"/>
  <c r="N375" i="12" s="1"/>
  <c r="N378" i="12"/>
  <c r="K371" i="12"/>
  <c r="I365" i="12"/>
  <c r="K365" i="12" s="1"/>
  <c r="O357" i="12"/>
  <c r="O325" i="12"/>
  <c r="L322" i="12"/>
  <c r="O322" i="12" s="1"/>
  <c r="L323" i="12"/>
  <c r="O323" i="12" s="1"/>
  <c r="O321" i="12"/>
  <c r="L222" i="12"/>
  <c r="O222" i="12" s="1"/>
  <c r="O542" i="10"/>
  <c r="L272" i="10"/>
  <c r="O272" i="10" s="1"/>
  <c r="P162" i="10"/>
  <c r="K127" i="10"/>
  <c r="K779" i="11"/>
  <c r="K774" i="11"/>
  <c r="J701" i="11"/>
  <c r="T621" i="11"/>
  <c r="T607" i="11"/>
  <c r="N322" i="11"/>
  <c r="N320" i="11" s="1"/>
  <c r="T194" i="11"/>
  <c r="U147" i="11"/>
  <c r="S74" i="11"/>
  <c r="S72" i="11" s="1"/>
  <c r="O761" i="12"/>
  <c r="T733" i="12"/>
  <c r="L714" i="12"/>
  <c r="O714" i="12" s="1"/>
  <c r="O691" i="12"/>
  <c r="Q644" i="12"/>
  <c r="L642" i="12"/>
  <c r="O642" i="12" s="1"/>
  <c r="O618" i="12"/>
  <c r="U607" i="12"/>
  <c r="P542" i="12"/>
  <c r="M540" i="12"/>
  <c r="P540" i="12" s="1"/>
  <c r="P535" i="12"/>
  <c r="N515" i="12"/>
  <c r="N513" i="12" s="1"/>
  <c r="P514" i="12"/>
  <c r="Q495" i="12"/>
  <c r="T495" i="12" s="1"/>
  <c r="U393" i="12"/>
  <c r="I374" i="12"/>
  <c r="P361" i="12"/>
  <c r="P359" i="12"/>
  <c r="T335" i="12"/>
  <c r="Q333" i="12"/>
  <c r="T333" i="12" s="1"/>
  <c r="R320" i="12"/>
  <c r="U320" i="12" s="1"/>
  <c r="U321" i="12"/>
  <c r="U284" i="12"/>
  <c r="R282" i="12"/>
  <c r="U282" i="12" s="1"/>
  <c r="U158" i="12"/>
  <c r="M496" i="11"/>
  <c r="P496" i="11" s="1"/>
  <c r="O393" i="12"/>
  <c r="L392" i="12"/>
  <c r="O392" i="12" s="1"/>
  <c r="J351" i="9"/>
  <c r="K707" i="11"/>
  <c r="L362" i="8"/>
  <c r="O362" i="8" s="1"/>
  <c r="R495" i="9"/>
  <c r="R493" i="9" s="1"/>
  <c r="U493" i="9" s="1"/>
  <c r="O336" i="9"/>
  <c r="T144" i="10"/>
  <c r="K727" i="11"/>
  <c r="S645" i="11"/>
  <c r="T418" i="11"/>
  <c r="O418" i="11"/>
  <c r="Q415" i="11"/>
  <c r="Q413" i="11" s="1"/>
  <c r="U380" i="11"/>
  <c r="I242" i="11"/>
  <c r="K242" i="11" s="1"/>
  <c r="T125" i="11"/>
  <c r="P62" i="11"/>
  <c r="O47" i="11"/>
  <c r="T761" i="12"/>
  <c r="R731" i="12"/>
  <c r="T715" i="12"/>
  <c r="R714" i="12"/>
  <c r="U714" i="12" s="1"/>
  <c r="I701" i="12"/>
  <c r="R692" i="12"/>
  <c r="U692" i="12" s="1"/>
  <c r="R601" i="12"/>
  <c r="L601" i="12"/>
  <c r="P560" i="12"/>
  <c r="M558" i="12"/>
  <c r="P558" i="12" s="1"/>
  <c r="O542" i="12"/>
  <c r="L540" i="12"/>
  <c r="O540" i="12" s="1"/>
  <c r="L536" i="12"/>
  <c r="O514" i="12"/>
  <c r="I423" i="12"/>
  <c r="K440" i="12"/>
  <c r="O418" i="12"/>
  <c r="L415" i="12"/>
  <c r="O415" i="12" s="1"/>
  <c r="P376" i="12"/>
  <c r="Q320" i="12"/>
  <c r="T320" i="12" s="1"/>
  <c r="T321" i="12"/>
  <c r="S189" i="12"/>
  <c r="U191" i="12"/>
  <c r="S188" i="12"/>
  <c r="O165" i="12"/>
  <c r="L163" i="12"/>
  <c r="O163" i="12" s="1"/>
  <c r="L159" i="12"/>
  <c r="N123" i="12"/>
  <c r="N119" i="12"/>
  <c r="N117" i="12" s="1"/>
  <c r="K689" i="11"/>
  <c r="P584" i="12"/>
  <c r="M582" i="12"/>
  <c r="P582" i="12" s="1"/>
  <c r="P577" i="12"/>
  <c r="Q555" i="12"/>
  <c r="T555" i="12" s="1"/>
  <c r="T556" i="12"/>
  <c r="R269" i="12"/>
  <c r="U269" i="12" s="1"/>
  <c r="U271" i="12"/>
  <c r="P165" i="6"/>
  <c r="P604" i="8"/>
  <c r="K784" i="9"/>
  <c r="K781" i="9"/>
  <c r="U498" i="9"/>
  <c r="U731" i="10"/>
  <c r="P325" i="10"/>
  <c r="M288" i="10"/>
  <c r="P288" i="10" s="1"/>
  <c r="P542" i="11"/>
  <c r="S392" i="11"/>
  <c r="L234" i="11"/>
  <c r="L214" i="11"/>
  <c r="O214" i="11" s="1"/>
  <c r="R176" i="11"/>
  <c r="U176" i="11" s="1"/>
  <c r="Q119" i="11"/>
  <c r="Q117" i="11" s="1"/>
  <c r="U765" i="12"/>
  <c r="I759" i="12"/>
  <c r="K759" i="12" s="1"/>
  <c r="J701" i="12"/>
  <c r="U695" i="12"/>
  <c r="P600" i="12"/>
  <c r="O560" i="12"/>
  <c r="L558" i="12"/>
  <c r="O558" i="12" s="1"/>
  <c r="O521" i="12"/>
  <c r="L519" i="12"/>
  <c r="O519" i="12" s="1"/>
  <c r="R415" i="12"/>
  <c r="U415" i="12" s="1"/>
  <c r="U418" i="12"/>
  <c r="R416" i="12"/>
  <c r="U416" i="12" s="1"/>
  <c r="P414" i="12"/>
  <c r="R356" i="12"/>
  <c r="U356" i="12" s="1"/>
  <c r="U358" i="12"/>
  <c r="O334" i="12"/>
  <c r="M320" i="12"/>
  <c r="P320" i="12" s="1"/>
  <c r="O181" i="12"/>
  <c r="L179" i="12"/>
  <c r="O179" i="12" s="1"/>
  <c r="P338" i="12"/>
  <c r="M335" i="12"/>
  <c r="M336" i="12"/>
  <c r="P336" i="12" s="1"/>
  <c r="U304" i="12"/>
  <c r="R303" i="12"/>
  <c r="U303" i="12" s="1"/>
  <c r="K368" i="9"/>
  <c r="L558" i="10"/>
  <c r="O558" i="10" s="1"/>
  <c r="N515" i="10"/>
  <c r="N513" i="10" s="1"/>
  <c r="P521" i="11"/>
  <c r="M516" i="11"/>
  <c r="P516" i="11" s="1"/>
  <c r="J351" i="11"/>
  <c r="M96" i="11"/>
  <c r="P96" i="11" s="1"/>
  <c r="L78" i="11"/>
  <c r="O78" i="11" s="1"/>
  <c r="K781" i="12"/>
  <c r="T765" i="12"/>
  <c r="K632" i="12"/>
  <c r="K626" i="12"/>
  <c r="U621" i="12"/>
  <c r="M616" i="12"/>
  <c r="P616" i="12" s="1"/>
  <c r="R513" i="12"/>
  <c r="U513" i="12" s="1"/>
  <c r="U514" i="12"/>
  <c r="J503" i="12"/>
  <c r="J492" i="12" s="1"/>
  <c r="O414" i="12"/>
  <c r="P393" i="12"/>
  <c r="M392" i="12"/>
  <c r="P392" i="12" s="1"/>
  <c r="O359" i="12"/>
  <c r="Q356" i="12"/>
  <c r="T356" i="12" s="1"/>
  <c r="T358" i="12"/>
  <c r="R333" i="12"/>
  <c r="U333" i="12" s="1"/>
  <c r="U334" i="12"/>
  <c r="P283" i="12"/>
  <c r="I253" i="12"/>
  <c r="K253" i="12" s="1"/>
  <c r="K260" i="12"/>
  <c r="I238" i="12"/>
  <c r="K238" i="12" s="1"/>
  <c r="I242" i="12"/>
  <c r="T621" i="12"/>
  <c r="T604" i="12"/>
  <c r="K503" i="12"/>
  <c r="U498" i="12"/>
  <c r="O498" i="12"/>
  <c r="J458" i="12"/>
  <c r="N415" i="12"/>
  <c r="N413" i="12" s="1"/>
  <c r="Q395" i="12"/>
  <c r="T395" i="12" s="1"/>
  <c r="M358" i="12"/>
  <c r="L336" i="12"/>
  <c r="O336" i="12" s="1"/>
  <c r="L335" i="12"/>
  <c r="P328" i="12"/>
  <c r="P311" i="12"/>
  <c r="Q268" i="12"/>
  <c r="T271" i="12"/>
  <c r="N268" i="12"/>
  <c r="N266" i="12" s="1"/>
  <c r="L254" i="12"/>
  <c r="O254" i="12" s="1"/>
  <c r="I213" i="12"/>
  <c r="K213" i="12" s="1"/>
  <c r="K220" i="12"/>
  <c r="K202" i="12"/>
  <c r="S601" i="12"/>
  <c r="S599" i="12" s="1"/>
  <c r="M601" i="12"/>
  <c r="M578" i="12"/>
  <c r="P578" i="12" s="1"/>
  <c r="M536" i="12"/>
  <c r="P536" i="12" s="1"/>
  <c r="L515" i="12"/>
  <c r="O515" i="12" s="1"/>
  <c r="N495" i="12"/>
  <c r="N493" i="12" s="1"/>
  <c r="L358" i="12"/>
  <c r="O361" i="12"/>
  <c r="L306" i="12"/>
  <c r="O306" i="12" s="1"/>
  <c r="N305" i="12"/>
  <c r="N303" i="12" s="1"/>
  <c r="M285" i="12"/>
  <c r="P285" i="12" s="1"/>
  <c r="P287" i="12"/>
  <c r="I281" i="12"/>
  <c r="K281" i="12" s="1"/>
  <c r="O271" i="12"/>
  <c r="M268" i="12"/>
  <c r="M305" i="12"/>
  <c r="P305" i="12" s="1"/>
  <c r="L288" i="12"/>
  <c r="O288" i="12" s="1"/>
  <c r="L272" i="12"/>
  <c r="O272" i="12" s="1"/>
  <c r="O274" i="12"/>
  <c r="L268" i="12"/>
  <c r="L266" i="12" s="1"/>
  <c r="N189" i="12"/>
  <c r="O189" i="12" s="1"/>
  <c r="N188" i="12"/>
  <c r="N186" i="12" s="1"/>
  <c r="O191" i="12"/>
  <c r="O174" i="12"/>
  <c r="M377" i="12"/>
  <c r="P377" i="12" s="1"/>
  <c r="K346" i="12"/>
  <c r="R306" i="12"/>
  <c r="U306" i="12" s="1"/>
  <c r="L284" i="12"/>
  <c r="L243" i="12"/>
  <c r="L233" i="12"/>
  <c r="M189" i="12"/>
  <c r="P191" i="12"/>
  <c r="O178" i="12"/>
  <c r="L176" i="12"/>
  <c r="O176" i="12" s="1"/>
  <c r="L175" i="12"/>
  <c r="U174" i="12"/>
  <c r="J343" i="12"/>
  <c r="S282" i="12"/>
  <c r="P271" i="12"/>
  <c r="I195" i="12"/>
  <c r="K195" i="12" s="1"/>
  <c r="P194" i="12"/>
  <c r="N159" i="12"/>
  <c r="N157" i="12" s="1"/>
  <c r="Q26" i="12"/>
  <c r="R266" i="12"/>
  <c r="U187" i="12"/>
  <c r="S141" i="12"/>
  <c r="S139" i="12" s="1"/>
  <c r="U95" i="12"/>
  <c r="S19" i="12"/>
  <c r="T187" i="12"/>
  <c r="T140" i="12"/>
  <c r="P47" i="12"/>
  <c r="R176" i="12"/>
  <c r="U176" i="12" s="1"/>
  <c r="R175" i="12"/>
  <c r="U175" i="12" s="1"/>
  <c r="L141" i="12"/>
  <c r="I82" i="12"/>
  <c r="N26" i="12"/>
  <c r="N24" i="12" s="1"/>
  <c r="Q175" i="12"/>
  <c r="R160" i="12"/>
  <c r="U160" i="12" s="1"/>
  <c r="R159" i="12"/>
  <c r="U159" i="12" s="1"/>
  <c r="Q145" i="12"/>
  <c r="T145" i="12" s="1"/>
  <c r="S142" i="12"/>
  <c r="U142" i="12" s="1"/>
  <c r="U125" i="12"/>
  <c r="R123" i="12"/>
  <c r="U123" i="12" s="1"/>
  <c r="N96" i="12"/>
  <c r="N94" i="12" s="1"/>
  <c r="P52" i="12"/>
  <c r="M26" i="12"/>
  <c r="M50" i="12"/>
  <c r="P50" i="12" s="1"/>
  <c r="Q142" i="12"/>
  <c r="O118" i="12"/>
  <c r="L26" i="12"/>
  <c r="P22" i="12"/>
  <c r="M19" i="12"/>
  <c r="Q141" i="12"/>
  <c r="U118" i="12"/>
  <c r="O95" i="12"/>
  <c r="R26" i="12"/>
  <c r="P67" i="12"/>
  <c r="M65" i="12"/>
  <c r="O47" i="12"/>
  <c r="P25" i="12"/>
  <c r="I116" i="12"/>
  <c r="K116" i="12" s="1"/>
  <c r="U80" i="12"/>
  <c r="O80" i="12"/>
  <c r="Q78" i="12"/>
  <c r="T78" i="12" s="1"/>
  <c r="U77" i="12"/>
  <c r="O77" i="12"/>
  <c r="Q75" i="12"/>
  <c r="T75" i="12" s="1"/>
  <c r="O64" i="12"/>
  <c r="N50" i="12"/>
  <c r="O49" i="12"/>
  <c r="N23" i="12"/>
  <c r="R119" i="12"/>
  <c r="R117" i="12" s="1"/>
  <c r="L119" i="12"/>
  <c r="O119" i="12" s="1"/>
  <c r="R96" i="12"/>
  <c r="U96" i="12" s="1"/>
  <c r="L96" i="12"/>
  <c r="O96" i="12" s="1"/>
  <c r="N74" i="12"/>
  <c r="N72" i="12" s="1"/>
  <c r="N61" i="12"/>
  <c r="N59" i="12" s="1"/>
  <c r="N46" i="12"/>
  <c r="N44" i="12" s="1"/>
  <c r="S26" i="12"/>
  <c r="S24" i="12" s="1"/>
  <c r="S23" i="12"/>
  <c r="S21" i="12" s="1"/>
  <c r="M23" i="12"/>
  <c r="Q19" i="12"/>
  <c r="Q119" i="12"/>
  <c r="Q96" i="12"/>
  <c r="K85" i="12"/>
  <c r="S74" i="12"/>
  <c r="S72" i="12" s="1"/>
  <c r="M74" i="12"/>
  <c r="M61" i="12"/>
  <c r="M46" i="12"/>
  <c r="R23" i="12"/>
  <c r="L23" i="12"/>
  <c r="L123" i="12"/>
  <c r="O123" i="12" s="1"/>
  <c r="R120" i="12"/>
  <c r="U120" i="12" s="1"/>
  <c r="L120" i="12"/>
  <c r="O120" i="12" s="1"/>
  <c r="L100" i="12"/>
  <c r="O100" i="12" s="1"/>
  <c r="R97" i="12"/>
  <c r="U97" i="12" s="1"/>
  <c r="L97" i="12"/>
  <c r="O97" i="12" s="1"/>
  <c r="Q23" i="12"/>
  <c r="K423" i="11"/>
  <c r="I412" i="11"/>
  <c r="K412" i="11" s="1"/>
  <c r="R766" i="1"/>
  <c r="U766" i="1" s="1"/>
  <c r="R188" i="10"/>
  <c r="U188" i="10" s="1"/>
  <c r="Q555" i="11"/>
  <c r="T555" i="11" s="1"/>
  <c r="N377" i="11"/>
  <c r="N375" i="11" s="1"/>
  <c r="N285" i="11"/>
  <c r="Q26" i="11"/>
  <c r="Q24" i="11" s="1"/>
  <c r="T24" i="11" s="1"/>
  <c r="Q78" i="11"/>
  <c r="T78" i="11" s="1"/>
  <c r="S75" i="11"/>
  <c r="T604" i="10"/>
  <c r="M175" i="10"/>
  <c r="M173" i="10" s="1"/>
  <c r="S176" i="10"/>
  <c r="K781" i="11"/>
  <c r="L760" i="11"/>
  <c r="O760" i="11" s="1"/>
  <c r="S728" i="11"/>
  <c r="S693" i="11"/>
  <c r="L690" i="11"/>
  <c r="O690" i="11" s="1"/>
  <c r="Q618" i="11"/>
  <c r="T618" i="11" s="1"/>
  <c r="N601" i="11"/>
  <c r="N599" i="11" s="1"/>
  <c r="O584" i="11"/>
  <c r="Q513" i="11"/>
  <c r="T513" i="11" s="1"/>
  <c r="S415" i="11"/>
  <c r="S413" i="11" s="1"/>
  <c r="M377" i="11"/>
  <c r="P377" i="11" s="1"/>
  <c r="S378" i="11"/>
  <c r="U378" i="11" s="1"/>
  <c r="L377" i="11"/>
  <c r="L358" i="11"/>
  <c r="L356" i="11" s="1"/>
  <c r="R333" i="11"/>
  <c r="U333" i="11" s="1"/>
  <c r="M322" i="11"/>
  <c r="L323" i="11"/>
  <c r="O323" i="11" s="1"/>
  <c r="S305" i="11"/>
  <c r="T305" i="11" s="1"/>
  <c r="L235" i="11"/>
  <c r="U178" i="11"/>
  <c r="L175" i="11"/>
  <c r="L173" i="11" s="1"/>
  <c r="T162" i="11"/>
  <c r="O147" i="11"/>
  <c r="N141" i="11"/>
  <c r="N139" i="11" s="1"/>
  <c r="T122" i="11"/>
  <c r="N119" i="11"/>
  <c r="N117" i="11" s="1"/>
  <c r="T99" i="11"/>
  <c r="Q97" i="11"/>
  <c r="T97" i="11" s="1"/>
  <c r="I82" i="11"/>
  <c r="K82" i="11" s="1"/>
  <c r="P80" i="11"/>
  <c r="R74" i="11"/>
  <c r="U74" i="11" s="1"/>
  <c r="L74" i="11"/>
  <c r="R75" i="11"/>
  <c r="U75" i="11" s="1"/>
  <c r="M61" i="11"/>
  <c r="M59" i="11" s="1"/>
  <c r="P49" i="11"/>
  <c r="O380" i="8"/>
  <c r="O77" i="9"/>
  <c r="I701" i="10"/>
  <c r="K701" i="10" s="1"/>
  <c r="K369" i="10"/>
  <c r="P308" i="10"/>
  <c r="P194" i="10"/>
  <c r="S731" i="11"/>
  <c r="T731" i="11" s="1"/>
  <c r="M714" i="11"/>
  <c r="P714" i="11" s="1"/>
  <c r="R693" i="11"/>
  <c r="J674" i="11"/>
  <c r="R645" i="11"/>
  <c r="U645" i="11" s="1"/>
  <c r="M642" i="11"/>
  <c r="P642" i="11" s="1"/>
  <c r="K626" i="11"/>
  <c r="S619" i="11"/>
  <c r="U619" i="11" s="1"/>
  <c r="M616" i="11"/>
  <c r="P616" i="11" s="1"/>
  <c r="Q602" i="11"/>
  <c r="T602" i="11" s="1"/>
  <c r="P560" i="11"/>
  <c r="O542" i="11"/>
  <c r="O521" i="11"/>
  <c r="K440" i="11"/>
  <c r="N378" i="11"/>
  <c r="N305" i="11"/>
  <c r="N303" i="11" s="1"/>
  <c r="O290" i="11"/>
  <c r="I265" i="11"/>
  <c r="K265" i="11" s="1"/>
  <c r="M175" i="11"/>
  <c r="M173" i="11" s="1"/>
  <c r="Q141" i="11"/>
  <c r="I136" i="11"/>
  <c r="K136" i="11" s="1"/>
  <c r="N96" i="11"/>
  <c r="N94" i="11" s="1"/>
  <c r="U80" i="11"/>
  <c r="Q74" i="11"/>
  <c r="Q75" i="11"/>
  <c r="T75" i="11" s="1"/>
  <c r="R72" i="11"/>
  <c r="U72" i="11" s="1"/>
  <c r="O49" i="11"/>
  <c r="N19" i="11"/>
  <c r="R762" i="9"/>
  <c r="R760" i="9" s="1"/>
  <c r="O421" i="9"/>
  <c r="S269" i="10"/>
  <c r="T269" i="10" s="1"/>
  <c r="P77" i="10"/>
  <c r="Q763" i="11"/>
  <c r="T763" i="11" s="1"/>
  <c r="N760" i="11"/>
  <c r="U733" i="11"/>
  <c r="S714" i="11"/>
  <c r="Q619" i="11"/>
  <c r="O618" i="11"/>
  <c r="S616" i="11"/>
  <c r="T604" i="11"/>
  <c r="N602" i="11"/>
  <c r="N557" i="11"/>
  <c r="N555" i="11" s="1"/>
  <c r="P501" i="11"/>
  <c r="N495" i="11"/>
  <c r="N493" i="11" s="1"/>
  <c r="U397" i="11"/>
  <c r="S395" i="11"/>
  <c r="O393" i="11"/>
  <c r="M378" i="11"/>
  <c r="P378" i="11" s="1"/>
  <c r="P341" i="11"/>
  <c r="I281" i="11"/>
  <c r="K281" i="11" s="1"/>
  <c r="L254" i="11"/>
  <c r="O254" i="11" s="1"/>
  <c r="K209" i="11"/>
  <c r="N192" i="11"/>
  <c r="M188" i="11"/>
  <c r="T147" i="11"/>
  <c r="O144" i="11"/>
  <c r="T80" i="11"/>
  <c r="P77" i="11"/>
  <c r="P47" i="11"/>
  <c r="R44" i="11"/>
  <c r="U44" i="11" s="1"/>
  <c r="U604" i="9"/>
  <c r="P542" i="9"/>
  <c r="T191" i="9"/>
  <c r="U80" i="9"/>
  <c r="K781" i="10"/>
  <c r="K778" i="10"/>
  <c r="K260" i="10"/>
  <c r="I238" i="10"/>
  <c r="K238" i="10" s="1"/>
  <c r="O77" i="10"/>
  <c r="Q714" i="11"/>
  <c r="T714" i="11" s="1"/>
  <c r="J702" i="11"/>
  <c r="M690" i="11"/>
  <c r="P690" i="11" s="1"/>
  <c r="O643" i="11"/>
  <c r="K629" i="11"/>
  <c r="N578" i="11"/>
  <c r="N576" i="11" s="1"/>
  <c r="N579" i="11"/>
  <c r="L578" i="11"/>
  <c r="O578" i="11" s="1"/>
  <c r="M557" i="11"/>
  <c r="P557" i="11" s="1"/>
  <c r="U557" i="11"/>
  <c r="S555" i="11"/>
  <c r="L499" i="11"/>
  <c r="O499" i="11" s="1"/>
  <c r="M495" i="11"/>
  <c r="P495" i="11" s="1"/>
  <c r="S496" i="11"/>
  <c r="T397" i="11"/>
  <c r="U393" i="11"/>
  <c r="J374" i="11"/>
  <c r="P383" i="11"/>
  <c r="P380" i="11"/>
  <c r="I365" i="11"/>
  <c r="K365" i="11" s="1"/>
  <c r="O361" i="11"/>
  <c r="O341" i="11"/>
  <c r="I238" i="11"/>
  <c r="K238" i="11" s="1"/>
  <c r="I156" i="11"/>
  <c r="K156" i="11" s="1"/>
  <c r="M75" i="11"/>
  <c r="P75" i="11" s="1"/>
  <c r="P64" i="11"/>
  <c r="L19" i="11"/>
  <c r="O19" i="11" s="1"/>
  <c r="M415" i="8"/>
  <c r="M413" i="8" s="1"/>
  <c r="P563" i="10"/>
  <c r="O539" i="10"/>
  <c r="P274" i="10"/>
  <c r="N141" i="10"/>
  <c r="N139" i="10" s="1"/>
  <c r="U77" i="10"/>
  <c r="K782" i="11"/>
  <c r="M728" i="11"/>
  <c r="P728" i="11" s="1"/>
  <c r="K709" i="11"/>
  <c r="U692" i="11"/>
  <c r="S576" i="11"/>
  <c r="Q576" i="11"/>
  <c r="T576" i="11" s="1"/>
  <c r="N536" i="11"/>
  <c r="N534" i="11" s="1"/>
  <c r="N537" i="11"/>
  <c r="Q534" i="11"/>
  <c r="T534" i="11" s="1"/>
  <c r="K503" i="11"/>
  <c r="N496" i="11"/>
  <c r="R394" i="11"/>
  <c r="U394" i="11" s="1"/>
  <c r="I374" i="11"/>
  <c r="O383" i="11"/>
  <c r="O380" i="11"/>
  <c r="R377" i="11"/>
  <c r="L359" i="11"/>
  <c r="O359" i="11" s="1"/>
  <c r="M358" i="11"/>
  <c r="M356" i="11" s="1"/>
  <c r="U334" i="11"/>
  <c r="P325" i="11"/>
  <c r="N323" i="11"/>
  <c r="L322" i="11"/>
  <c r="O322" i="11" s="1"/>
  <c r="T308" i="11"/>
  <c r="Q306" i="11"/>
  <c r="T306" i="11" s="1"/>
  <c r="N268" i="11"/>
  <c r="N266" i="11" s="1"/>
  <c r="L236" i="11"/>
  <c r="S188" i="11"/>
  <c r="S186" i="11" s="1"/>
  <c r="P181" i="11"/>
  <c r="N159" i="11"/>
  <c r="N157" i="11" s="1"/>
  <c r="Q142" i="11"/>
  <c r="T142" i="11" s="1"/>
  <c r="I116" i="11"/>
  <c r="K116" i="11" s="1"/>
  <c r="O64" i="11"/>
  <c r="O62" i="11"/>
  <c r="L536" i="11"/>
  <c r="O536" i="11" s="1"/>
  <c r="T514" i="11"/>
  <c r="P308" i="11"/>
  <c r="M306" i="11"/>
  <c r="P306" i="11" s="1"/>
  <c r="M305" i="11"/>
  <c r="P305" i="11" s="1"/>
  <c r="U191" i="11"/>
  <c r="R189" i="11"/>
  <c r="U189" i="11" s="1"/>
  <c r="R188" i="11"/>
  <c r="R186" i="11" s="1"/>
  <c r="P308" i="9"/>
  <c r="L233" i="9"/>
  <c r="P147" i="9"/>
  <c r="M141" i="9"/>
  <c r="M139" i="9" s="1"/>
  <c r="S119" i="9"/>
  <c r="S117" i="9" s="1"/>
  <c r="S645" i="10"/>
  <c r="I456" i="10"/>
  <c r="K456" i="10" s="1"/>
  <c r="O359" i="10"/>
  <c r="K344" i="10"/>
  <c r="R306" i="10"/>
  <c r="U306" i="10" s="1"/>
  <c r="K293" i="10"/>
  <c r="U271" i="10"/>
  <c r="O271" i="10"/>
  <c r="K154" i="10"/>
  <c r="I136" i="10"/>
  <c r="K136" i="10" s="1"/>
  <c r="L78" i="10"/>
  <c r="O78" i="10" s="1"/>
  <c r="L728" i="11"/>
  <c r="O728" i="11" s="1"/>
  <c r="O729" i="11"/>
  <c r="K703" i="11"/>
  <c r="Q644" i="11"/>
  <c r="O287" i="11"/>
  <c r="L285" i="11"/>
  <c r="O285" i="11" s="1"/>
  <c r="L284" i="11"/>
  <c r="O284" i="11" s="1"/>
  <c r="L233" i="10"/>
  <c r="Q760" i="11"/>
  <c r="T760" i="11" s="1"/>
  <c r="T380" i="11"/>
  <c r="Q377" i="11"/>
  <c r="J332" i="11"/>
  <c r="K332" i="11" s="1"/>
  <c r="J343" i="11"/>
  <c r="K344" i="11"/>
  <c r="R282" i="11"/>
  <c r="U282" i="11" s="1"/>
  <c r="U283" i="11"/>
  <c r="S416" i="8"/>
  <c r="T416" i="8" s="1"/>
  <c r="P328" i="9"/>
  <c r="O607" i="10"/>
  <c r="N557" i="10"/>
  <c r="N555" i="10" s="1"/>
  <c r="T498" i="10"/>
  <c r="M495" i="10"/>
  <c r="P495" i="10" s="1"/>
  <c r="P418" i="10"/>
  <c r="K386" i="10"/>
  <c r="L362" i="10"/>
  <c r="O362" i="10" s="1"/>
  <c r="I332" i="10"/>
  <c r="L305" i="10"/>
  <c r="O305" i="10" s="1"/>
  <c r="M305" i="10"/>
  <c r="M303" i="10" s="1"/>
  <c r="P303" i="10" s="1"/>
  <c r="I138" i="10"/>
  <c r="K138" i="10" s="1"/>
  <c r="K153" i="10"/>
  <c r="R78" i="10"/>
  <c r="U78" i="10" s="1"/>
  <c r="U80" i="10"/>
  <c r="M760" i="11"/>
  <c r="P760" i="11" s="1"/>
  <c r="P761" i="11"/>
  <c r="Q730" i="11"/>
  <c r="T733" i="11"/>
  <c r="R730" i="11"/>
  <c r="U730" i="11" s="1"/>
  <c r="U729" i="11"/>
  <c r="Q692" i="11"/>
  <c r="N690" i="11"/>
  <c r="J675" i="11"/>
  <c r="T647" i="11"/>
  <c r="U621" i="11"/>
  <c r="R618" i="11"/>
  <c r="P617" i="11"/>
  <c r="O604" i="11"/>
  <c r="R601" i="11"/>
  <c r="U601" i="11" s="1"/>
  <c r="R576" i="11"/>
  <c r="U576" i="11" s="1"/>
  <c r="R534" i="11"/>
  <c r="U534" i="11" s="1"/>
  <c r="K457" i="11"/>
  <c r="J456" i="11"/>
  <c r="K456" i="11" s="1"/>
  <c r="T416" i="11"/>
  <c r="P274" i="11"/>
  <c r="M272" i="11"/>
  <c r="P272" i="11" s="1"/>
  <c r="I92" i="11"/>
  <c r="K92" i="11" s="1"/>
  <c r="K108" i="11"/>
  <c r="R305" i="6"/>
  <c r="U305" i="6" s="1"/>
  <c r="S762" i="11"/>
  <c r="S760" i="11" s="1"/>
  <c r="L714" i="11"/>
  <c r="O714" i="11" s="1"/>
  <c r="O715" i="11"/>
  <c r="T695" i="11"/>
  <c r="U604" i="11"/>
  <c r="U308" i="11"/>
  <c r="R306" i="11"/>
  <c r="U306" i="11" s="1"/>
  <c r="R305" i="11"/>
  <c r="R303" i="11" s="1"/>
  <c r="P191" i="11"/>
  <c r="M189" i="11"/>
  <c r="P189" i="11" s="1"/>
  <c r="U125" i="8"/>
  <c r="R141" i="9"/>
  <c r="R139" i="9" s="1"/>
  <c r="K785" i="10"/>
  <c r="K779" i="10"/>
  <c r="U621" i="10"/>
  <c r="U607" i="10"/>
  <c r="P604" i="10"/>
  <c r="M578" i="10"/>
  <c r="P578" i="10" s="1"/>
  <c r="Q495" i="10"/>
  <c r="T495" i="10" s="1"/>
  <c r="K346" i="10"/>
  <c r="N305" i="10"/>
  <c r="N303" i="10" s="1"/>
  <c r="I242" i="10"/>
  <c r="I231" i="10" s="1"/>
  <c r="K231" i="10" s="1"/>
  <c r="N175" i="10"/>
  <c r="N173" i="10" s="1"/>
  <c r="P80" i="10"/>
  <c r="R762" i="11"/>
  <c r="U765" i="11"/>
  <c r="P729" i="11"/>
  <c r="R714" i="11"/>
  <c r="U714" i="11" s="1"/>
  <c r="U715" i="11"/>
  <c r="R642" i="11"/>
  <c r="U642" i="11" s="1"/>
  <c r="O607" i="11"/>
  <c r="L601" i="11"/>
  <c r="O601" i="11" s="1"/>
  <c r="O581" i="11"/>
  <c r="P577" i="11"/>
  <c r="O563" i="11"/>
  <c r="L557" i="11"/>
  <c r="P556" i="11"/>
  <c r="O539" i="11"/>
  <c r="P535" i="11"/>
  <c r="M392" i="11"/>
  <c r="P392" i="11" s="1"/>
  <c r="P357" i="11"/>
  <c r="O194" i="11"/>
  <c r="L192" i="11"/>
  <c r="O192" i="11" s="1"/>
  <c r="T187" i="11"/>
  <c r="S19" i="11"/>
  <c r="T647" i="10"/>
  <c r="L496" i="10"/>
  <c r="O496" i="10" s="1"/>
  <c r="O418" i="10"/>
  <c r="O560" i="11"/>
  <c r="K314" i="11"/>
  <c r="I302" i="11"/>
  <c r="K302" i="11" s="1"/>
  <c r="K109" i="9"/>
  <c r="K726" i="10"/>
  <c r="O602" i="10"/>
  <c r="L377" i="10"/>
  <c r="L375" i="10" s="1"/>
  <c r="R690" i="11"/>
  <c r="N515" i="11"/>
  <c r="N513" i="11" s="1"/>
  <c r="R495" i="11"/>
  <c r="R496" i="11"/>
  <c r="U496" i="11" s="1"/>
  <c r="U498" i="11"/>
  <c r="L495" i="11"/>
  <c r="L496" i="11"/>
  <c r="O496" i="11" s="1"/>
  <c r="T414" i="11"/>
  <c r="Q378" i="11"/>
  <c r="I319" i="11"/>
  <c r="K319" i="11" s="1"/>
  <c r="K330" i="11"/>
  <c r="U322" i="11"/>
  <c r="R320" i="11"/>
  <c r="U320" i="11" s="1"/>
  <c r="M515" i="11"/>
  <c r="P515" i="11" s="1"/>
  <c r="Q356" i="11"/>
  <c r="T356" i="11" s="1"/>
  <c r="P338" i="11"/>
  <c r="M336" i="11"/>
  <c r="P336" i="11" s="1"/>
  <c r="M335" i="11"/>
  <c r="I280" i="11"/>
  <c r="K280" i="11" s="1"/>
  <c r="K293" i="11"/>
  <c r="P271" i="11"/>
  <c r="M269" i="11"/>
  <c r="P269" i="11" s="1"/>
  <c r="O191" i="11"/>
  <c r="L189" i="11"/>
  <c r="O189" i="11" s="1"/>
  <c r="L188" i="11"/>
  <c r="S97" i="11"/>
  <c r="S96" i="11"/>
  <c r="S94" i="11" s="1"/>
  <c r="M188" i="10"/>
  <c r="R189" i="10"/>
  <c r="U189" i="10" s="1"/>
  <c r="L176" i="10"/>
  <c r="O176" i="10" s="1"/>
  <c r="S601" i="11"/>
  <c r="S599" i="11" s="1"/>
  <c r="M601" i="11"/>
  <c r="P601" i="11" s="1"/>
  <c r="M578" i="11"/>
  <c r="P578" i="11" s="1"/>
  <c r="M536" i="11"/>
  <c r="P536" i="11" s="1"/>
  <c r="L515" i="11"/>
  <c r="O515" i="11" s="1"/>
  <c r="P514" i="11"/>
  <c r="M419" i="11"/>
  <c r="P419" i="11" s="1"/>
  <c r="P418" i="11"/>
  <c r="L362" i="11"/>
  <c r="O362" i="11" s="1"/>
  <c r="P359" i="11"/>
  <c r="Q333" i="11"/>
  <c r="T333" i="11" s="1"/>
  <c r="T334" i="11"/>
  <c r="U187" i="11"/>
  <c r="O118" i="11"/>
  <c r="P67" i="11"/>
  <c r="M65" i="11"/>
  <c r="P65" i="11" s="1"/>
  <c r="M605" i="11"/>
  <c r="P605" i="11" s="1"/>
  <c r="M602" i="11"/>
  <c r="P602" i="11" s="1"/>
  <c r="U600" i="11"/>
  <c r="O600" i="11"/>
  <c r="M579" i="11"/>
  <c r="P579" i="11" s="1"/>
  <c r="U577" i="11"/>
  <c r="O577" i="11"/>
  <c r="M561" i="11"/>
  <c r="P561" i="11" s="1"/>
  <c r="M537" i="11"/>
  <c r="P537" i="11" s="1"/>
  <c r="U535" i="11"/>
  <c r="O535" i="11"/>
  <c r="L516" i="11"/>
  <c r="O516" i="11" s="1"/>
  <c r="S513" i="11"/>
  <c r="J503" i="11"/>
  <c r="J492" i="11" s="1"/>
  <c r="N415" i="11"/>
  <c r="N413" i="11" s="1"/>
  <c r="O308" i="11"/>
  <c r="L306" i="11"/>
  <c r="O306" i="11" s="1"/>
  <c r="L305" i="11"/>
  <c r="O305" i="11" s="1"/>
  <c r="O304" i="11"/>
  <c r="U271" i="11"/>
  <c r="R269" i="11"/>
  <c r="U269" i="11" s="1"/>
  <c r="R268" i="11"/>
  <c r="N176" i="11"/>
  <c r="P176" i="11" s="1"/>
  <c r="N175" i="11"/>
  <c r="N173" i="11" s="1"/>
  <c r="P178" i="11"/>
  <c r="O158" i="11"/>
  <c r="U22" i="11"/>
  <c r="R19" i="11"/>
  <c r="M141" i="10"/>
  <c r="P141" i="10" s="1"/>
  <c r="M96" i="10"/>
  <c r="M94" i="10" s="1"/>
  <c r="P94" i="10" s="1"/>
  <c r="T765" i="11"/>
  <c r="U695" i="11"/>
  <c r="U647" i="11"/>
  <c r="R513" i="11"/>
  <c r="U513" i="11" s="1"/>
  <c r="Q496" i="11"/>
  <c r="T496" i="11" s="1"/>
  <c r="Q495" i="11"/>
  <c r="U418" i="11"/>
  <c r="M415" i="11"/>
  <c r="O414" i="11"/>
  <c r="T393" i="11"/>
  <c r="K386" i="11"/>
  <c r="K368" i="11"/>
  <c r="P364" i="11"/>
  <c r="P361" i="11"/>
  <c r="S356" i="11"/>
  <c r="O311" i="11"/>
  <c r="L309" i="11"/>
  <c r="O309" i="11" s="1"/>
  <c r="U304" i="11"/>
  <c r="T271" i="11"/>
  <c r="Q269" i="11"/>
  <c r="T269" i="11" s="1"/>
  <c r="Q268" i="11"/>
  <c r="M268" i="11"/>
  <c r="J231" i="11"/>
  <c r="J185" i="11" s="1"/>
  <c r="K202" i="11"/>
  <c r="T174" i="11"/>
  <c r="U158" i="11"/>
  <c r="P140" i="11"/>
  <c r="R26" i="11"/>
  <c r="U26" i="11" s="1"/>
  <c r="R415" i="11"/>
  <c r="L415" i="11"/>
  <c r="L413" i="11" s="1"/>
  <c r="N358" i="11"/>
  <c r="N335" i="11"/>
  <c r="N333" i="11" s="1"/>
  <c r="P328" i="11"/>
  <c r="M326" i="11"/>
  <c r="P326" i="11" s="1"/>
  <c r="Q303" i="11"/>
  <c r="T304" i="11"/>
  <c r="S282" i="11"/>
  <c r="O283" i="11"/>
  <c r="L233" i="11"/>
  <c r="P194" i="11"/>
  <c r="M192" i="11"/>
  <c r="P192" i="11" s="1"/>
  <c r="I137" i="11"/>
  <c r="K137" i="11" s="1"/>
  <c r="K152" i="11"/>
  <c r="O140" i="11"/>
  <c r="P122" i="11"/>
  <c r="M120" i="11"/>
  <c r="P120" i="11" s="1"/>
  <c r="P60" i="11"/>
  <c r="P45" i="11"/>
  <c r="L419" i="11"/>
  <c r="O419" i="11" s="1"/>
  <c r="R416" i="11"/>
  <c r="U416" i="11" s="1"/>
  <c r="L416" i="11"/>
  <c r="O416" i="11" s="1"/>
  <c r="O338" i="11"/>
  <c r="L336" i="11"/>
  <c r="O336" i="11" s="1"/>
  <c r="Q282" i="11"/>
  <c r="T282" i="11" s="1"/>
  <c r="T283" i="11"/>
  <c r="O274" i="11"/>
  <c r="L272" i="11"/>
  <c r="O272" i="11" s="1"/>
  <c r="O271" i="11"/>
  <c r="L269" i="11"/>
  <c r="O269" i="11" s="1"/>
  <c r="Q176" i="11"/>
  <c r="T176" i="11" s="1"/>
  <c r="Q175" i="11"/>
  <c r="T175" i="11" s="1"/>
  <c r="T178" i="11"/>
  <c r="S160" i="11"/>
  <c r="S159" i="11"/>
  <c r="S157" i="11" s="1"/>
  <c r="S120" i="11"/>
  <c r="T120" i="11" s="1"/>
  <c r="S119" i="11"/>
  <c r="S117" i="11" s="1"/>
  <c r="O95" i="11"/>
  <c r="U25" i="11"/>
  <c r="Q320" i="11"/>
  <c r="T320" i="11" s="1"/>
  <c r="P311" i="11"/>
  <c r="M309" i="11"/>
  <c r="P309" i="11" s="1"/>
  <c r="P287" i="11"/>
  <c r="M285" i="11"/>
  <c r="P285" i="11" s="1"/>
  <c r="T267" i="11"/>
  <c r="L222" i="11"/>
  <c r="O222" i="11" s="1"/>
  <c r="L203" i="11"/>
  <c r="O203" i="11" s="1"/>
  <c r="U194" i="11"/>
  <c r="R192" i="11"/>
  <c r="U192" i="11" s="1"/>
  <c r="O187" i="11"/>
  <c r="U162" i="11"/>
  <c r="R160" i="11"/>
  <c r="U160" i="11" s="1"/>
  <c r="R159" i="11"/>
  <c r="U159" i="11" s="1"/>
  <c r="S26" i="11"/>
  <c r="S24" i="11" s="1"/>
  <c r="P19" i="11"/>
  <c r="K260" i="11"/>
  <c r="L243" i="11"/>
  <c r="K220" i="11"/>
  <c r="K198" i="11"/>
  <c r="Q188" i="11"/>
  <c r="K183" i="11"/>
  <c r="P165" i="11"/>
  <c r="M163" i="11"/>
  <c r="P163" i="11" s="1"/>
  <c r="T158" i="11"/>
  <c r="U122" i="11"/>
  <c r="U118" i="11"/>
  <c r="U95" i="11"/>
  <c r="O67" i="11"/>
  <c r="L65" i="11"/>
  <c r="O65" i="11" s="1"/>
  <c r="L61" i="11"/>
  <c r="P52" i="11"/>
  <c r="M26" i="11"/>
  <c r="P26" i="11" s="1"/>
  <c r="M50" i="11"/>
  <c r="P50" i="11" s="1"/>
  <c r="M46" i="11"/>
  <c r="O178" i="11"/>
  <c r="L176" i="11"/>
  <c r="S173" i="11"/>
  <c r="O174" i="11"/>
  <c r="O165" i="11"/>
  <c r="L163" i="11"/>
  <c r="O163" i="11" s="1"/>
  <c r="P162" i="11"/>
  <c r="M160" i="11"/>
  <c r="P160" i="11" s="1"/>
  <c r="U140" i="11"/>
  <c r="P125" i="11"/>
  <c r="M123" i="11"/>
  <c r="P123" i="11" s="1"/>
  <c r="T118" i="11"/>
  <c r="Q94" i="11"/>
  <c r="T94" i="11" s="1"/>
  <c r="T95" i="11"/>
  <c r="I83" i="11"/>
  <c r="P73" i="11"/>
  <c r="O52" i="11"/>
  <c r="L26" i="11"/>
  <c r="O26" i="11" s="1"/>
  <c r="L50" i="11"/>
  <c r="O50" i="11" s="1"/>
  <c r="L46" i="11"/>
  <c r="P25" i="11"/>
  <c r="P22" i="11"/>
  <c r="S176" i="11"/>
  <c r="R173" i="11"/>
  <c r="U173" i="11" s="1"/>
  <c r="U174" i="11"/>
  <c r="O162" i="11"/>
  <c r="L160" i="11"/>
  <c r="O160" i="11" s="1"/>
  <c r="L159" i="11"/>
  <c r="O159" i="11" s="1"/>
  <c r="P102" i="11"/>
  <c r="M100" i="11"/>
  <c r="P100" i="11" s="1"/>
  <c r="P99" i="11"/>
  <c r="M97" i="11"/>
  <c r="P97" i="11" s="1"/>
  <c r="N26" i="11"/>
  <c r="N24" i="11" s="1"/>
  <c r="O25" i="11"/>
  <c r="N23" i="11"/>
  <c r="N21" i="11" s="1"/>
  <c r="O22" i="11"/>
  <c r="S141" i="11"/>
  <c r="S139" i="11" s="1"/>
  <c r="M141" i="11"/>
  <c r="P141" i="11" s="1"/>
  <c r="R119" i="11"/>
  <c r="R117" i="11" s="1"/>
  <c r="L119" i="11"/>
  <c r="O119" i="11" s="1"/>
  <c r="R96" i="11"/>
  <c r="U96" i="11" s="1"/>
  <c r="L96" i="11"/>
  <c r="O96" i="11" s="1"/>
  <c r="N74" i="11"/>
  <c r="N72" i="11" s="1"/>
  <c r="N61" i="11"/>
  <c r="N46" i="11"/>
  <c r="N44" i="11" s="1"/>
  <c r="S23" i="11"/>
  <c r="M23" i="11"/>
  <c r="Q19" i="11"/>
  <c r="Q159" i="11"/>
  <c r="T159" i="11" s="1"/>
  <c r="R141" i="11"/>
  <c r="U141" i="11" s="1"/>
  <c r="L141" i="11"/>
  <c r="O141" i="11" s="1"/>
  <c r="K85" i="11"/>
  <c r="R23" i="11"/>
  <c r="R21" i="11" s="1"/>
  <c r="L23" i="11"/>
  <c r="M145" i="11"/>
  <c r="P145" i="11" s="1"/>
  <c r="M142" i="11"/>
  <c r="P142" i="11" s="1"/>
  <c r="R123" i="11"/>
  <c r="U123" i="11" s="1"/>
  <c r="L123" i="11"/>
  <c r="O123" i="11" s="1"/>
  <c r="R120" i="11"/>
  <c r="L120" i="11"/>
  <c r="O120" i="11" s="1"/>
  <c r="L100" i="11"/>
  <c r="O100" i="11" s="1"/>
  <c r="R97" i="11"/>
  <c r="U97" i="11" s="1"/>
  <c r="L97" i="11"/>
  <c r="O97" i="11" s="1"/>
  <c r="Q23" i="11"/>
  <c r="I689" i="10"/>
  <c r="K689" i="10" s="1"/>
  <c r="K707" i="10"/>
  <c r="Q605" i="10"/>
  <c r="T605" i="10" s="1"/>
  <c r="T607" i="10"/>
  <c r="M515" i="10"/>
  <c r="P515" i="10" s="1"/>
  <c r="M516" i="10"/>
  <c r="P516" i="10" s="1"/>
  <c r="P518" i="10"/>
  <c r="U494" i="10"/>
  <c r="L234" i="10"/>
  <c r="P165" i="10"/>
  <c r="M163" i="10"/>
  <c r="P163" i="10" s="1"/>
  <c r="Q120" i="10"/>
  <c r="T120" i="10" s="1"/>
  <c r="T122" i="10"/>
  <c r="J675" i="8"/>
  <c r="L495" i="8"/>
  <c r="O495" i="8" s="1"/>
  <c r="N322" i="9"/>
  <c r="N320" i="9" s="1"/>
  <c r="M268" i="9"/>
  <c r="M266" i="9" s="1"/>
  <c r="Q416" i="10"/>
  <c r="T416" i="10" s="1"/>
  <c r="T418" i="10"/>
  <c r="Q415" i="10"/>
  <c r="T415" i="10" s="1"/>
  <c r="O341" i="10"/>
  <c r="L339" i="10"/>
  <c r="O339" i="10" s="1"/>
  <c r="L254" i="10"/>
  <c r="O254" i="10" s="1"/>
  <c r="N188" i="10"/>
  <c r="N186" i="10" s="1"/>
  <c r="N189" i="10"/>
  <c r="L145" i="10"/>
  <c r="O145" i="10" s="1"/>
  <c r="O147" i="10"/>
  <c r="K785" i="7"/>
  <c r="K779" i="7"/>
  <c r="K780" i="9"/>
  <c r="K726" i="9"/>
  <c r="K705" i="9"/>
  <c r="J332" i="9"/>
  <c r="K332" i="9" s="1"/>
  <c r="U305" i="9"/>
  <c r="R303" i="9"/>
  <c r="R119" i="9"/>
  <c r="R117" i="9" s="1"/>
  <c r="K727" i="10"/>
  <c r="R714" i="10"/>
  <c r="U714" i="10" s="1"/>
  <c r="U716" i="10"/>
  <c r="L642" i="10"/>
  <c r="O642" i="10" s="1"/>
  <c r="O643" i="10"/>
  <c r="I615" i="10"/>
  <c r="K615" i="10" s="1"/>
  <c r="K626" i="10"/>
  <c r="K632" i="10"/>
  <c r="K630" i="10"/>
  <c r="K631" i="10"/>
  <c r="M582" i="10"/>
  <c r="P582" i="10" s="1"/>
  <c r="P584" i="10"/>
  <c r="M558" i="10"/>
  <c r="P558" i="10" s="1"/>
  <c r="M557" i="10"/>
  <c r="P557" i="10" s="1"/>
  <c r="M519" i="10"/>
  <c r="P519" i="10" s="1"/>
  <c r="N392" i="10"/>
  <c r="Q78" i="10"/>
  <c r="T78" i="10" s="1"/>
  <c r="T80" i="10"/>
  <c r="R44" i="10"/>
  <c r="U44" i="10" s="1"/>
  <c r="U46" i="10"/>
  <c r="J701" i="8"/>
  <c r="K346" i="8"/>
  <c r="L236" i="9"/>
  <c r="L214" i="9"/>
  <c r="O214" i="9" s="1"/>
  <c r="K772" i="10"/>
  <c r="I758" i="10"/>
  <c r="K758" i="10" s="1"/>
  <c r="M760" i="10"/>
  <c r="P760" i="10" s="1"/>
  <c r="P762" i="10"/>
  <c r="M381" i="10"/>
  <c r="P381" i="10" s="1"/>
  <c r="P383" i="10"/>
  <c r="U322" i="10"/>
  <c r="R320" i="10"/>
  <c r="U320" i="10" s="1"/>
  <c r="M159" i="10"/>
  <c r="P159" i="10" s="1"/>
  <c r="K632" i="9"/>
  <c r="O563" i="9"/>
  <c r="T397" i="9"/>
  <c r="M163" i="9"/>
  <c r="P163" i="9" s="1"/>
  <c r="L322" i="10"/>
  <c r="O322" i="10" s="1"/>
  <c r="L323" i="10"/>
  <c r="O323" i="10" s="1"/>
  <c r="O325" i="10"/>
  <c r="L288" i="10"/>
  <c r="O288" i="10" s="1"/>
  <c r="O290" i="10"/>
  <c r="S160" i="10"/>
  <c r="S159" i="10"/>
  <c r="S157" i="10" s="1"/>
  <c r="O162" i="10"/>
  <c r="L159" i="10"/>
  <c r="O159" i="10" s="1"/>
  <c r="L46" i="10"/>
  <c r="L44" i="10" s="1"/>
  <c r="O49" i="10"/>
  <c r="L47" i="10"/>
  <c r="O47" i="10" s="1"/>
  <c r="L234" i="8"/>
  <c r="P80" i="9"/>
  <c r="R690" i="10"/>
  <c r="U690" i="10" s="1"/>
  <c r="U691" i="10"/>
  <c r="S394" i="10"/>
  <c r="S392" i="10" s="1"/>
  <c r="S395" i="10"/>
  <c r="K365" i="10"/>
  <c r="L243" i="10"/>
  <c r="O243" i="10" s="1"/>
  <c r="L235" i="10"/>
  <c r="K116" i="10"/>
  <c r="R119" i="10"/>
  <c r="R117" i="10" s="1"/>
  <c r="Q74" i="10"/>
  <c r="T74" i="10" s="1"/>
  <c r="Q75" i="10"/>
  <c r="T75" i="10" s="1"/>
  <c r="T77" i="10"/>
  <c r="J702" i="10"/>
  <c r="T695" i="10"/>
  <c r="R642" i="10"/>
  <c r="U642" i="10" s="1"/>
  <c r="M642" i="10"/>
  <c r="P642" i="10" s="1"/>
  <c r="O581" i="10"/>
  <c r="N536" i="10"/>
  <c r="N534" i="10" s="1"/>
  <c r="Q513" i="10"/>
  <c r="T513" i="10" s="1"/>
  <c r="L499" i="10"/>
  <c r="O499" i="10" s="1"/>
  <c r="N495" i="10"/>
  <c r="N493" i="10" s="1"/>
  <c r="R495" i="10"/>
  <c r="U495" i="10" s="1"/>
  <c r="P421" i="10"/>
  <c r="I374" i="10"/>
  <c r="I213" i="10"/>
  <c r="K213" i="10" s="1"/>
  <c r="K780" i="10"/>
  <c r="M728" i="10"/>
  <c r="P728" i="10" s="1"/>
  <c r="J701" i="10"/>
  <c r="R618" i="10"/>
  <c r="U618" i="10" s="1"/>
  <c r="N578" i="10"/>
  <c r="N576" i="10" s="1"/>
  <c r="R555" i="10"/>
  <c r="U555" i="10" s="1"/>
  <c r="I492" i="10"/>
  <c r="K492" i="10" s="1"/>
  <c r="O421" i="10"/>
  <c r="L415" i="10"/>
  <c r="O415" i="10" s="1"/>
  <c r="O380" i="10"/>
  <c r="M335" i="10"/>
  <c r="M333" i="10" s="1"/>
  <c r="S333" i="10"/>
  <c r="N268" i="10"/>
  <c r="N266" i="10" s="1"/>
  <c r="S188" i="10"/>
  <c r="S186" i="10" s="1"/>
  <c r="L188" i="10"/>
  <c r="L186" i="10" s="1"/>
  <c r="M119" i="10"/>
  <c r="M117" i="10" s="1"/>
  <c r="P117" i="10" s="1"/>
  <c r="I93" i="10"/>
  <c r="K93" i="10" s="1"/>
  <c r="N74" i="10"/>
  <c r="N72" i="10" s="1"/>
  <c r="N19" i="10"/>
  <c r="O49" i="9"/>
  <c r="L760" i="10"/>
  <c r="O760" i="10" s="1"/>
  <c r="Q692" i="10"/>
  <c r="T692" i="10" s="1"/>
  <c r="S642" i="10"/>
  <c r="Q618" i="10"/>
  <c r="Q616" i="10" s="1"/>
  <c r="Q601" i="10"/>
  <c r="T601" i="10" s="1"/>
  <c r="Q555" i="10"/>
  <c r="T555" i="10" s="1"/>
  <c r="R534" i="10"/>
  <c r="U534" i="10" s="1"/>
  <c r="S496" i="10"/>
  <c r="N415" i="10"/>
  <c r="N413" i="10" s="1"/>
  <c r="Q394" i="10"/>
  <c r="N377" i="10"/>
  <c r="N375" i="10" s="1"/>
  <c r="P359" i="10"/>
  <c r="P341" i="10"/>
  <c r="L335" i="10"/>
  <c r="L333" i="10" s="1"/>
  <c r="M322" i="10"/>
  <c r="P322" i="10" s="1"/>
  <c r="Q320" i="10"/>
  <c r="T320" i="10" s="1"/>
  <c r="M268" i="10"/>
  <c r="M266" i="10" s="1"/>
  <c r="P178" i="10"/>
  <c r="R159" i="10"/>
  <c r="U159" i="10" s="1"/>
  <c r="I82" i="10"/>
  <c r="K82" i="10" s="1"/>
  <c r="Q59" i="10"/>
  <c r="T59" i="10" s="1"/>
  <c r="R763" i="10"/>
  <c r="U763" i="10" s="1"/>
  <c r="M714" i="10"/>
  <c r="P714" i="10" s="1"/>
  <c r="J674" i="10"/>
  <c r="Q644" i="10"/>
  <c r="T644" i="10" s="1"/>
  <c r="M616" i="10"/>
  <c r="P616" i="10" s="1"/>
  <c r="O604" i="10"/>
  <c r="Q576" i="10"/>
  <c r="T576" i="10" s="1"/>
  <c r="Q534" i="10"/>
  <c r="T534" i="10" s="1"/>
  <c r="O518" i="10"/>
  <c r="T515" i="10"/>
  <c r="M415" i="10"/>
  <c r="P415" i="10" s="1"/>
  <c r="S416" i="10"/>
  <c r="S413" i="10"/>
  <c r="M392" i="10"/>
  <c r="P392" i="10" s="1"/>
  <c r="M377" i="10"/>
  <c r="M375" i="10" s="1"/>
  <c r="Q378" i="10"/>
  <c r="J343" i="10"/>
  <c r="P328" i="10"/>
  <c r="N322" i="10"/>
  <c r="N320" i="10" s="1"/>
  <c r="N309" i="10"/>
  <c r="L268" i="10"/>
  <c r="N269" i="10"/>
  <c r="N232" i="10"/>
  <c r="M189" i="10"/>
  <c r="M176" i="10"/>
  <c r="P176" i="10" s="1"/>
  <c r="K169" i="10"/>
  <c r="O144" i="10"/>
  <c r="T125" i="10"/>
  <c r="T99" i="10"/>
  <c r="L96" i="10"/>
  <c r="O96" i="10" s="1"/>
  <c r="N96" i="10"/>
  <c r="N94" i="10" s="1"/>
  <c r="O64" i="9"/>
  <c r="I759" i="10"/>
  <c r="K759" i="10" s="1"/>
  <c r="Q731" i="10"/>
  <c r="T731" i="10" s="1"/>
  <c r="S730" i="10"/>
  <c r="S728" i="10" s="1"/>
  <c r="S693" i="10"/>
  <c r="L690" i="10"/>
  <c r="O690" i="10" s="1"/>
  <c r="N601" i="10"/>
  <c r="N599" i="10" s="1"/>
  <c r="N537" i="10"/>
  <c r="M496" i="10"/>
  <c r="P496" i="10" s="1"/>
  <c r="U380" i="10"/>
  <c r="K368" i="10"/>
  <c r="R356" i="10"/>
  <c r="U356" i="10" s="1"/>
  <c r="U334" i="10"/>
  <c r="O328" i="10"/>
  <c r="I302" i="10"/>
  <c r="K302" i="10" s="1"/>
  <c r="L284" i="10"/>
  <c r="O284" i="10" s="1"/>
  <c r="O283" i="10"/>
  <c r="M269" i="10"/>
  <c r="L236" i="10"/>
  <c r="P191" i="10"/>
  <c r="L189" i="10"/>
  <c r="S173" i="10"/>
  <c r="L163" i="10"/>
  <c r="O163" i="10" s="1"/>
  <c r="R160" i="10"/>
  <c r="U160" i="10" s="1"/>
  <c r="R74" i="10"/>
  <c r="U74" i="10" s="1"/>
  <c r="L74" i="10"/>
  <c r="O74" i="10" s="1"/>
  <c r="P47" i="10"/>
  <c r="S19" i="10"/>
  <c r="R760" i="10"/>
  <c r="Q728" i="10"/>
  <c r="S616" i="10"/>
  <c r="Q760" i="10"/>
  <c r="N284" i="10"/>
  <c r="N282" i="10" s="1"/>
  <c r="U647" i="8"/>
  <c r="Q619" i="8"/>
  <c r="T619" i="8" s="1"/>
  <c r="Q496" i="8"/>
  <c r="T496" i="8" s="1"/>
  <c r="T271" i="8"/>
  <c r="O47" i="8"/>
  <c r="L605" i="9"/>
  <c r="O605" i="9" s="1"/>
  <c r="P581" i="9"/>
  <c r="K503" i="9"/>
  <c r="P418" i="9"/>
  <c r="S416" i="9"/>
  <c r="T416" i="9" s="1"/>
  <c r="K229" i="9"/>
  <c r="Q160" i="9"/>
  <c r="T160" i="9" s="1"/>
  <c r="Q763" i="10"/>
  <c r="T763" i="10" s="1"/>
  <c r="K703" i="10"/>
  <c r="R693" i="10"/>
  <c r="U693" i="10" s="1"/>
  <c r="R645" i="10"/>
  <c r="U645" i="10" s="1"/>
  <c r="T621" i="10"/>
  <c r="S619" i="10"/>
  <c r="T619" i="10" s="1"/>
  <c r="L578" i="10"/>
  <c r="L561" i="10"/>
  <c r="O561" i="10" s="1"/>
  <c r="L557" i="10"/>
  <c r="O557" i="10" s="1"/>
  <c r="U536" i="10"/>
  <c r="M536" i="10"/>
  <c r="L515" i="10"/>
  <c r="O515" i="10" s="1"/>
  <c r="P501" i="10"/>
  <c r="N496" i="10"/>
  <c r="K440" i="10"/>
  <c r="L381" i="10"/>
  <c r="O381" i="10" s="1"/>
  <c r="P338" i="10"/>
  <c r="K292" i="10"/>
  <c r="T194" i="10"/>
  <c r="Q192" i="10"/>
  <c r="T192" i="10" s="1"/>
  <c r="Q188" i="10"/>
  <c r="T188" i="10" s="1"/>
  <c r="P73" i="10"/>
  <c r="O45" i="10"/>
  <c r="R395" i="10"/>
  <c r="U395" i="10" s="1"/>
  <c r="U397" i="10"/>
  <c r="Q74" i="8"/>
  <c r="T74" i="8" s="1"/>
  <c r="O65" i="8"/>
  <c r="K778" i="9"/>
  <c r="T418" i="9"/>
  <c r="T178" i="9"/>
  <c r="Q175" i="9"/>
  <c r="Q173" i="9" s="1"/>
  <c r="T173" i="9" s="1"/>
  <c r="I116" i="9"/>
  <c r="K116" i="9" s="1"/>
  <c r="L78" i="9"/>
  <c r="O78" i="9" s="1"/>
  <c r="L616" i="10"/>
  <c r="O616" i="10" s="1"/>
  <c r="S601" i="10"/>
  <c r="S599" i="10" s="1"/>
  <c r="M601" i="10"/>
  <c r="L582" i="10"/>
  <c r="O582" i="10" s="1"/>
  <c r="N558" i="10"/>
  <c r="L536" i="10"/>
  <c r="N519" i="10"/>
  <c r="R513" i="10"/>
  <c r="U513" i="10" s="1"/>
  <c r="R415" i="10"/>
  <c r="U415" i="10" s="1"/>
  <c r="O414" i="10"/>
  <c r="M378" i="10"/>
  <c r="P378" i="10" s="1"/>
  <c r="P380" i="10"/>
  <c r="L378" i="10"/>
  <c r="O378" i="10" s="1"/>
  <c r="Q375" i="10"/>
  <c r="P361" i="10"/>
  <c r="M336" i="10"/>
  <c r="J332" i="10"/>
  <c r="Q306" i="10"/>
  <c r="T306" i="10" s="1"/>
  <c r="Q305" i="10"/>
  <c r="T305" i="10" s="1"/>
  <c r="L269" i="10"/>
  <c r="K209" i="10"/>
  <c r="L203" i="10"/>
  <c r="O203" i="10" s="1"/>
  <c r="K183" i="10"/>
  <c r="O181" i="10"/>
  <c r="L179" i="10"/>
  <c r="O179" i="10" s="1"/>
  <c r="N159" i="10"/>
  <c r="N157" i="10" s="1"/>
  <c r="N160" i="10"/>
  <c r="R192" i="8"/>
  <c r="U192" i="8" s="1"/>
  <c r="O125" i="8"/>
  <c r="M309" i="9"/>
  <c r="P309" i="9" s="1"/>
  <c r="R192" i="9"/>
  <c r="U192" i="9" s="1"/>
  <c r="O181" i="9"/>
  <c r="S762" i="10"/>
  <c r="S760" i="10" s="1"/>
  <c r="U733" i="10"/>
  <c r="R730" i="10"/>
  <c r="P729" i="10"/>
  <c r="P715" i="10"/>
  <c r="R601" i="10"/>
  <c r="L601" i="10"/>
  <c r="P600" i="10"/>
  <c r="T577" i="10"/>
  <c r="S555" i="10"/>
  <c r="J503" i="10"/>
  <c r="J492" i="10" s="1"/>
  <c r="U414" i="10"/>
  <c r="S378" i="10"/>
  <c r="T380" i="10"/>
  <c r="Q333" i="10"/>
  <c r="T333" i="10" s="1"/>
  <c r="T334" i="10"/>
  <c r="S266" i="10"/>
  <c r="I221" i="10"/>
  <c r="K221" i="10" s="1"/>
  <c r="K229" i="10"/>
  <c r="U178" i="10"/>
  <c r="R175" i="10"/>
  <c r="U175" i="10" s="1"/>
  <c r="R176" i="10"/>
  <c r="U176" i="10" s="1"/>
  <c r="N605" i="1"/>
  <c r="O308" i="10"/>
  <c r="L306" i="10"/>
  <c r="O306" i="10" s="1"/>
  <c r="S305" i="10"/>
  <c r="S303" i="10" s="1"/>
  <c r="O584" i="8"/>
  <c r="O501" i="8"/>
  <c r="J332" i="8"/>
  <c r="S306" i="8"/>
  <c r="T306" i="8" s="1"/>
  <c r="T194" i="8"/>
  <c r="K727" i="9"/>
  <c r="K709" i="9"/>
  <c r="M499" i="9"/>
  <c r="P499" i="9" s="1"/>
  <c r="S395" i="9"/>
  <c r="T394" i="9"/>
  <c r="U380" i="9"/>
  <c r="M378" i="9"/>
  <c r="P378" i="9" s="1"/>
  <c r="P364" i="9"/>
  <c r="K344" i="9"/>
  <c r="O308" i="9"/>
  <c r="T194" i="9"/>
  <c r="U191" i="9"/>
  <c r="S157" i="9"/>
  <c r="T147" i="9"/>
  <c r="U765" i="10"/>
  <c r="T733" i="10"/>
  <c r="K629" i="10"/>
  <c r="M605" i="10"/>
  <c r="P605" i="10" s="1"/>
  <c r="M602" i="10"/>
  <c r="P602" i="10" s="1"/>
  <c r="M579" i="10"/>
  <c r="P579" i="10" s="1"/>
  <c r="P560" i="10"/>
  <c r="R496" i="10"/>
  <c r="U496" i="10" s="1"/>
  <c r="K423" i="10"/>
  <c r="T397" i="10"/>
  <c r="R394" i="10"/>
  <c r="U394" i="10" s="1"/>
  <c r="P393" i="10"/>
  <c r="J374" i="10"/>
  <c r="R378" i="10"/>
  <c r="S377" i="10"/>
  <c r="U377" i="10" s="1"/>
  <c r="K371" i="10"/>
  <c r="M362" i="10"/>
  <c r="P362" i="10" s="1"/>
  <c r="M358" i="10"/>
  <c r="Q356" i="10"/>
  <c r="T356" i="10" s="1"/>
  <c r="N335" i="10"/>
  <c r="N333" i="10" s="1"/>
  <c r="I319" i="10"/>
  <c r="K319" i="10" s="1"/>
  <c r="K330" i="10"/>
  <c r="O311" i="10"/>
  <c r="L309" i="10"/>
  <c r="O309" i="10" s="1"/>
  <c r="T304" i="10"/>
  <c r="R268" i="10"/>
  <c r="I195" i="10"/>
  <c r="K195" i="10" s="1"/>
  <c r="U174" i="10"/>
  <c r="T125" i="7"/>
  <c r="Q730" i="9"/>
  <c r="Q728" i="9" s="1"/>
  <c r="K629" i="9"/>
  <c r="O584" i="9"/>
  <c r="Q395" i="9"/>
  <c r="T395" i="9" s="1"/>
  <c r="J343" i="9"/>
  <c r="T75" i="9"/>
  <c r="T765" i="10"/>
  <c r="U695" i="10"/>
  <c r="U647" i="10"/>
  <c r="P542" i="10"/>
  <c r="O521" i="10"/>
  <c r="L495" i="10"/>
  <c r="O495" i="10" s="1"/>
  <c r="U418" i="10"/>
  <c r="N416" i="10"/>
  <c r="O361" i="10"/>
  <c r="N358" i="10"/>
  <c r="N356" i="10" s="1"/>
  <c r="T308" i="10"/>
  <c r="M284" i="10"/>
  <c r="P287" i="10"/>
  <c r="M285" i="10"/>
  <c r="P285" i="10" s="1"/>
  <c r="T271" i="10"/>
  <c r="Q268" i="10"/>
  <c r="O194" i="10"/>
  <c r="L192" i="10"/>
  <c r="O192" i="10" s="1"/>
  <c r="J458" i="10"/>
  <c r="L392" i="10"/>
  <c r="O392" i="10" s="1"/>
  <c r="N336" i="10"/>
  <c r="O336" i="10" s="1"/>
  <c r="O338" i="10"/>
  <c r="S320" i="10"/>
  <c r="I265" i="10"/>
  <c r="K265" i="10" s="1"/>
  <c r="K230" i="10"/>
  <c r="L214" i="10"/>
  <c r="O214" i="10" s="1"/>
  <c r="N62" i="10"/>
  <c r="O62" i="10" s="1"/>
  <c r="O64" i="10"/>
  <c r="P64" i="10"/>
  <c r="N61" i="10"/>
  <c r="N59" i="10" s="1"/>
  <c r="T174" i="10"/>
  <c r="P140" i="10"/>
  <c r="N123" i="10"/>
  <c r="N119" i="10"/>
  <c r="N117" i="10" s="1"/>
  <c r="L358" i="10"/>
  <c r="L222" i="10"/>
  <c r="O222" i="10" s="1"/>
  <c r="R192" i="10"/>
  <c r="U192" i="10" s="1"/>
  <c r="T191" i="10"/>
  <c r="Q189" i="10"/>
  <c r="T189" i="10" s="1"/>
  <c r="P181" i="10"/>
  <c r="M179" i="10"/>
  <c r="P179" i="10" s="1"/>
  <c r="O174" i="10"/>
  <c r="Q145" i="10"/>
  <c r="T145" i="10" s="1"/>
  <c r="T147" i="10"/>
  <c r="S97" i="10"/>
  <c r="S96" i="10"/>
  <c r="S94" i="10" s="1"/>
  <c r="S23" i="10"/>
  <c r="S21" i="10" s="1"/>
  <c r="P67" i="10"/>
  <c r="M65" i="10"/>
  <c r="P65" i="10" s="1"/>
  <c r="M26" i="10"/>
  <c r="M24" i="10" s="1"/>
  <c r="O25" i="10"/>
  <c r="L19" i="10"/>
  <c r="R142" i="10"/>
  <c r="U142" i="10" s="1"/>
  <c r="R141" i="10"/>
  <c r="U141" i="10" s="1"/>
  <c r="U144" i="10"/>
  <c r="T118" i="10"/>
  <c r="O321" i="10"/>
  <c r="R305" i="10"/>
  <c r="O304" i="10"/>
  <c r="T283" i="10"/>
  <c r="P271" i="10"/>
  <c r="Q176" i="10"/>
  <c r="T176" i="10" s="1"/>
  <c r="Q175" i="10"/>
  <c r="T175" i="10" s="1"/>
  <c r="T178" i="10"/>
  <c r="O122" i="10"/>
  <c r="L120" i="10"/>
  <c r="O120" i="10" s="1"/>
  <c r="L119" i="10"/>
  <c r="O119" i="10" s="1"/>
  <c r="Q26" i="10"/>
  <c r="T26" i="10" s="1"/>
  <c r="U22" i="10"/>
  <c r="R19" i="10"/>
  <c r="P19" i="10"/>
  <c r="Q141" i="10"/>
  <c r="O140" i="10"/>
  <c r="P125" i="10"/>
  <c r="M123" i="10"/>
  <c r="P123" i="10" s="1"/>
  <c r="U99" i="10"/>
  <c r="R97" i="10"/>
  <c r="U97" i="10" s="1"/>
  <c r="O67" i="10"/>
  <c r="L65" i="10"/>
  <c r="O65" i="10" s="1"/>
  <c r="P60" i="10"/>
  <c r="U191" i="10"/>
  <c r="O191" i="10"/>
  <c r="L175" i="10"/>
  <c r="O175" i="10" s="1"/>
  <c r="T162" i="10"/>
  <c r="Q159" i="10"/>
  <c r="T159" i="10" s="1"/>
  <c r="K152" i="10"/>
  <c r="U147" i="10"/>
  <c r="O125" i="10"/>
  <c r="L123" i="10"/>
  <c r="O123" i="10" s="1"/>
  <c r="U122" i="10"/>
  <c r="R120" i="10"/>
  <c r="U120" i="10" s="1"/>
  <c r="I83" i="10"/>
  <c r="L61" i="10"/>
  <c r="P49" i="10"/>
  <c r="U25" i="10"/>
  <c r="P147" i="10"/>
  <c r="M145" i="10"/>
  <c r="P145" i="10" s="1"/>
  <c r="U140" i="10"/>
  <c r="P102" i="10"/>
  <c r="M100" i="10"/>
  <c r="P100" i="10" s="1"/>
  <c r="O95" i="10"/>
  <c r="R59" i="10"/>
  <c r="U59" i="10" s="1"/>
  <c r="S26" i="10"/>
  <c r="S24" i="10" s="1"/>
  <c r="N23" i="10"/>
  <c r="P22" i="10"/>
  <c r="L160" i="10"/>
  <c r="O160" i="10" s="1"/>
  <c r="P144" i="10"/>
  <c r="M142" i="10"/>
  <c r="P142" i="10" s="1"/>
  <c r="S141" i="10"/>
  <c r="S139" i="10" s="1"/>
  <c r="U125" i="10"/>
  <c r="R123" i="10"/>
  <c r="U123" i="10" s="1"/>
  <c r="O118" i="10"/>
  <c r="K108" i="10"/>
  <c r="O102" i="10"/>
  <c r="L100" i="10"/>
  <c r="O100" i="10" s="1"/>
  <c r="P99" i="10"/>
  <c r="M97" i="10"/>
  <c r="P97" i="10" s="1"/>
  <c r="U95" i="10"/>
  <c r="M23" i="10"/>
  <c r="O22" i="10"/>
  <c r="P122" i="10"/>
  <c r="M120" i="10"/>
  <c r="P120" i="10" s="1"/>
  <c r="S119" i="10"/>
  <c r="S117" i="10" s="1"/>
  <c r="U118" i="10"/>
  <c r="O99" i="10"/>
  <c r="L97" i="10"/>
  <c r="O97" i="10" s="1"/>
  <c r="R96" i="10"/>
  <c r="U96" i="10" s="1"/>
  <c r="T95" i="10"/>
  <c r="R26" i="10"/>
  <c r="U26" i="10" s="1"/>
  <c r="O52" i="10"/>
  <c r="L26" i="10"/>
  <c r="L24" i="10" s="1"/>
  <c r="L50" i="10"/>
  <c r="O50" i="10" s="1"/>
  <c r="M50" i="10"/>
  <c r="P50" i="10" s="1"/>
  <c r="N46" i="10"/>
  <c r="P45" i="10"/>
  <c r="N26" i="10"/>
  <c r="N24" i="10" s="1"/>
  <c r="P25" i="10"/>
  <c r="Q19" i="10"/>
  <c r="L141" i="10"/>
  <c r="O141" i="10" s="1"/>
  <c r="Q119" i="10"/>
  <c r="Q96" i="10"/>
  <c r="T96" i="10" s="1"/>
  <c r="K85" i="10"/>
  <c r="S74" i="10"/>
  <c r="S72" i="10" s="1"/>
  <c r="M74" i="10"/>
  <c r="P74" i="10" s="1"/>
  <c r="M61" i="10"/>
  <c r="M46" i="10"/>
  <c r="P46" i="10" s="1"/>
  <c r="R23" i="10"/>
  <c r="R21" i="10" s="1"/>
  <c r="L23" i="10"/>
  <c r="L21" i="10" s="1"/>
  <c r="Q23" i="10"/>
  <c r="M285" i="9"/>
  <c r="P285" i="9" s="1"/>
  <c r="P287" i="9"/>
  <c r="R119" i="6"/>
  <c r="R117" i="6" s="1"/>
  <c r="N557" i="8"/>
  <c r="N555" i="8" s="1"/>
  <c r="P336" i="8"/>
  <c r="L728" i="9"/>
  <c r="O728" i="9" s="1"/>
  <c r="O729" i="9"/>
  <c r="K137" i="9"/>
  <c r="L100" i="9"/>
  <c r="O100" i="9" s="1"/>
  <c r="O102" i="9"/>
  <c r="O181" i="4"/>
  <c r="P147" i="6"/>
  <c r="L557" i="8"/>
  <c r="O557" i="8" s="1"/>
  <c r="S394" i="8"/>
  <c r="S392" i="8" s="1"/>
  <c r="M358" i="8"/>
  <c r="M356" i="8" s="1"/>
  <c r="Q159" i="8"/>
  <c r="T159" i="8" s="1"/>
  <c r="K779" i="9"/>
  <c r="Q763" i="9"/>
  <c r="T763" i="9" s="1"/>
  <c r="S762" i="9"/>
  <c r="U729" i="9"/>
  <c r="S714" i="9"/>
  <c r="T647" i="9"/>
  <c r="Q645" i="9"/>
  <c r="T645" i="9" s="1"/>
  <c r="M516" i="9"/>
  <c r="P516" i="9" s="1"/>
  <c r="P518" i="9"/>
  <c r="N415" i="9"/>
  <c r="N413" i="9" s="1"/>
  <c r="L323" i="9"/>
  <c r="O323" i="9" s="1"/>
  <c r="L322" i="9"/>
  <c r="O322" i="9" s="1"/>
  <c r="O325" i="9"/>
  <c r="Q268" i="9"/>
  <c r="Q266" i="9" s="1"/>
  <c r="Q269" i="9"/>
  <c r="T269" i="9" s="1"/>
  <c r="L192" i="9"/>
  <c r="O192" i="9" s="1"/>
  <c r="O194" i="9"/>
  <c r="L96" i="9"/>
  <c r="O96" i="9" s="1"/>
  <c r="O99" i="9"/>
  <c r="L97" i="9"/>
  <c r="O97" i="9" s="1"/>
  <c r="S62" i="1"/>
  <c r="T604" i="8"/>
  <c r="P498" i="8"/>
  <c r="T162" i="8"/>
  <c r="Q145" i="8"/>
  <c r="T145" i="8" s="1"/>
  <c r="K774" i="9"/>
  <c r="U765" i="9"/>
  <c r="Q760" i="9"/>
  <c r="T494" i="9"/>
  <c r="L188" i="9"/>
  <c r="L189" i="9"/>
  <c r="O189" i="9" s="1"/>
  <c r="M75" i="9"/>
  <c r="P75" i="9" s="1"/>
  <c r="P77" i="9"/>
  <c r="K781" i="4"/>
  <c r="K778" i="4"/>
  <c r="J343" i="8"/>
  <c r="O181" i="8"/>
  <c r="T178" i="8"/>
  <c r="P761" i="9"/>
  <c r="J674" i="9"/>
  <c r="L642" i="9"/>
  <c r="O642" i="9" s="1"/>
  <c r="O643" i="9"/>
  <c r="N602" i="9"/>
  <c r="N601" i="9"/>
  <c r="N599" i="9" s="1"/>
  <c r="R513" i="9"/>
  <c r="U513" i="9" s="1"/>
  <c r="U514" i="9"/>
  <c r="R176" i="9"/>
  <c r="U176" i="9" s="1"/>
  <c r="R175" i="9"/>
  <c r="U175" i="9" s="1"/>
  <c r="U178" i="9"/>
  <c r="J675" i="6"/>
  <c r="K784" i="8"/>
  <c r="K781" i="8"/>
  <c r="K778" i="8"/>
  <c r="P563" i="8"/>
  <c r="P364" i="8"/>
  <c r="K785" i="9"/>
  <c r="U763" i="9"/>
  <c r="N760" i="9"/>
  <c r="R576" i="9"/>
  <c r="U576" i="9" s="1"/>
  <c r="U578" i="9"/>
  <c r="L163" i="9"/>
  <c r="O163" i="9" s="1"/>
  <c r="O165" i="9"/>
  <c r="T733" i="9"/>
  <c r="O691" i="9"/>
  <c r="T619" i="9"/>
  <c r="N557" i="9"/>
  <c r="N555" i="9" s="1"/>
  <c r="M536" i="9"/>
  <c r="P536" i="9" s="1"/>
  <c r="L515" i="9"/>
  <c r="O515" i="9" s="1"/>
  <c r="N495" i="9"/>
  <c r="N493" i="9" s="1"/>
  <c r="Q495" i="9"/>
  <c r="T495" i="9" s="1"/>
  <c r="N416" i="9"/>
  <c r="O416" i="9" s="1"/>
  <c r="S413" i="9"/>
  <c r="S392" i="9"/>
  <c r="L392" i="9"/>
  <c r="O392" i="9" s="1"/>
  <c r="R377" i="9"/>
  <c r="U377" i="9" s="1"/>
  <c r="O359" i="9"/>
  <c r="L339" i="9"/>
  <c r="O339" i="9" s="1"/>
  <c r="I319" i="9"/>
  <c r="K319" i="9" s="1"/>
  <c r="O311" i="9"/>
  <c r="K293" i="9"/>
  <c r="L284" i="9"/>
  <c r="O284" i="9" s="1"/>
  <c r="S282" i="9"/>
  <c r="K249" i="9"/>
  <c r="S188" i="9"/>
  <c r="S186" i="9" s="1"/>
  <c r="K152" i="9"/>
  <c r="N119" i="9"/>
  <c r="N117" i="9" s="1"/>
  <c r="I83" i="9"/>
  <c r="R74" i="9"/>
  <c r="R72" i="9" s="1"/>
  <c r="L74" i="9"/>
  <c r="L72" i="9" s="1"/>
  <c r="P64" i="9"/>
  <c r="N62" i="9"/>
  <c r="O62" i="9" s="1"/>
  <c r="N46" i="9"/>
  <c r="N44" i="9" s="1"/>
  <c r="S44" i="9"/>
  <c r="L714" i="9"/>
  <c r="O714" i="9" s="1"/>
  <c r="J701" i="9"/>
  <c r="J675" i="9"/>
  <c r="L601" i="9"/>
  <c r="N578" i="9"/>
  <c r="N576" i="9" s="1"/>
  <c r="N579" i="9"/>
  <c r="O579" i="9" s="1"/>
  <c r="M578" i="9"/>
  <c r="R555" i="9"/>
  <c r="U555" i="9" s="1"/>
  <c r="O539" i="9"/>
  <c r="Q496" i="9"/>
  <c r="T496" i="9" s="1"/>
  <c r="M495" i="9"/>
  <c r="P495" i="9" s="1"/>
  <c r="I423" i="9"/>
  <c r="M377" i="9"/>
  <c r="P377" i="9" s="1"/>
  <c r="O361" i="9"/>
  <c r="S356" i="9"/>
  <c r="Q333" i="9"/>
  <c r="T333" i="9" s="1"/>
  <c r="K314" i="9"/>
  <c r="U308" i="9"/>
  <c r="O274" i="9"/>
  <c r="R269" i="9"/>
  <c r="U269" i="9" s="1"/>
  <c r="I195" i="9"/>
  <c r="K195" i="9" s="1"/>
  <c r="P194" i="9"/>
  <c r="R188" i="9"/>
  <c r="K183" i="9"/>
  <c r="M179" i="9"/>
  <c r="P179" i="9" s="1"/>
  <c r="Q159" i="9"/>
  <c r="Q157" i="9" s="1"/>
  <c r="T157" i="9" s="1"/>
  <c r="Q141" i="9"/>
  <c r="Q139" i="9" s="1"/>
  <c r="M119" i="9"/>
  <c r="P119" i="9" s="1"/>
  <c r="S120" i="9"/>
  <c r="Q74" i="9"/>
  <c r="Q72" i="9" s="1"/>
  <c r="Q19" i="9"/>
  <c r="T19" i="9" s="1"/>
  <c r="K707" i="9"/>
  <c r="S618" i="9"/>
  <c r="S616" i="9" s="1"/>
  <c r="R601" i="9"/>
  <c r="U601" i="9" s="1"/>
  <c r="L602" i="9"/>
  <c r="O602" i="9" s="1"/>
  <c r="M579" i="9"/>
  <c r="L578" i="9"/>
  <c r="L576" i="9" s="1"/>
  <c r="L557" i="9"/>
  <c r="M537" i="9"/>
  <c r="P537" i="9" s="1"/>
  <c r="S534" i="9"/>
  <c r="L516" i="9"/>
  <c r="O516" i="9" s="1"/>
  <c r="N496" i="9"/>
  <c r="J458" i="9"/>
  <c r="Q415" i="9"/>
  <c r="T415" i="9" s="1"/>
  <c r="N323" i="9"/>
  <c r="M305" i="9"/>
  <c r="M303" i="9" s="1"/>
  <c r="S306" i="9"/>
  <c r="S303" i="9"/>
  <c r="L268" i="9"/>
  <c r="L266" i="9" s="1"/>
  <c r="L222" i="9"/>
  <c r="O222" i="9" s="1"/>
  <c r="Q188" i="9"/>
  <c r="M159" i="9"/>
  <c r="P159" i="9" s="1"/>
  <c r="S160" i="9"/>
  <c r="N141" i="9"/>
  <c r="M123" i="9"/>
  <c r="P123" i="9" s="1"/>
  <c r="N120" i="9"/>
  <c r="L75" i="9"/>
  <c r="O75" i="9" s="1"/>
  <c r="N61" i="9"/>
  <c r="N59" i="9" s="1"/>
  <c r="N19" i="9"/>
  <c r="T731" i="9"/>
  <c r="S730" i="9"/>
  <c r="R619" i="9"/>
  <c r="U619" i="9" s="1"/>
  <c r="R616" i="9"/>
  <c r="Q534" i="9"/>
  <c r="T534" i="9" s="1"/>
  <c r="O518" i="9"/>
  <c r="M496" i="9"/>
  <c r="P496" i="9" s="1"/>
  <c r="O418" i="9"/>
  <c r="N392" i="9"/>
  <c r="O338" i="9"/>
  <c r="N335" i="9"/>
  <c r="N333" i="9" s="1"/>
  <c r="L305" i="9"/>
  <c r="L303" i="9" s="1"/>
  <c r="R306" i="9"/>
  <c r="O287" i="9"/>
  <c r="L269" i="9"/>
  <c r="O269" i="9" s="1"/>
  <c r="L254" i="9"/>
  <c r="O254" i="9" s="1"/>
  <c r="L235" i="9"/>
  <c r="P189" i="9"/>
  <c r="M19" i="9"/>
  <c r="P19" i="9" s="1"/>
  <c r="R730" i="9"/>
  <c r="R728" i="9" s="1"/>
  <c r="O715" i="9"/>
  <c r="J702" i="9"/>
  <c r="R693" i="9"/>
  <c r="U693" i="9" s="1"/>
  <c r="S692" i="9"/>
  <c r="S690" i="9" s="1"/>
  <c r="R690" i="9"/>
  <c r="S644" i="9"/>
  <c r="S642" i="9" s="1"/>
  <c r="Q618" i="9"/>
  <c r="Q616" i="9" s="1"/>
  <c r="O604" i="9"/>
  <c r="P584" i="9"/>
  <c r="N558" i="9"/>
  <c r="L540" i="9"/>
  <c r="O540" i="9" s="1"/>
  <c r="O521" i="9"/>
  <c r="S513" i="9"/>
  <c r="S495" i="9"/>
  <c r="S493" i="9" s="1"/>
  <c r="L415" i="9"/>
  <c r="M381" i="9"/>
  <c r="P381" i="9" s="1"/>
  <c r="K346" i="9"/>
  <c r="Q320" i="9"/>
  <c r="T320" i="9" s="1"/>
  <c r="M306" i="9"/>
  <c r="P306" i="9" s="1"/>
  <c r="N284" i="9"/>
  <c r="N282" i="9" s="1"/>
  <c r="L234" i="9"/>
  <c r="L203" i="9"/>
  <c r="O203" i="9" s="1"/>
  <c r="M188" i="9"/>
  <c r="M186" i="9" s="1"/>
  <c r="S189" i="9"/>
  <c r="U189" i="9" s="1"/>
  <c r="U147" i="9"/>
  <c r="O147" i="9"/>
  <c r="L141" i="9"/>
  <c r="N142" i="9"/>
  <c r="P140" i="9"/>
  <c r="T99" i="9"/>
  <c r="R97" i="9"/>
  <c r="U77" i="9"/>
  <c r="N74" i="9"/>
  <c r="N72" i="9" s="1"/>
  <c r="P49" i="9"/>
  <c r="N47" i="9"/>
  <c r="O47" i="9" s="1"/>
  <c r="M46" i="8"/>
  <c r="M44" i="8" s="1"/>
  <c r="P49" i="8"/>
  <c r="J674" i="8"/>
  <c r="Q377" i="8"/>
  <c r="Q375" i="8" s="1"/>
  <c r="Q378" i="8"/>
  <c r="T378" i="8" s="1"/>
  <c r="L616" i="9"/>
  <c r="O616" i="9" s="1"/>
  <c r="N516" i="9"/>
  <c r="N515" i="9"/>
  <c r="N513" i="9" s="1"/>
  <c r="P321" i="9"/>
  <c r="L579" i="8"/>
  <c r="O579" i="8" s="1"/>
  <c r="O581" i="8"/>
  <c r="L578" i="8"/>
  <c r="O578" i="8" s="1"/>
  <c r="O62" i="6"/>
  <c r="S159" i="7"/>
  <c r="S157" i="7" s="1"/>
  <c r="S160" i="7"/>
  <c r="U619" i="8"/>
  <c r="L381" i="8"/>
  <c r="O381" i="8" s="1"/>
  <c r="O383" i="8"/>
  <c r="T691" i="9"/>
  <c r="R645" i="9"/>
  <c r="U645" i="9" s="1"/>
  <c r="U647" i="9"/>
  <c r="R644" i="9"/>
  <c r="M642" i="9"/>
  <c r="P642" i="9" s="1"/>
  <c r="S601" i="9"/>
  <c r="S599" i="9" s="1"/>
  <c r="S605" i="9"/>
  <c r="T600" i="9"/>
  <c r="N602" i="8"/>
  <c r="N601" i="8"/>
  <c r="N599" i="8" s="1"/>
  <c r="S693" i="7"/>
  <c r="S692" i="7"/>
  <c r="S690" i="7" s="1"/>
  <c r="L288" i="7"/>
  <c r="O288" i="7" s="1"/>
  <c r="O290" i="7"/>
  <c r="K440" i="8"/>
  <c r="I423" i="8"/>
  <c r="I412" i="8" s="1"/>
  <c r="K412" i="8" s="1"/>
  <c r="R160" i="8"/>
  <c r="U160" i="8" s="1"/>
  <c r="R159" i="8"/>
  <c r="U159" i="8" s="1"/>
  <c r="I701" i="9"/>
  <c r="P535" i="9"/>
  <c r="M515" i="9"/>
  <c r="P521" i="9"/>
  <c r="M519" i="9"/>
  <c r="P519" i="9" s="1"/>
  <c r="N78" i="1"/>
  <c r="R763" i="6"/>
  <c r="U763" i="6" s="1"/>
  <c r="U765" i="6"/>
  <c r="R762" i="6"/>
  <c r="U762" i="6" s="1"/>
  <c r="T716" i="9"/>
  <c r="Q714" i="9"/>
  <c r="T714" i="9" s="1"/>
  <c r="Q601" i="9"/>
  <c r="T601" i="9" s="1"/>
  <c r="T604" i="9"/>
  <c r="Q602" i="9"/>
  <c r="T602" i="9" s="1"/>
  <c r="P563" i="9"/>
  <c r="M561" i="9"/>
  <c r="P561" i="9" s="1"/>
  <c r="N192" i="1"/>
  <c r="N97" i="8"/>
  <c r="N96" i="8"/>
  <c r="N94" i="8" s="1"/>
  <c r="R534" i="9"/>
  <c r="U534" i="9" s="1"/>
  <c r="U536" i="9"/>
  <c r="O762" i="9"/>
  <c r="L760" i="9"/>
  <c r="O760" i="9" s="1"/>
  <c r="U731" i="9"/>
  <c r="T693" i="9"/>
  <c r="M690" i="9"/>
  <c r="P690" i="9" s="1"/>
  <c r="Q642" i="9"/>
  <c r="T642" i="9" s="1"/>
  <c r="T643" i="9"/>
  <c r="M605" i="9"/>
  <c r="P605" i="9" s="1"/>
  <c r="P361" i="9"/>
  <c r="M358" i="9"/>
  <c r="M359" i="9"/>
  <c r="P359" i="9" s="1"/>
  <c r="K778" i="6"/>
  <c r="J374" i="6"/>
  <c r="U647" i="7"/>
  <c r="T271" i="7"/>
  <c r="J702" i="8"/>
  <c r="T621" i="8"/>
  <c r="S618" i="8"/>
  <c r="S616" i="8" s="1"/>
  <c r="O518" i="8"/>
  <c r="P380" i="8"/>
  <c r="K198" i="8"/>
  <c r="N159" i="8"/>
  <c r="N157" i="8" s="1"/>
  <c r="M120" i="8"/>
  <c r="P120" i="8" s="1"/>
  <c r="T765" i="9"/>
  <c r="U695" i="9"/>
  <c r="P691" i="9"/>
  <c r="P643" i="9"/>
  <c r="O617" i="9"/>
  <c r="P604" i="9"/>
  <c r="M601" i="9"/>
  <c r="Q576" i="9"/>
  <c r="T576" i="9" s="1"/>
  <c r="M557" i="9"/>
  <c r="P557" i="9" s="1"/>
  <c r="L558" i="9"/>
  <c r="O558" i="9" s="1"/>
  <c r="N536" i="9"/>
  <c r="N534" i="9" s="1"/>
  <c r="P494" i="9"/>
  <c r="J457" i="9"/>
  <c r="T414" i="9"/>
  <c r="O376" i="9"/>
  <c r="M336" i="9"/>
  <c r="P336" i="9" s="1"/>
  <c r="M335" i="9"/>
  <c r="P338" i="9"/>
  <c r="K302" i="9"/>
  <c r="P290" i="9"/>
  <c r="M288" i="9"/>
  <c r="P288" i="9" s="1"/>
  <c r="P178" i="9"/>
  <c r="M175" i="9"/>
  <c r="M176" i="9"/>
  <c r="P176" i="9" s="1"/>
  <c r="U765" i="7"/>
  <c r="P581" i="8"/>
  <c r="S413" i="8"/>
  <c r="L222" i="8"/>
  <c r="O222" i="8" s="1"/>
  <c r="U99" i="8"/>
  <c r="O80" i="8"/>
  <c r="K772" i="9"/>
  <c r="T761" i="9"/>
  <c r="T695" i="9"/>
  <c r="Q692" i="9"/>
  <c r="U691" i="9"/>
  <c r="T617" i="9"/>
  <c r="O581" i="9"/>
  <c r="U557" i="9"/>
  <c r="L495" i="9"/>
  <c r="L496" i="9"/>
  <c r="O496" i="9" s="1"/>
  <c r="R395" i="9"/>
  <c r="U395" i="9" s="1"/>
  <c r="U397" i="9"/>
  <c r="R394" i="9"/>
  <c r="U394" i="9" s="1"/>
  <c r="L378" i="9"/>
  <c r="O378" i="9" s="1"/>
  <c r="L377" i="9"/>
  <c r="O377" i="9" s="1"/>
  <c r="O380" i="9"/>
  <c r="U376" i="9"/>
  <c r="R333" i="9"/>
  <c r="U333" i="9" s="1"/>
  <c r="U283" i="9"/>
  <c r="R282" i="9"/>
  <c r="U282" i="9" s="1"/>
  <c r="P584" i="6"/>
  <c r="P521" i="7"/>
  <c r="P80" i="7"/>
  <c r="P77" i="7"/>
  <c r="Q394" i="8"/>
  <c r="T394" i="8" s="1"/>
  <c r="K703" i="9"/>
  <c r="K626" i="9"/>
  <c r="K630" i="9"/>
  <c r="U621" i="9"/>
  <c r="I615" i="9"/>
  <c r="K615" i="9" s="1"/>
  <c r="M392" i="9"/>
  <c r="P392" i="9" s="1"/>
  <c r="S377" i="9"/>
  <c r="S375" i="9" s="1"/>
  <c r="S378" i="9"/>
  <c r="T305" i="9"/>
  <c r="Q303" i="9"/>
  <c r="P125" i="1"/>
  <c r="S619" i="5"/>
  <c r="U619" i="5" s="1"/>
  <c r="K726" i="6"/>
  <c r="K781" i="7"/>
  <c r="R730" i="7"/>
  <c r="R728" i="7" s="1"/>
  <c r="P49" i="7"/>
  <c r="K782" i="8"/>
  <c r="K630" i="8"/>
  <c r="L519" i="8"/>
  <c r="O519" i="8" s="1"/>
  <c r="S303" i="8"/>
  <c r="L236" i="8"/>
  <c r="L235" i="8"/>
  <c r="L214" i="8"/>
  <c r="O214" i="8" s="1"/>
  <c r="O176" i="8"/>
  <c r="S160" i="8"/>
  <c r="L145" i="8"/>
  <c r="O145" i="8" s="1"/>
  <c r="I138" i="8"/>
  <c r="K138" i="8" s="1"/>
  <c r="R94" i="8"/>
  <c r="T621" i="9"/>
  <c r="L536" i="9"/>
  <c r="P421" i="9"/>
  <c r="M419" i="9"/>
  <c r="P419" i="9" s="1"/>
  <c r="O364" i="9"/>
  <c r="L358" i="9"/>
  <c r="L362" i="9"/>
  <c r="O362" i="9" s="1"/>
  <c r="R160" i="9"/>
  <c r="U160" i="9" s="1"/>
  <c r="U162" i="9"/>
  <c r="R159" i="9"/>
  <c r="U159" i="9" s="1"/>
  <c r="P73" i="9"/>
  <c r="Q513" i="9"/>
  <c r="T513" i="9" s="1"/>
  <c r="L499" i="9"/>
  <c r="O499" i="9" s="1"/>
  <c r="R416" i="9"/>
  <c r="R415" i="9"/>
  <c r="U415" i="9" s="1"/>
  <c r="U418" i="9"/>
  <c r="Q375" i="9"/>
  <c r="T375" i="9" s="1"/>
  <c r="T377" i="9"/>
  <c r="I238" i="9"/>
  <c r="K238" i="9" s="1"/>
  <c r="I253" i="9"/>
  <c r="K260" i="9"/>
  <c r="U187" i="9"/>
  <c r="I92" i="9"/>
  <c r="K92" i="9" s="1"/>
  <c r="K108" i="9"/>
  <c r="M558" i="9"/>
  <c r="P558" i="9" s="1"/>
  <c r="M415" i="9"/>
  <c r="P414" i="9"/>
  <c r="O393" i="9"/>
  <c r="K385" i="9"/>
  <c r="N377" i="9"/>
  <c r="N375" i="9" s="1"/>
  <c r="Q356" i="9"/>
  <c r="T356" i="9" s="1"/>
  <c r="L335" i="9"/>
  <c r="O328" i="9"/>
  <c r="S320" i="9"/>
  <c r="O321" i="9"/>
  <c r="T308" i="9"/>
  <c r="O306" i="9"/>
  <c r="N305" i="9"/>
  <c r="O304" i="9"/>
  <c r="K292" i="9"/>
  <c r="O290" i="9"/>
  <c r="L288" i="9"/>
  <c r="O288" i="9" s="1"/>
  <c r="K276" i="9"/>
  <c r="P274" i="9"/>
  <c r="M272" i="9"/>
  <c r="P272" i="9" s="1"/>
  <c r="O271" i="9"/>
  <c r="N268" i="9"/>
  <c r="P267" i="9"/>
  <c r="L176" i="9"/>
  <c r="O176" i="9" s="1"/>
  <c r="L175" i="9"/>
  <c r="O175" i="9" s="1"/>
  <c r="O178" i="9"/>
  <c r="O19" i="9"/>
  <c r="Q378" i="9"/>
  <c r="T378" i="9" s="1"/>
  <c r="P341" i="9"/>
  <c r="P325" i="9"/>
  <c r="M323" i="9"/>
  <c r="P323" i="9" s="1"/>
  <c r="R320" i="9"/>
  <c r="U320" i="9" s="1"/>
  <c r="U321" i="9"/>
  <c r="M284" i="9"/>
  <c r="P284" i="9" s="1"/>
  <c r="U271" i="9"/>
  <c r="O267" i="9"/>
  <c r="I213" i="9"/>
  <c r="K213" i="9" s="1"/>
  <c r="K220" i="9"/>
  <c r="P191" i="9"/>
  <c r="S175" i="9"/>
  <c r="S173" i="9" s="1"/>
  <c r="S176" i="9"/>
  <c r="U174" i="9"/>
  <c r="O174" i="9"/>
  <c r="I156" i="9"/>
  <c r="K156" i="9" s="1"/>
  <c r="K169" i="9"/>
  <c r="N159" i="9"/>
  <c r="N157" i="9" s="1"/>
  <c r="P45" i="9"/>
  <c r="K371" i="9"/>
  <c r="K369" i="9"/>
  <c r="P334" i="9"/>
  <c r="P283" i="9"/>
  <c r="T271" i="9"/>
  <c r="P271" i="9"/>
  <c r="M269" i="9"/>
  <c r="P269" i="9" s="1"/>
  <c r="O191" i="9"/>
  <c r="N188" i="9"/>
  <c r="P187" i="9"/>
  <c r="T122" i="9"/>
  <c r="Q120" i="9"/>
  <c r="Q119" i="9"/>
  <c r="R26" i="9"/>
  <c r="R24" i="9" s="1"/>
  <c r="U25" i="9"/>
  <c r="R356" i="9"/>
  <c r="U356" i="9" s="1"/>
  <c r="Q306" i="9"/>
  <c r="R266" i="9"/>
  <c r="U267" i="9"/>
  <c r="O187" i="9"/>
  <c r="L160" i="9"/>
  <c r="O160" i="9" s="1"/>
  <c r="L159" i="9"/>
  <c r="O159" i="9" s="1"/>
  <c r="O162" i="9"/>
  <c r="O144" i="9"/>
  <c r="L142" i="9"/>
  <c r="I136" i="9"/>
  <c r="K136" i="9" s="1"/>
  <c r="O125" i="9"/>
  <c r="L123" i="9"/>
  <c r="O123" i="9" s="1"/>
  <c r="L119" i="9"/>
  <c r="O119" i="9" s="1"/>
  <c r="J503" i="9"/>
  <c r="J492" i="9" s="1"/>
  <c r="M416" i="9"/>
  <c r="O383" i="9"/>
  <c r="T380" i="9"/>
  <c r="N358" i="9"/>
  <c r="N356" i="9" s="1"/>
  <c r="S333" i="9"/>
  <c r="M322" i="9"/>
  <c r="P322" i="9" s="1"/>
  <c r="S268" i="9"/>
  <c r="U268" i="9" s="1"/>
  <c r="L243" i="9"/>
  <c r="N175" i="9"/>
  <c r="N173" i="9" s="1"/>
  <c r="O158" i="9"/>
  <c r="K153" i="9"/>
  <c r="I138" i="9"/>
  <c r="K138" i="9" s="1"/>
  <c r="T144" i="9"/>
  <c r="S142" i="9"/>
  <c r="T142" i="9" s="1"/>
  <c r="S141" i="9"/>
  <c r="P102" i="9"/>
  <c r="M100" i="9"/>
  <c r="P100" i="9" s="1"/>
  <c r="P99" i="9"/>
  <c r="M97" i="9"/>
  <c r="P97" i="9" s="1"/>
  <c r="M96" i="9"/>
  <c r="P52" i="9"/>
  <c r="M26" i="9"/>
  <c r="P26" i="9" s="1"/>
  <c r="M50" i="9"/>
  <c r="P50" i="9" s="1"/>
  <c r="S19" i="9"/>
  <c r="I202" i="9"/>
  <c r="K202" i="9" s="1"/>
  <c r="U144" i="9"/>
  <c r="R142" i="9"/>
  <c r="U99" i="9"/>
  <c r="S97" i="9"/>
  <c r="N96" i="9"/>
  <c r="N94" i="9" s="1"/>
  <c r="K93" i="9"/>
  <c r="Q26" i="9"/>
  <c r="O52" i="9"/>
  <c r="L26" i="9"/>
  <c r="O26" i="9" s="1"/>
  <c r="L50" i="9"/>
  <c r="O50" i="9" s="1"/>
  <c r="L46" i="9"/>
  <c r="U22" i="9"/>
  <c r="R19" i="9"/>
  <c r="U125" i="9"/>
  <c r="R123" i="9"/>
  <c r="U123" i="9" s="1"/>
  <c r="O122" i="9"/>
  <c r="L120" i="9"/>
  <c r="O120" i="9" s="1"/>
  <c r="U96" i="9"/>
  <c r="O95" i="9"/>
  <c r="T140" i="9"/>
  <c r="T125" i="9"/>
  <c r="Q123" i="9"/>
  <c r="T123" i="9" s="1"/>
  <c r="I82" i="9"/>
  <c r="N26" i="9"/>
  <c r="N24" i="9" s="1"/>
  <c r="P25" i="9"/>
  <c r="P144" i="9"/>
  <c r="M142" i="9"/>
  <c r="U122" i="9"/>
  <c r="R120" i="9"/>
  <c r="R94" i="9"/>
  <c r="U94" i="9" s="1"/>
  <c r="U95" i="9"/>
  <c r="U75" i="9"/>
  <c r="P67" i="9"/>
  <c r="M65" i="9"/>
  <c r="P65" i="9" s="1"/>
  <c r="P60" i="9"/>
  <c r="O25" i="9"/>
  <c r="N23" i="9"/>
  <c r="P22" i="9"/>
  <c r="T95" i="9"/>
  <c r="O67" i="9"/>
  <c r="L65" i="9"/>
  <c r="O65" i="9" s="1"/>
  <c r="L61" i="9"/>
  <c r="O22" i="9"/>
  <c r="P162" i="9"/>
  <c r="P122" i="9"/>
  <c r="T80" i="9"/>
  <c r="T77" i="9"/>
  <c r="S26" i="9"/>
  <c r="S24" i="9" s="1"/>
  <c r="S23" i="9"/>
  <c r="S21" i="9" s="1"/>
  <c r="M23" i="9"/>
  <c r="M21" i="9" s="1"/>
  <c r="Q96" i="9"/>
  <c r="T96" i="9" s="1"/>
  <c r="K85" i="9"/>
  <c r="S74" i="9"/>
  <c r="M74" i="9"/>
  <c r="M61" i="9"/>
  <c r="M46" i="9"/>
  <c r="R23" i="9"/>
  <c r="L23" i="9"/>
  <c r="L21" i="9" s="1"/>
  <c r="Q23" i="9"/>
  <c r="M78" i="8"/>
  <c r="P78" i="8" s="1"/>
  <c r="P80" i="8"/>
  <c r="K653" i="7"/>
  <c r="N268" i="7"/>
  <c r="N266" i="7" s="1"/>
  <c r="P560" i="8"/>
  <c r="M558" i="8"/>
  <c r="P558" i="8" s="1"/>
  <c r="R555" i="8"/>
  <c r="U555" i="8" s="1"/>
  <c r="U556" i="8"/>
  <c r="L322" i="8"/>
  <c r="O322" i="8" s="1"/>
  <c r="L323" i="8"/>
  <c r="O323" i="8" s="1"/>
  <c r="O325" i="8"/>
  <c r="R320" i="8"/>
  <c r="U320" i="8" s="1"/>
  <c r="K260" i="8"/>
  <c r="I253" i="8"/>
  <c r="K253" i="8" s="1"/>
  <c r="I238" i="8"/>
  <c r="K238" i="8" s="1"/>
  <c r="I242" i="8"/>
  <c r="K242" i="8" s="1"/>
  <c r="N232" i="8"/>
  <c r="P191" i="8"/>
  <c r="L163" i="8"/>
  <c r="O163" i="8" s="1"/>
  <c r="O165" i="8"/>
  <c r="Q141" i="8"/>
  <c r="T141" i="8" s="1"/>
  <c r="Q142" i="8"/>
  <c r="T142" i="8" s="1"/>
  <c r="T144" i="8"/>
  <c r="K127" i="8"/>
  <c r="I116" i="8"/>
  <c r="K116" i="8" s="1"/>
  <c r="N123" i="8"/>
  <c r="N119" i="8"/>
  <c r="N117" i="8" s="1"/>
  <c r="L61" i="8"/>
  <c r="L59" i="8" s="1"/>
  <c r="L62" i="8"/>
  <c r="O62" i="8" s="1"/>
  <c r="O64" i="8"/>
  <c r="Q19" i="8"/>
  <c r="T19" i="8" s="1"/>
  <c r="T22" i="8"/>
  <c r="K774" i="8"/>
  <c r="I759" i="8"/>
  <c r="K759" i="8" s="1"/>
  <c r="R495" i="8"/>
  <c r="U495" i="8" s="1"/>
  <c r="R496" i="8"/>
  <c r="U496" i="8" s="1"/>
  <c r="U498" i="8"/>
  <c r="I281" i="8"/>
  <c r="K281" i="8" s="1"/>
  <c r="K292" i="8"/>
  <c r="P325" i="6"/>
  <c r="K783" i="7"/>
  <c r="P338" i="7"/>
  <c r="R730" i="8"/>
  <c r="R728" i="8" s="1"/>
  <c r="U733" i="8"/>
  <c r="L537" i="8"/>
  <c r="O537" i="8" s="1"/>
  <c r="U494" i="8"/>
  <c r="M416" i="8"/>
  <c r="T321" i="8"/>
  <c r="Q320" i="8"/>
  <c r="T320" i="8" s="1"/>
  <c r="N305" i="8"/>
  <c r="N303" i="8" s="1"/>
  <c r="N306" i="8"/>
  <c r="L254" i="8"/>
  <c r="O254" i="8" s="1"/>
  <c r="O194" i="8"/>
  <c r="L192" i="8"/>
  <c r="O192" i="8" s="1"/>
  <c r="N179" i="8"/>
  <c r="N175" i="8"/>
  <c r="N173" i="8" s="1"/>
  <c r="O102" i="8"/>
  <c r="L100" i="8"/>
  <c r="O100" i="8" s="1"/>
  <c r="L496" i="8"/>
  <c r="O496" i="8" s="1"/>
  <c r="N415" i="8"/>
  <c r="N413" i="8" s="1"/>
  <c r="N416" i="8"/>
  <c r="P178" i="8"/>
  <c r="M176" i="8"/>
  <c r="P176" i="8" s="1"/>
  <c r="Q96" i="8"/>
  <c r="Q94" i="8" s="1"/>
  <c r="Q97" i="8"/>
  <c r="I758" i="6"/>
  <c r="K758" i="6" s="1"/>
  <c r="K780" i="7"/>
  <c r="T645" i="7"/>
  <c r="R601" i="7"/>
  <c r="U601" i="7" s="1"/>
  <c r="M496" i="7"/>
  <c r="P496" i="7" s="1"/>
  <c r="K369" i="7"/>
  <c r="M305" i="7"/>
  <c r="P305" i="7" s="1"/>
  <c r="R306" i="7"/>
  <c r="K260" i="7"/>
  <c r="R192" i="7"/>
  <c r="U192" i="7" s="1"/>
  <c r="M605" i="8"/>
  <c r="P605" i="8" s="1"/>
  <c r="P607" i="8"/>
  <c r="T600" i="8"/>
  <c r="N536" i="8"/>
  <c r="N534" i="8" s="1"/>
  <c r="N537" i="8"/>
  <c r="O498" i="8"/>
  <c r="N392" i="8"/>
  <c r="M305" i="8"/>
  <c r="P305" i="8" s="1"/>
  <c r="M306" i="8"/>
  <c r="P306" i="8" s="1"/>
  <c r="K229" i="8"/>
  <c r="S188" i="8"/>
  <c r="S186" i="8" s="1"/>
  <c r="U187" i="8"/>
  <c r="M145" i="8"/>
  <c r="P145" i="8" s="1"/>
  <c r="P147" i="8"/>
  <c r="S119" i="8"/>
  <c r="S117" i="8" s="1"/>
  <c r="S120" i="8"/>
  <c r="T120" i="8" s="1"/>
  <c r="N558" i="8"/>
  <c r="U144" i="8"/>
  <c r="R142" i="8"/>
  <c r="U142" i="8" s="1"/>
  <c r="L214" i="5"/>
  <c r="O214" i="5" s="1"/>
  <c r="O521" i="6"/>
  <c r="K782" i="7"/>
  <c r="J702" i="7"/>
  <c r="P328" i="7"/>
  <c r="N142" i="7"/>
  <c r="N141" i="7"/>
  <c r="N139" i="7" s="1"/>
  <c r="R731" i="8"/>
  <c r="U731" i="8" s="1"/>
  <c r="S730" i="8"/>
  <c r="S728" i="8" s="1"/>
  <c r="P644" i="8"/>
  <c r="T607" i="8"/>
  <c r="T577" i="8"/>
  <c r="M519" i="8"/>
  <c r="P519" i="8" s="1"/>
  <c r="P521" i="8"/>
  <c r="O336" i="8"/>
  <c r="P304" i="8"/>
  <c r="M288" i="8"/>
  <c r="P288" i="8" s="1"/>
  <c r="P290" i="8"/>
  <c r="L160" i="8"/>
  <c r="O160" i="8" s="1"/>
  <c r="O162" i="8"/>
  <c r="L159" i="8"/>
  <c r="O159" i="8" s="1"/>
  <c r="R141" i="8"/>
  <c r="U141" i="8" s="1"/>
  <c r="R120" i="8"/>
  <c r="U122" i="8"/>
  <c r="R119" i="8"/>
  <c r="R117" i="8" s="1"/>
  <c r="R44" i="8"/>
  <c r="U44" i="8" s="1"/>
  <c r="K432" i="5"/>
  <c r="M516" i="6"/>
  <c r="P516" i="6" s="1"/>
  <c r="J374" i="7"/>
  <c r="I221" i="7"/>
  <c r="K221" i="7" s="1"/>
  <c r="U621" i="8"/>
  <c r="U604" i="8"/>
  <c r="O604" i="8"/>
  <c r="N579" i="8"/>
  <c r="N578" i="8"/>
  <c r="N576" i="8" s="1"/>
  <c r="M557" i="8"/>
  <c r="P557" i="8" s="1"/>
  <c r="K456" i="8"/>
  <c r="L288" i="8"/>
  <c r="O288" i="8" s="1"/>
  <c r="O290" i="8"/>
  <c r="K276" i="8"/>
  <c r="O274" i="8"/>
  <c r="L272" i="8"/>
  <c r="O272" i="8" s="1"/>
  <c r="I213" i="8"/>
  <c r="K213" i="8" s="1"/>
  <c r="T45" i="8"/>
  <c r="Q44" i="8"/>
  <c r="T44" i="8" s="1"/>
  <c r="L214" i="7"/>
  <c r="O214" i="7" s="1"/>
  <c r="K780" i="8"/>
  <c r="S763" i="8"/>
  <c r="U763" i="8" s="1"/>
  <c r="T731" i="8"/>
  <c r="S642" i="8"/>
  <c r="L616" i="8"/>
  <c r="O616" i="8" s="1"/>
  <c r="M582" i="8"/>
  <c r="P582" i="8" s="1"/>
  <c r="S576" i="8"/>
  <c r="P539" i="8"/>
  <c r="J458" i="8"/>
  <c r="M419" i="8"/>
  <c r="P419" i="8" s="1"/>
  <c r="T397" i="8"/>
  <c r="K386" i="8"/>
  <c r="U380" i="8"/>
  <c r="K369" i="8"/>
  <c r="O341" i="8"/>
  <c r="L335" i="8"/>
  <c r="L333" i="8" s="1"/>
  <c r="M309" i="8"/>
  <c r="P309" i="8" s="1"/>
  <c r="M285" i="8"/>
  <c r="P285" i="8" s="1"/>
  <c r="L188" i="8"/>
  <c r="L186" i="8" s="1"/>
  <c r="L189" i="8"/>
  <c r="K183" i="8"/>
  <c r="P144" i="8"/>
  <c r="T125" i="8"/>
  <c r="O49" i="8"/>
  <c r="N19" i="8"/>
  <c r="N690" i="8"/>
  <c r="R644" i="8"/>
  <c r="U644" i="8" s="1"/>
  <c r="M495" i="8"/>
  <c r="P495" i="8" s="1"/>
  <c r="R378" i="8"/>
  <c r="U378" i="8" s="1"/>
  <c r="K371" i="8"/>
  <c r="M339" i="8"/>
  <c r="P339" i="8" s="1"/>
  <c r="Q175" i="8"/>
  <c r="T175" i="8" s="1"/>
  <c r="R97" i="8"/>
  <c r="N74" i="8"/>
  <c r="N72" i="8" s="1"/>
  <c r="M61" i="8"/>
  <c r="M59" i="8" s="1"/>
  <c r="N46" i="8"/>
  <c r="N44" i="8" s="1"/>
  <c r="L377" i="8"/>
  <c r="L375" i="8" s="1"/>
  <c r="N268" i="8"/>
  <c r="N266" i="8" s="1"/>
  <c r="R188" i="8"/>
  <c r="R186" i="8" s="1"/>
  <c r="S157" i="8"/>
  <c r="L96" i="8"/>
  <c r="O96" i="8" s="1"/>
  <c r="N175" i="7"/>
  <c r="N173" i="7" s="1"/>
  <c r="O62" i="7"/>
  <c r="K758" i="8"/>
  <c r="N642" i="8"/>
  <c r="L642" i="8"/>
  <c r="O642" i="8" s="1"/>
  <c r="L601" i="8"/>
  <c r="O601" i="8" s="1"/>
  <c r="Q601" i="8"/>
  <c r="T601" i="8" s="1"/>
  <c r="P501" i="8"/>
  <c r="J457" i="8"/>
  <c r="J456" i="8" s="1"/>
  <c r="T418" i="8"/>
  <c r="Q415" i="8"/>
  <c r="Q413" i="8" s="1"/>
  <c r="L378" i="8"/>
  <c r="O378" i="8" s="1"/>
  <c r="I374" i="8"/>
  <c r="K365" i="8"/>
  <c r="P361" i="8"/>
  <c r="R356" i="8"/>
  <c r="U356" i="8" s="1"/>
  <c r="T308" i="8"/>
  <c r="Q305" i="8"/>
  <c r="Q303" i="8" s="1"/>
  <c r="L233" i="8"/>
  <c r="M119" i="8"/>
  <c r="P119" i="8" s="1"/>
  <c r="L97" i="8"/>
  <c r="O97" i="8" s="1"/>
  <c r="P62" i="8"/>
  <c r="S59" i="8"/>
  <c r="L46" i="8"/>
  <c r="L44" i="8" s="1"/>
  <c r="S44" i="8"/>
  <c r="M359" i="6"/>
  <c r="P359" i="6" s="1"/>
  <c r="P361" i="6"/>
  <c r="O584" i="7"/>
  <c r="L582" i="7"/>
  <c r="O582" i="7" s="1"/>
  <c r="U691" i="8"/>
  <c r="R416" i="8"/>
  <c r="R415" i="8"/>
  <c r="U418" i="8"/>
  <c r="L540" i="7"/>
  <c r="O540" i="7" s="1"/>
  <c r="O542" i="7"/>
  <c r="L272" i="7"/>
  <c r="O272" i="7" s="1"/>
  <c r="O274" i="7"/>
  <c r="P102" i="7"/>
  <c r="M100" i="7"/>
  <c r="P100" i="7" s="1"/>
  <c r="M690" i="8"/>
  <c r="P690" i="8" s="1"/>
  <c r="P691" i="8"/>
  <c r="L540" i="8"/>
  <c r="O540" i="8" s="1"/>
  <c r="L536" i="8"/>
  <c r="O536" i="8" s="1"/>
  <c r="O542" i="8"/>
  <c r="R534" i="8"/>
  <c r="U534" i="8" s="1"/>
  <c r="U535" i="8"/>
  <c r="Q513" i="8"/>
  <c r="T513" i="8" s="1"/>
  <c r="T514" i="8"/>
  <c r="P321" i="8"/>
  <c r="L306" i="8"/>
  <c r="O306" i="8" s="1"/>
  <c r="O308" i="8"/>
  <c r="L305" i="8"/>
  <c r="L163" i="4"/>
  <c r="O163" i="4" s="1"/>
  <c r="O165" i="4"/>
  <c r="U695" i="5"/>
  <c r="M558" i="6"/>
  <c r="P558" i="6" s="1"/>
  <c r="P560" i="6"/>
  <c r="M416" i="7"/>
  <c r="P416" i="7" s="1"/>
  <c r="P418" i="7"/>
  <c r="L309" i="7"/>
  <c r="O309" i="7" s="1"/>
  <c r="O311" i="7"/>
  <c r="Q175" i="7"/>
  <c r="T175" i="7" s="1"/>
  <c r="Q176" i="7"/>
  <c r="T176" i="7" s="1"/>
  <c r="T178" i="7"/>
  <c r="K785" i="8"/>
  <c r="K779" i="8"/>
  <c r="U761" i="8"/>
  <c r="Q714" i="8"/>
  <c r="T714" i="8" s="1"/>
  <c r="T715" i="8"/>
  <c r="L690" i="8"/>
  <c r="O690" i="8" s="1"/>
  <c r="O691" i="8"/>
  <c r="Q645" i="8"/>
  <c r="T645" i="8" s="1"/>
  <c r="Q644" i="8"/>
  <c r="T644" i="8" s="1"/>
  <c r="T647" i="8"/>
  <c r="M616" i="8"/>
  <c r="P616" i="8" s="1"/>
  <c r="L416" i="8"/>
  <c r="O418" i="8"/>
  <c r="L415" i="8"/>
  <c r="M335" i="8"/>
  <c r="P162" i="8"/>
  <c r="M159" i="8"/>
  <c r="M157" i="8" s="1"/>
  <c r="M160" i="8"/>
  <c r="P160" i="8" s="1"/>
  <c r="Q306" i="4"/>
  <c r="Q305" i="4"/>
  <c r="Q303" i="4" s="1"/>
  <c r="O181" i="7"/>
  <c r="L179" i="7"/>
  <c r="O179" i="7" s="1"/>
  <c r="N760" i="8"/>
  <c r="P194" i="8"/>
  <c r="M192" i="8"/>
  <c r="P192" i="8" s="1"/>
  <c r="R176" i="8"/>
  <c r="U176" i="8" s="1"/>
  <c r="R175" i="8"/>
  <c r="U175" i="8" s="1"/>
  <c r="U178" i="8"/>
  <c r="U25" i="8"/>
  <c r="U716" i="8"/>
  <c r="R714" i="8"/>
  <c r="U714" i="8" s="1"/>
  <c r="Q692" i="8"/>
  <c r="T695" i="8"/>
  <c r="L320" i="8"/>
  <c r="O320" i="8" s="1"/>
  <c r="O271" i="8"/>
  <c r="L269" i="8"/>
  <c r="U380" i="3"/>
  <c r="K108" i="6"/>
  <c r="K784" i="7"/>
  <c r="O49" i="7"/>
  <c r="L47" i="7"/>
  <c r="O47" i="7" s="1"/>
  <c r="T761" i="8"/>
  <c r="T729" i="8"/>
  <c r="I701" i="8"/>
  <c r="K701" i="8" s="1"/>
  <c r="U643" i="8"/>
  <c r="K629" i="8"/>
  <c r="K631" i="8"/>
  <c r="K632" i="8"/>
  <c r="I615" i="8"/>
  <c r="K615" i="8" s="1"/>
  <c r="P577" i="8"/>
  <c r="N515" i="8"/>
  <c r="N513" i="8" s="1"/>
  <c r="R306" i="8"/>
  <c r="R305" i="8"/>
  <c r="U308" i="8"/>
  <c r="L268" i="8"/>
  <c r="M362" i="7"/>
  <c r="P362" i="7" s="1"/>
  <c r="P364" i="7"/>
  <c r="L192" i="7"/>
  <c r="O192" i="7" s="1"/>
  <c r="R392" i="8"/>
  <c r="U392" i="8" s="1"/>
  <c r="U394" i="8"/>
  <c r="P376" i="8"/>
  <c r="K84" i="8"/>
  <c r="I82" i="8"/>
  <c r="M358" i="7"/>
  <c r="M356" i="7" s="1"/>
  <c r="U77" i="7"/>
  <c r="R75" i="7"/>
  <c r="U75" i="7" s="1"/>
  <c r="Q763" i="8"/>
  <c r="Q762" i="8"/>
  <c r="T762" i="8" s="1"/>
  <c r="T765" i="8"/>
  <c r="P762" i="8"/>
  <c r="M760" i="8"/>
  <c r="P760" i="8" s="1"/>
  <c r="O716" i="8"/>
  <c r="L714" i="8"/>
  <c r="O714" i="8" s="1"/>
  <c r="M714" i="8"/>
  <c r="P714" i="8" s="1"/>
  <c r="T617" i="8"/>
  <c r="Q616" i="8"/>
  <c r="L605" i="8"/>
  <c r="O605" i="8" s="1"/>
  <c r="O607" i="8"/>
  <c r="L561" i="8"/>
  <c r="O561" i="8" s="1"/>
  <c r="O563" i="8"/>
  <c r="P518" i="8"/>
  <c r="M515" i="8"/>
  <c r="K504" i="8"/>
  <c r="J503" i="8"/>
  <c r="J492" i="8" s="1"/>
  <c r="Q493" i="8"/>
  <c r="T493" i="8" s="1"/>
  <c r="M381" i="8"/>
  <c r="P381" i="8" s="1"/>
  <c r="M377" i="8"/>
  <c r="M375" i="8" s="1"/>
  <c r="P383" i="8"/>
  <c r="K87" i="8"/>
  <c r="I83" i="8"/>
  <c r="Q495" i="6"/>
  <c r="T495" i="6" s="1"/>
  <c r="T498" i="6"/>
  <c r="Q763" i="7"/>
  <c r="T763" i="7" s="1"/>
  <c r="Q762" i="7"/>
  <c r="Q760" i="7" s="1"/>
  <c r="L381" i="7"/>
  <c r="O381" i="7" s="1"/>
  <c r="O383" i="7"/>
  <c r="M272" i="7"/>
  <c r="P272" i="7" s="1"/>
  <c r="P274" i="7"/>
  <c r="I83" i="7"/>
  <c r="I71" i="7" s="1"/>
  <c r="K71" i="7" s="1"/>
  <c r="K783" i="8"/>
  <c r="L760" i="8"/>
  <c r="O760" i="8" s="1"/>
  <c r="O761" i="8"/>
  <c r="O730" i="8"/>
  <c r="L728" i="8"/>
  <c r="O728" i="8" s="1"/>
  <c r="M728" i="8"/>
  <c r="P728" i="8" s="1"/>
  <c r="S714" i="8"/>
  <c r="R693" i="8"/>
  <c r="U693" i="8" s="1"/>
  <c r="R692" i="8"/>
  <c r="U692" i="8" s="1"/>
  <c r="U695" i="8"/>
  <c r="R601" i="8"/>
  <c r="U607" i="8"/>
  <c r="M540" i="8"/>
  <c r="P540" i="8" s="1"/>
  <c r="O535" i="8"/>
  <c r="K457" i="8"/>
  <c r="R395" i="8"/>
  <c r="U395" i="8" s="1"/>
  <c r="U397" i="8"/>
  <c r="N362" i="8"/>
  <c r="N358" i="8"/>
  <c r="N356" i="8" s="1"/>
  <c r="I332" i="8"/>
  <c r="K344" i="8"/>
  <c r="N335" i="8"/>
  <c r="M272" i="8"/>
  <c r="P272" i="8" s="1"/>
  <c r="P274" i="8"/>
  <c r="M269" i="8"/>
  <c r="M268" i="8"/>
  <c r="P271" i="8"/>
  <c r="L243" i="8"/>
  <c r="N142" i="8"/>
  <c r="N141" i="8"/>
  <c r="N139" i="8" s="1"/>
  <c r="U147" i="5"/>
  <c r="K629" i="6"/>
  <c r="O383" i="6"/>
  <c r="L358" i="6"/>
  <c r="L356" i="6" s="1"/>
  <c r="M322" i="6"/>
  <c r="M320" i="6" s="1"/>
  <c r="P320" i="6" s="1"/>
  <c r="P64" i="6"/>
  <c r="K774" i="7"/>
  <c r="U731" i="7"/>
  <c r="P584" i="7"/>
  <c r="M557" i="7"/>
  <c r="M555" i="7" s="1"/>
  <c r="P555" i="7" s="1"/>
  <c r="O521" i="7"/>
  <c r="M381" i="7"/>
  <c r="P381" i="7" s="1"/>
  <c r="J351" i="7"/>
  <c r="K209" i="7"/>
  <c r="P178" i="7"/>
  <c r="N159" i="7"/>
  <c r="N157" i="7" s="1"/>
  <c r="Q74" i="7"/>
  <c r="T74" i="7" s="1"/>
  <c r="U765" i="8"/>
  <c r="R762" i="8"/>
  <c r="U762" i="8" s="1"/>
  <c r="T733" i="8"/>
  <c r="Q730" i="8"/>
  <c r="S692" i="8"/>
  <c r="S690" i="8" s="1"/>
  <c r="S645" i="8"/>
  <c r="O560" i="8"/>
  <c r="K503" i="8"/>
  <c r="O421" i="8"/>
  <c r="O394" i="8"/>
  <c r="P378" i="8"/>
  <c r="S377" i="8"/>
  <c r="U377" i="8" s="1"/>
  <c r="P328" i="8"/>
  <c r="P325" i="8"/>
  <c r="S320" i="8"/>
  <c r="O311" i="8"/>
  <c r="Q282" i="8"/>
  <c r="T282" i="8" s="1"/>
  <c r="S269" i="8"/>
  <c r="T269" i="8" s="1"/>
  <c r="S268" i="8"/>
  <c r="U268" i="8" s="1"/>
  <c r="O191" i="8"/>
  <c r="N189" i="8"/>
  <c r="N188" i="8"/>
  <c r="N186" i="8" s="1"/>
  <c r="M188" i="8"/>
  <c r="M186" i="8" s="1"/>
  <c r="T140" i="8"/>
  <c r="M96" i="8"/>
  <c r="M97" i="8"/>
  <c r="P99" i="8"/>
  <c r="R618" i="8"/>
  <c r="P494" i="8"/>
  <c r="L203" i="8"/>
  <c r="O203" i="8" s="1"/>
  <c r="M179" i="8"/>
  <c r="P179" i="8" s="1"/>
  <c r="K154" i="8"/>
  <c r="I136" i="8"/>
  <c r="K136" i="8" s="1"/>
  <c r="S97" i="8"/>
  <c r="S96" i="8"/>
  <c r="O95" i="8"/>
  <c r="M75" i="8"/>
  <c r="P75" i="8" s="1"/>
  <c r="P77" i="8"/>
  <c r="M74" i="8"/>
  <c r="P74" i="8" s="1"/>
  <c r="U22" i="8"/>
  <c r="R19" i="8"/>
  <c r="P271" i="6"/>
  <c r="L236" i="6"/>
  <c r="P62" i="6"/>
  <c r="K778" i="7"/>
  <c r="U619" i="7"/>
  <c r="K503" i="7"/>
  <c r="R413" i="7"/>
  <c r="U413" i="7" s="1"/>
  <c r="I374" i="7"/>
  <c r="N188" i="7"/>
  <c r="N186" i="7" s="1"/>
  <c r="K127" i="7"/>
  <c r="K772" i="8"/>
  <c r="R576" i="8"/>
  <c r="U576" i="8" s="1"/>
  <c r="S495" i="8"/>
  <c r="S493" i="8" s="1"/>
  <c r="J374" i="8"/>
  <c r="O361" i="8"/>
  <c r="N359" i="8"/>
  <c r="O359" i="8" s="1"/>
  <c r="Q356" i="8"/>
  <c r="T356" i="8" s="1"/>
  <c r="T357" i="8"/>
  <c r="J351" i="8"/>
  <c r="P338" i="8"/>
  <c r="I319" i="8"/>
  <c r="K319" i="8" s="1"/>
  <c r="N284" i="8"/>
  <c r="N282" i="8" s="1"/>
  <c r="K169" i="8"/>
  <c r="I156" i="8"/>
  <c r="K156" i="8" s="1"/>
  <c r="P158" i="8"/>
  <c r="Q119" i="8"/>
  <c r="T122" i="8"/>
  <c r="I93" i="8"/>
  <c r="K93" i="8" s="1"/>
  <c r="K109" i="8"/>
  <c r="L74" i="8"/>
  <c r="O77" i="8"/>
  <c r="L75" i="8"/>
  <c r="O75" i="8" s="1"/>
  <c r="N26" i="8"/>
  <c r="N24" i="8" s="1"/>
  <c r="P25" i="8"/>
  <c r="N188" i="4"/>
  <c r="N186" i="4" s="1"/>
  <c r="N96" i="5"/>
  <c r="N94" i="5" s="1"/>
  <c r="K432" i="6"/>
  <c r="O64" i="6"/>
  <c r="O178" i="7"/>
  <c r="I82" i="7"/>
  <c r="K82" i="7" s="1"/>
  <c r="M359" i="8"/>
  <c r="L326" i="8"/>
  <c r="O326" i="8" s="1"/>
  <c r="M322" i="8"/>
  <c r="P322" i="8" s="1"/>
  <c r="I280" i="8"/>
  <c r="K280" i="8" s="1"/>
  <c r="K293" i="8"/>
  <c r="P283" i="8"/>
  <c r="R266" i="8"/>
  <c r="U191" i="8"/>
  <c r="S189" i="8"/>
  <c r="U189" i="8" s="1"/>
  <c r="M189" i="8"/>
  <c r="M141" i="8"/>
  <c r="P141" i="8" s="1"/>
  <c r="S23" i="8"/>
  <c r="S21" i="8" s="1"/>
  <c r="S74" i="8"/>
  <c r="S72" i="8" s="1"/>
  <c r="S75" i="8"/>
  <c r="S601" i="8"/>
  <c r="S599" i="8" s="1"/>
  <c r="M601" i="8"/>
  <c r="P601" i="8" s="1"/>
  <c r="M578" i="8"/>
  <c r="P578" i="8" s="1"/>
  <c r="M536" i="8"/>
  <c r="P536" i="8" s="1"/>
  <c r="L515" i="8"/>
  <c r="O515" i="8" s="1"/>
  <c r="T498" i="8"/>
  <c r="N495" i="8"/>
  <c r="N493" i="8" s="1"/>
  <c r="P418" i="8"/>
  <c r="T380" i="8"/>
  <c r="N377" i="8"/>
  <c r="N375" i="8" s="1"/>
  <c r="L358" i="8"/>
  <c r="O338" i="8"/>
  <c r="N322" i="8"/>
  <c r="N320" i="8" s="1"/>
  <c r="P308" i="8"/>
  <c r="M284" i="8"/>
  <c r="P284" i="8" s="1"/>
  <c r="U271" i="8"/>
  <c r="R269" i="8"/>
  <c r="K230" i="8"/>
  <c r="T191" i="8"/>
  <c r="O178" i="8"/>
  <c r="L175" i="8"/>
  <c r="P165" i="8"/>
  <c r="M163" i="8"/>
  <c r="P163" i="8" s="1"/>
  <c r="U162" i="8"/>
  <c r="I137" i="8"/>
  <c r="K137" i="8" s="1"/>
  <c r="P125" i="8"/>
  <c r="M123" i="8"/>
  <c r="P123" i="8" s="1"/>
  <c r="K92" i="8"/>
  <c r="R26" i="8"/>
  <c r="U26" i="8" s="1"/>
  <c r="R78" i="8"/>
  <c r="U78" i="8" s="1"/>
  <c r="R23" i="8"/>
  <c r="R21" i="8" s="1"/>
  <c r="R74" i="8"/>
  <c r="U77" i="8"/>
  <c r="R75" i="8"/>
  <c r="U75" i="8" s="1"/>
  <c r="K314" i="8"/>
  <c r="I202" i="8"/>
  <c r="K202" i="8" s="1"/>
  <c r="Q188" i="8"/>
  <c r="Q186" i="8" s="1"/>
  <c r="T187" i="8"/>
  <c r="S175" i="8"/>
  <c r="S173" i="8" s="1"/>
  <c r="U174" i="8"/>
  <c r="P67" i="8"/>
  <c r="M26" i="8"/>
  <c r="M24" i="8" s="1"/>
  <c r="M50" i="8"/>
  <c r="P50" i="8" s="1"/>
  <c r="P52" i="8"/>
  <c r="M19" i="8"/>
  <c r="L285" i="8"/>
  <c r="O285" i="8" s="1"/>
  <c r="L284" i="8"/>
  <c r="O284" i="8" s="1"/>
  <c r="N269" i="8"/>
  <c r="T174" i="8"/>
  <c r="U147" i="8"/>
  <c r="R145" i="8"/>
  <c r="U145" i="8" s="1"/>
  <c r="P73" i="8"/>
  <c r="O19" i="8"/>
  <c r="Q268" i="8"/>
  <c r="P187" i="8"/>
  <c r="M175" i="8"/>
  <c r="P174" i="8"/>
  <c r="O144" i="8"/>
  <c r="S141" i="8"/>
  <c r="S139" i="8" s="1"/>
  <c r="L141" i="8"/>
  <c r="O122" i="8"/>
  <c r="L119" i="8"/>
  <c r="O119" i="8" s="1"/>
  <c r="P102" i="8"/>
  <c r="T99" i="8"/>
  <c r="S26" i="8"/>
  <c r="S24" i="8" s="1"/>
  <c r="Q23" i="8"/>
  <c r="T77" i="8"/>
  <c r="O67" i="8"/>
  <c r="P64" i="8"/>
  <c r="P60" i="8"/>
  <c r="O52" i="8"/>
  <c r="L26" i="8"/>
  <c r="L24" i="8" s="1"/>
  <c r="L50" i="8"/>
  <c r="O50" i="8" s="1"/>
  <c r="M47" i="8"/>
  <c r="P47" i="8" s="1"/>
  <c r="M23" i="8"/>
  <c r="M21" i="8" s="1"/>
  <c r="K108" i="8"/>
  <c r="Q26" i="8"/>
  <c r="T80" i="8"/>
  <c r="P65" i="8"/>
  <c r="N61" i="8"/>
  <c r="N59" i="8" s="1"/>
  <c r="O25" i="8"/>
  <c r="N23" i="8"/>
  <c r="P22" i="8"/>
  <c r="P45" i="8"/>
  <c r="O22" i="8"/>
  <c r="L23" i="8"/>
  <c r="L21" i="8" s="1"/>
  <c r="S692" i="6"/>
  <c r="S690" i="6" s="1"/>
  <c r="S693" i="6"/>
  <c r="U761" i="7"/>
  <c r="I492" i="4"/>
  <c r="K492" i="4" s="1"/>
  <c r="K503" i="4"/>
  <c r="I92" i="5"/>
  <c r="K92" i="5" s="1"/>
  <c r="K108" i="5"/>
  <c r="K368" i="6"/>
  <c r="L309" i="6"/>
  <c r="O309" i="6" s="1"/>
  <c r="O311" i="6"/>
  <c r="P607" i="6"/>
  <c r="M605" i="6"/>
  <c r="P605" i="6" s="1"/>
  <c r="M232" i="1"/>
  <c r="N642" i="7"/>
  <c r="N622" i="1"/>
  <c r="M269" i="6"/>
  <c r="P269" i="6" s="1"/>
  <c r="R78" i="6"/>
  <c r="U78" i="6" s="1"/>
  <c r="U80" i="6"/>
  <c r="Q731" i="7"/>
  <c r="T731" i="7" s="1"/>
  <c r="T733" i="7"/>
  <c r="Q730" i="7"/>
  <c r="Q728" i="7" s="1"/>
  <c r="R714" i="7"/>
  <c r="U714" i="7" s="1"/>
  <c r="K707" i="7"/>
  <c r="I689" i="7"/>
  <c r="K689" i="7" s="1"/>
  <c r="Q394" i="7"/>
  <c r="T394" i="7" s="1"/>
  <c r="P311" i="5"/>
  <c r="T397" i="6"/>
  <c r="T765" i="7"/>
  <c r="N728" i="7"/>
  <c r="N714" i="7"/>
  <c r="J701" i="7"/>
  <c r="R692" i="7"/>
  <c r="U692" i="7" s="1"/>
  <c r="S618" i="7"/>
  <c r="S616" i="7" s="1"/>
  <c r="R605" i="7"/>
  <c r="U605" i="7" s="1"/>
  <c r="M602" i="7"/>
  <c r="P602" i="7" s="1"/>
  <c r="O560" i="7"/>
  <c r="N536" i="7"/>
  <c r="N534" i="7" s="1"/>
  <c r="N515" i="7"/>
  <c r="N513" i="7" s="1"/>
  <c r="N516" i="7"/>
  <c r="S513" i="7"/>
  <c r="O498" i="7"/>
  <c r="P421" i="7"/>
  <c r="L419" i="7"/>
  <c r="O419" i="7" s="1"/>
  <c r="R395" i="7"/>
  <c r="U395" i="7" s="1"/>
  <c r="P394" i="7"/>
  <c r="U380" i="7"/>
  <c r="S378" i="7"/>
  <c r="O338" i="7"/>
  <c r="I319" i="7"/>
  <c r="K319" i="7" s="1"/>
  <c r="L305" i="7"/>
  <c r="O305" i="7" s="1"/>
  <c r="P290" i="7"/>
  <c r="N284" i="7"/>
  <c r="N282" i="7" s="1"/>
  <c r="L284" i="7"/>
  <c r="O284" i="7" s="1"/>
  <c r="I281" i="7"/>
  <c r="K281" i="7" s="1"/>
  <c r="M268" i="7"/>
  <c r="S269" i="7"/>
  <c r="L236" i="7"/>
  <c r="L222" i="7"/>
  <c r="O222" i="7" s="1"/>
  <c r="N189" i="7"/>
  <c r="P189" i="7" s="1"/>
  <c r="U178" i="7"/>
  <c r="L78" i="7"/>
  <c r="O78" i="7" s="1"/>
  <c r="M74" i="7"/>
  <c r="P74" i="7" s="1"/>
  <c r="P65" i="7"/>
  <c r="S59" i="7"/>
  <c r="Q19" i="7"/>
  <c r="U397" i="5"/>
  <c r="O325" i="5"/>
  <c r="K783" i="6"/>
  <c r="P178" i="6"/>
  <c r="K727" i="7"/>
  <c r="I701" i="7"/>
  <c r="K701" i="7" s="1"/>
  <c r="U695" i="7"/>
  <c r="J674" i="7"/>
  <c r="P581" i="7"/>
  <c r="M578" i="7"/>
  <c r="P578" i="7" s="1"/>
  <c r="L537" i="7"/>
  <c r="O537" i="7" s="1"/>
  <c r="M515" i="7"/>
  <c r="P515" i="7" s="1"/>
  <c r="Q513" i="7"/>
  <c r="T513" i="7" s="1"/>
  <c r="O501" i="7"/>
  <c r="M499" i="7"/>
  <c r="P499" i="7" s="1"/>
  <c r="K457" i="7"/>
  <c r="U418" i="7"/>
  <c r="Q395" i="7"/>
  <c r="T395" i="7" s="1"/>
  <c r="O394" i="7"/>
  <c r="T380" i="7"/>
  <c r="K368" i="7"/>
  <c r="O364" i="7"/>
  <c r="N335" i="7"/>
  <c r="N333" i="7" s="1"/>
  <c r="I302" i="7"/>
  <c r="K302" i="7" s="1"/>
  <c r="M284" i="7"/>
  <c r="M282" i="7" s="1"/>
  <c r="P282" i="7" s="1"/>
  <c r="N285" i="7"/>
  <c r="N269" i="7"/>
  <c r="L235" i="7"/>
  <c r="L203" i="7"/>
  <c r="O203" i="7" s="1"/>
  <c r="O191" i="7"/>
  <c r="S188" i="7"/>
  <c r="S186" i="7" s="1"/>
  <c r="M175" i="7"/>
  <c r="M173" i="7" s="1"/>
  <c r="Q145" i="7"/>
  <c r="T145" i="7" s="1"/>
  <c r="Q141" i="7"/>
  <c r="Q139" i="7" s="1"/>
  <c r="T139" i="7" s="1"/>
  <c r="S96" i="7"/>
  <c r="S94" i="7" s="1"/>
  <c r="O67" i="7"/>
  <c r="O64" i="7"/>
  <c r="R59" i="7"/>
  <c r="U59" i="7" s="1"/>
  <c r="R44" i="7"/>
  <c r="U44" i="7" s="1"/>
  <c r="J702" i="5"/>
  <c r="K782" i="6"/>
  <c r="Q496" i="6"/>
  <c r="T496" i="6" s="1"/>
  <c r="U763" i="7"/>
  <c r="U645" i="7"/>
  <c r="M605" i="7"/>
  <c r="P605" i="7" s="1"/>
  <c r="N601" i="7"/>
  <c r="N599" i="7" s="1"/>
  <c r="O600" i="7"/>
  <c r="L579" i="7"/>
  <c r="O579" i="7" s="1"/>
  <c r="T577" i="7"/>
  <c r="R534" i="7"/>
  <c r="U534" i="7" s="1"/>
  <c r="U498" i="7"/>
  <c r="S496" i="7"/>
  <c r="R416" i="7"/>
  <c r="U416" i="7" s="1"/>
  <c r="S356" i="7"/>
  <c r="K346" i="7"/>
  <c r="P336" i="7"/>
  <c r="O325" i="7"/>
  <c r="Q320" i="7"/>
  <c r="T320" i="7" s="1"/>
  <c r="P308" i="7"/>
  <c r="L285" i="7"/>
  <c r="O285" i="7" s="1"/>
  <c r="M269" i="7"/>
  <c r="M188" i="7"/>
  <c r="M186" i="7" s="1"/>
  <c r="R176" i="7"/>
  <c r="U176" i="7" s="1"/>
  <c r="O144" i="7"/>
  <c r="M120" i="7"/>
  <c r="P120" i="7" s="1"/>
  <c r="J702" i="6"/>
  <c r="K632" i="6"/>
  <c r="N358" i="6"/>
  <c r="L203" i="6"/>
  <c r="O203" i="6" s="1"/>
  <c r="T80" i="6"/>
  <c r="S762" i="7"/>
  <c r="K726" i="7"/>
  <c r="S644" i="7"/>
  <c r="L605" i="7"/>
  <c r="O605" i="7" s="1"/>
  <c r="M601" i="7"/>
  <c r="P601" i="7" s="1"/>
  <c r="S576" i="7"/>
  <c r="L561" i="7"/>
  <c r="O561" i="7" s="1"/>
  <c r="L557" i="7"/>
  <c r="Q534" i="7"/>
  <c r="T534" i="7" s="1"/>
  <c r="S493" i="7"/>
  <c r="L415" i="7"/>
  <c r="O415" i="7" s="1"/>
  <c r="L416" i="7"/>
  <c r="O416" i="7" s="1"/>
  <c r="K386" i="7"/>
  <c r="U378" i="7"/>
  <c r="N358" i="7"/>
  <c r="N356" i="7" s="1"/>
  <c r="N359" i="7"/>
  <c r="O336" i="7"/>
  <c r="M323" i="7"/>
  <c r="P323" i="7" s="1"/>
  <c r="O308" i="7"/>
  <c r="L233" i="7"/>
  <c r="L175" i="7"/>
  <c r="N160" i="7"/>
  <c r="U80" i="7"/>
  <c r="R74" i="7"/>
  <c r="R72" i="7" s="1"/>
  <c r="U72" i="7" s="1"/>
  <c r="L74" i="7"/>
  <c r="O74" i="7" s="1"/>
  <c r="K785" i="5"/>
  <c r="K779" i="5"/>
  <c r="K626" i="6"/>
  <c r="O563" i="6"/>
  <c r="P328" i="6"/>
  <c r="R762" i="7"/>
  <c r="P729" i="7"/>
  <c r="J675" i="7"/>
  <c r="R644" i="7"/>
  <c r="R642" i="7" s="1"/>
  <c r="S601" i="7"/>
  <c r="S599" i="7" s="1"/>
  <c r="L601" i="7"/>
  <c r="O601" i="7" s="1"/>
  <c r="R602" i="7"/>
  <c r="U602" i="7" s="1"/>
  <c r="T378" i="7"/>
  <c r="J343" i="7"/>
  <c r="P311" i="7"/>
  <c r="P271" i="7"/>
  <c r="Q188" i="7"/>
  <c r="T188" i="7" s="1"/>
  <c r="P181" i="7"/>
  <c r="L176" i="7"/>
  <c r="K152" i="7"/>
  <c r="T144" i="7"/>
  <c r="Q142" i="7"/>
  <c r="T142" i="7" s="1"/>
  <c r="K108" i="7"/>
  <c r="I93" i="7"/>
  <c r="K93" i="7" s="1"/>
  <c r="L75" i="7"/>
  <c r="O75" i="7" s="1"/>
  <c r="M381" i="5"/>
  <c r="P381" i="5" s="1"/>
  <c r="P383" i="5"/>
  <c r="L305" i="6"/>
  <c r="L303" i="6" s="1"/>
  <c r="O303" i="6" s="1"/>
  <c r="O308" i="6"/>
  <c r="T607" i="7"/>
  <c r="Q605" i="7"/>
  <c r="T605" i="7" s="1"/>
  <c r="O380" i="7"/>
  <c r="N378" i="7"/>
  <c r="P378" i="7" s="1"/>
  <c r="M642" i="7"/>
  <c r="P642" i="7" s="1"/>
  <c r="T617" i="7"/>
  <c r="Q555" i="7"/>
  <c r="T555" i="7" s="1"/>
  <c r="T556" i="7"/>
  <c r="O341" i="7"/>
  <c r="L339" i="7"/>
  <c r="O339" i="7" s="1"/>
  <c r="S415" i="4"/>
  <c r="U415" i="4" s="1"/>
  <c r="S416" i="4"/>
  <c r="M160" i="5"/>
  <c r="P160" i="5" s="1"/>
  <c r="P162" i="5"/>
  <c r="T77" i="6"/>
  <c r="Q75" i="6"/>
  <c r="T75" i="6" s="1"/>
  <c r="U733" i="7"/>
  <c r="S730" i="7"/>
  <c r="S728" i="7" s="1"/>
  <c r="L642" i="7"/>
  <c r="O642" i="7" s="1"/>
  <c r="N616" i="7"/>
  <c r="M558" i="7"/>
  <c r="P558" i="7" s="1"/>
  <c r="K440" i="7"/>
  <c r="I423" i="7"/>
  <c r="O361" i="7"/>
  <c r="L359" i="7"/>
  <c r="L358" i="7"/>
  <c r="U303" i="7"/>
  <c r="U617" i="7"/>
  <c r="Q601" i="7"/>
  <c r="T601" i="7" s="1"/>
  <c r="L516" i="7"/>
  <c r="O516" i="7" s="1"/>
  <c r="L515" i="7"/>
  <c r="O515" i="7" s="1"/>
  <c r="O518" i="7"/>
  <c r="K371" i="5"/>
  <c r="S415" i="6"/>
  <c r="U415" i="6" s="1"/>
  <c r="S416" i="6"/>
  <c r="O325" i="6"/>
  <c r="L323" i="6"/>
  <c r="O323" i="6" s="1"/>
  <c r="M120" i="6"/>
  <c r="P120" i="6" s="1"/>
  <c r="T691" i="7"/>
  <c r="T733" i="6"/>
  <c r="Q731" i="6"/>
  <c r="M272" i="6"/>
  <c r="P272" i="6" s="1"/>
  <c r="P274" i="6"/>
  <c r="L760" i="7"/>
  <c r="O760" i="7" s="1"/>
  <c r="Q714" i="7"/>
  <c r="T714" i="7" s="1"/>
  <c r="M616" i="7"/>
  <c r="P616" i="7" s="1"/>
  <c r="K615" i="7"/>
  <c r="N579" i="7"/>
  <c r="N578" i="7"/>
  <c r="N576" i="7" s="1"/>
  <c r="M540" i="7"/>
  <c r="P540" i="7" s="1"/>
  <c r="P542" i="7"/>
  <c r="P514" i="7"/>
  <c r="N377" i="7"/>
  <c r="N375" i="7" s="1"/>
  <c r="O376" i="7"/>
  <c r="K371" i="7"/>
  <c r="J365" i="7"/>
  <c r="K365" i="7" s="1"/>
  <c r="T158" i="7"/>
  <c r="P604" i="5"/>
  <c r="M339" i="5"/>
  <c r="P339" i="5" s="1"/>
  <c r="P341" i="5"/>
  <c r="I365" i="6"/>
  <c r="K365" i="6" s="1"/>
  <c r="K371" i="6"/>
  <c r="M690" i="7"/>
  <c r="P690" i="7" s="1"/>
  <c r="T643" i="7"/>
  <c r="K626" i="7"/>
  <c r="K630" i="7"/>
  <c r="K631" i="7"/>
  <c r="K632" i="7"/>
  <c r="Q619" i="7"/>
  <c r="T619" i="7" s="1"/>
  <c r="Q618" i="7"/>
  <c r="Q616" i="7" s="1"/>
  <c r="T621" i="7"/>
  <c r="L616" i="7"/>
  <c r="O616" i="7" s="1"/>
  <c r="O617" i="7"/>
  <c r="T604" i="7"/>
  <c r="Q602" i="7"/>
  <c r="T602" i="7" s="1"/>
  <c r="O577" i="7"/>
  <c r="Q496" i="7"/>
  <c r="T496" i="7" s="1"/>
  <c r="Q495" i="7"/>
  <c r="T498" i="7"/>
  <c r="S762" i="4"/>
  <c r="U762" i="4" s="1"/>
  <c r="S763" i="4"/>
  <c r="K772" i="5"/>
  <c r="U647" i="5"/>
  <c r="R645" i="5"/>
  <c r="U645" i="5" s="1"/>
  <c r="R644" i="5"/>
  <c r="U644" i="5" s="1"/>
  <c r="K780" i="6"/>
  <c r="L601" i="6"/>
  <c r="L599" i="6" s="1"/>
  <c r="S392" i="6"/>
  <c r="M378" i="6"/>
  <c r="P378" i="6" s="1"/>
  <c r="P380" i="6"/>
  <c r="L306" i="6"/>
  <c r="O306" i="6" s="1"/>
  <c r="L690" i="7"/>
  <c r="O690" i="7" s="1"/>
  <c r="K629" i="7"/>
  <c r="U577" i="7"/>
  <c r="R576" i="7"/>
  <c r="U576" i="7" s="1"/>
  <c r="M561" i="7"/>
  <c r="P561" i="7" s="1"/>
  <c r="P563" i="7"/>
  <c r="S534" i="7"/>
  <c r="N495" i="7"/>
  <c r="N493" i="7" s="1"/>
  <c r="O494" i="7"/>
  <c r="P418" i="5"/>
  <c r="O361" i="5"/>
  <c r="K784" i="6"/>
  <c r="M578" i="6"/>
  <c r="P578" i="6" s="1"/>
  <c r="Q269" i="6"/>
  <c r="P191" i="6"/>
  <c r="S157" i="6"/>
  <c r="S141" i="6"/>
  <c r="S139" i="6" s="1"/>
  <c r="U122" i="6"/>
  <c r="N96" i="6"/>
  <c r="N94" i="6" s="1"/>
  <c r="L78" i="6"/>
  <c r="O78" i="6" s="1"/>
  <c r="K772" i="7"/>
  <c r="T761" i="7"/>
  <c r="T695" i="7"/>
  <c r="Q692" i="7"/>
  <c r="T692" i="7" s="1"/>
  <c r="U691" i="7"/>
  <c r="O691" i="7"/>
  <c r="T647" i="7"/>
  <c r="Q644" i="7"/>
  <c r="U643" i="7"/>
  <c r="O643" i="7"/>
  <c r="U621" i="7"/>
  <c r="R618" i="7"/>
  <c r="P617" i="7"/>
  <c r="U604" i="7"/>
  <c r="O604" i="7"/>
  <c r="R513" i="7"/>
  <c r="U513" i="7" s="1"/>
  <c r="J503" i="7"/>
  <c r="J492" i="7" s="1"/>
  <c r="Q413" i="7"/>
  <c r="T413" i="7" s="1"/>
  <c r="P380" i="7"/>
  <c r="U376" i="7"/>
  <c r="P334" i="7"/>
  <c r="N322" i="7"/>
  <c r="N320" i="7" s="1"/>
  <c r="O321" i="7"/>
  <c r="K293" i="7"/>
  <c r="I280" i="7"/>
  <c r="K280" i="7" s="1"/>
  <c r="T187" i="7"/>
  <c r="U95" i="7"/>
  <c r="P25" i="7"/>
  <c r="U305" i="7"/>
  <c r="T19" i="7"/>
  <c r="U618" i="4"/>
  <c r="O418" i="5"/>
  <c r="P416" i="5"/>
  <c r="O67" i="5"/>
  <c r="O269" i="6"/>
  <c r="S175" i="6"/>
  <c r="S173" i="6" s="1"/>
  <c r="Q119" i="6"/>
  <c r="K703" i="7"/>
  <c r="P539" i="7"/>
  <c r="U494" i="7"/>
  <c r="R392" i="7"/>
  <c r="U392" i="7" s="1"/>
  <c r="U162" i="7"/>
  <c r="R160" i="7"/>
  <c r="U160" i="7" s="1"/>
  <c r="R159" i="7"/>
  <c r="U159" i="7" s="1"/>
  <c r="R145" i="7"/>
  <c r="U145" i="7" s="1"/>
  <c r="R26" i="7"/>
  <c r="U26" i="7" s="1"/>
  <c r="U147" i="7"/>
  <c r="P140" i="7"/>
  <c r="J374" i="5"/>
  <c r="K153" i="5"/>
  <c r="P416" i="6"/>
  <c r="L234" i="6"/>
  <c r="S395" i="7"/>
  <c r="S394" i="7"/>
  <c r="S392" i="7" s="1"/>
  <c r="R320" i="7"/>
  <c r="U320" i="7" s="1"/>
  <c r="U321" i="7"/>
  <c r="L268" i="7"/>
  <c r="L269" i="7"/>
  <c r="O271" i="7"/>
  <c r="K740" i="1"/>
  <c r="K386" i="2"/>
  <c r="M96" i="4"/>
  <c r="P96" i="4" s="1"/>
  <c r="K631" i="6"/>
  <c r="J351" i="6"/>
  <c r="M536" i="7"/>
  <c r="P536" i="7" s="1"/>
  <c r="R356" i="7"/>
  <c r="U356" i="7" s="1"/>
  <c r="U271" i="7"/>
  <c r="R268" i="7"/>
  <c r="R269" i="7"/>
  <c r="R23" i="7"/>
  <c r="R21" i="7" s="1"/>
  <c r="L578" i="7"/>
  <c r="O578" i="7" s="1"/>
  <c r="N537" i="7"/>
  <c r="L536" i="7"/>
  <c r="M516" i="7"/>
  <c r="P516" i="7" s="1"/>
  <c r="M495" i="7"/>
  <c r="Q416" i="7"/>
  <c r="T416" i="7" s="1"/>
  <c r="M377" i="7"/>
  <c r="M359" i="7"/>
  <c r="M339" i="7"/>
  <c r="P339" i="7" s="1"/>
  <c r="J332" i="7"/>
  <c r="K332" i="7" s="1"/>
  <c r="L326" i="7"/>
  <c r="O326" i="7" s="1"/>
  <c r="M322" i="7"/>
  <c r="U308" i="7"/>
  <c r="Q305" i="7"/>
  <c r="T305" i="7" s="1"/>
  <c r="L243" i="7"/>
  <c r="I213" i="7"/>
  <c r="K213" i="7" s="1"/>
  <c r="K220" i="7"/>
  <c r="P191" i="7"/>
  <c r="L188" i="7"/>
  <c r="L141" i="7"/>
  <c r="O141" i="7" s="1"/>
  <c r="Q120" i="7"/>
  <c r="Q119" i="7"/>
  <c r="T122" i="7"/>
  <c r="N557" i="7"/>
  <c r="N555" i="7" s="1"/>
  <c r="P518" i="7"/>
  <c r="R495" i="7"/>
  <c r="U495" i="7" s="1"/>
  <c r="L495" i="7"/>
  <c r="O495" i="7" s="1"/>
  <c r="T418" i="7"/>
  <c r="N415" i="7"/>
  <c r="N413" i="7" s="1"/>
  <c r="R377" i="7"/>
  <c r="U377" i="7" s="1"/>
  <c r="L377" i="7"/>
  <c r="P361" i="7"/>
  <c r="K344" i="7"/>
  <c r="M335" i="7"/>
  <c r="L322" i="7"/>
  <c r="O322" i="7" s="1"/>
  <c r="T308" i="7"/>
  <c r="N305" i="7"/>
  <c r="N303" i="7" s="1"/>
  <c r="N306" i="7"/>
  <c r="M285" i="7"/>
  <c r="P285" i="7" s="1"/>
  <c r="Q282" i="7"/>
  <c r="T282" i="7" s="1"/>
  <c r="Q269" i="7"/>
  <c r="Q268" i="7"/>
  <c r="L254" i="7"/>
  <c r="O254" i="7" s="1"/>
  <c r="L234" i="7"/>
  <c r="P194" i="7"/>
  <c r="L189" i="7"/>
  <c r="K183" i="7"/>
  <c r="I172" i="7"/>
  <c r="K172" i="7" s="1"/>
  <c r="K169" i="7"/>
  <c r="O147" i="7"/>
  <c r="M19" i="7"/>
  <c r="S415" i="7"/>
  <c r="S413" i="7" s="1"/>
  <c r="M415" i="7"/>
  <c r="Q377" i="7"/>
  <c r="L335" i="7"/>
  <c r="M306" i="7"/>
  <c r="P306" i="7" s="1"/>
  <c r="U140" i="7"/>
  <c r="P125" i="7"/>
  <c r="M119" i="7"/>
  <c r="M123" i="7"/>
  <c r="P123" i="7" s="1"/>
  <c r="P99" i="7"/>
  <c r="M97" i="7"/>
  <c r="P97" i="7" s="1"/>
  <c r="M96" i="7"/>
  <c r="P45" i="7"/>
  <c r="U397" i="7"/>
  <c r="L306" i="7"/>
  <c r="O306" i="7" s="1"/>
  <c r="I195" i="7"/>
  <c r="K195" i="7" s="1"/>
  <c r="R188" i="7"/>
  <c r="S175" i="7"/>
  <c r="S173" i="7" s="1"/>
  <c r="R142" i="7"/>
  <c r="U142" i="7" s="1"/>
  <c r="R141" i="7"/>
  <c r="U141" i="7" s="1"/>
  <c r="S306" i="7"/>
  <c r="R282" i="7"/>
  <c r="U282" i="7" s="1"/>
  <c r="I238" i="7"/>
  <c r="K238" i="7" s="1"/>
  <c r="I242" i="7"/>
  <c r="K249" i="7"/>
  <c r="R189" i="7"/>
  <c r="U189" i="7" s="1"/>
  <c r="O165" i="7"/>
  <c r="L163" i="7"/>
  <c r="O163" i="7" s="1"/>
  <c r="S120" i="7"/>
  <c r="S119" i="7"/>
  <c r="S117" i="7" s="1"/>
  <c r="O95" i="7"/>
  <c r="K276" i="7"/>
  <c r="Q192" i="7"/>
  <c r="T192" i="7" s="1"/>
  <c r="Q189" i="7"/>
  <c r="T189" i="7" s="1"/>
  <c r="N176" i="7"/>
  <c r="M163" i="7"/>
  <c r="P163" i="7" s="1"/>
  <c r="M160" i="7"/>
  <c r="P160" i="7" s="1"/>
  <c r="M159" i="7"/>
  <c r="I136" i="7"/>
  <c r="K136" i="7" s="1"/>
  <c r="K154" i="7"/>
  <c r="T99" i="7"/>
  <c r="Q96" i="7"/>
  <c r="T96" i="7" s="1"/>
  <c r="T95" i="7"/>
  <c r="T73" i="7"/>
  <c r="P73" i="7"/>
  <c r="P67" i="7"/>
  <c r="P64" i="7"/>
  <c r="S44" i="7"/>
  <c r="P22" i="7"/>
  <c r="T191" i="7"/>
  <c r="T162" i="7"/>
  <c r="O162" i="7"/>
  <c r="L160" i="7"/>
  <c r="O160" i="7" s="1"/>
  <c r="L159" i="7"/>
  <c r="O159" i="7" s="1"/>
  <c r="N96" i="7"/>
  <c r="N94" i="7" s="1"/>
  <c r="S78" i="7"/>
  <c r="S26" i="7"/>
  <c r="S24" i="7" s="1"/>
  <c r="S75" i="7"/>
  <c r="S23" i="7"/>
  <c r="S21" i="7" s="1"/>
  <c r="S74" i="7"/>
  <c r="S72" i="7" s="1"/>
  <c r="L23" i="7"/>
  <c r="T118" i="7"/>
  <c r="M26" i="7"/>
  <c r="M50" i="7"/>
  <c r="P50" i="7" s="1"/>
  <c r="N119" i="7"/>
  <c r="N117" i="7" s="1"/>
  <c r="N100" i="7"/>
  <c r="N26" i="7"/>
  <c r="N24" i="7" s="1"/>
  <c r="Q26" i="7"/>
  <c r="L65" i="7"/>
  <c r="O65" i="7" s="1"/>
  <c r="P62" i="7"/>
  <c r="M61" i="7"/>
  <c r="M59" i="7" s="1"/>
  <c r="P60" i="7"/>
  <c r="L50" i="7"/>
  <c r="O50" i="7" s="1"/>
  <c r="M47" i="7"/>
  <c r="P47" i="7" s="1"/>
  <c r="M23" i="7"/>
  <c r="M46" i="7"/>
  <c r="M44" i="7" s="1"/>
  <c r="R173" i="7"/>
  <c r="U173" i="7" s="1"/>
  <c r="Q159" i="7"/>
  <c r="T159" i="7" s="1"/>
  <c r="O140" i="7"/>
  <c r="O125" i="7"/>
  <c r="U122" i="7"/>
  <c r="L61" i="7"/>
  <c r="L46" i="7"/>
  <c r="L26" i="7"/>
  <c r="N23" i="7"/>
  <c r="R19" i="7"/>
  <c r="L19" i="7"/>
  <c r="S141" i="7"/>
  <c r="S139" i="7" s="1"/>
  <c r="M141" i="7"/>
  <c r="P141" i="7" s="1"/>
  <c r="I138" i="7"/>
  <c r="K138" i="7" s="1"/>
  <c r="R119" i="7"/>
  <c r="L119" i="7"/>
  <c r="R96" i="7"/>
  <c r="U96" i="7" s="1"/>
  <c r="L96" i="7"/>
  <c r="O96" i="7" s="1"/>
  <c r="T80" i="7"/>
  <c r="T77" i="7"/>
  <c r="N74" i="7"/>
  <c r="N72" i="7" s="1"/>
  <c r="N61" i="7"/>
  <c r="N59" i="7" s="1"/>
  <c r="N46" i="7"/>
  <c r="N44" i="7" s="1"/>
  <c r="M145" i="7"/>
  <c r="P145" i="7" s="1"/>
  <c r="M142" i="7"/>
  <c r="P142" i="7" s="1"/>
  <c r="R123" i="7"/>
  <c r="U123" i="7" s="1"/>
  <c r="L123" i="7"/>
  <c r="O123" i="7" s="1"/>
  <c r="R120" i="7"/>
  <c r="L120" i="7"/>
  <c r="O120" i="7" s="1"/>
  <c r="L100" i="7"/>
  <c r="O100" i="7" s="1"/>
  <c r="R97" i="7"/>
  <c r="U97" i="7" s="1"/>
  <c r="L97" i="7"/>
  <c r="O97" i="7" s="1"/>
  <c r="U25" i="7"/>
  <c r="O25" i="7"/>
  <c r="Q23" i="7"/>
  <c r="U22" i="7"/>
  <c r="L728" i="6"/>
  <c r="O728" i="6" s="1"/>
  <c r="O729" i="6"/>
  <c r="L74" i="6"/>
  <c r="O77" i="6"/>
  <c r="L75" i="6"/>
  <c r="O75" i="6" s="1"/>
  <c r="N145" i="1"/>
  <c r="L578" i="5"/>
  <c r="L576" i="5" s="1"/>
  <c r="M536" i="5"/>
  <c r="P536" i="5" s="1"/>
  <c r="P49" i="5"/>
  <c r="K785" i="6"/>
  <c r="S728" i="6"/>
  <c r="N642" i="6"/>
  <c r="L582" i="6"/>
  <c r="O582" i="6" s="1"/>
  <c r="O584" i="6"/>
  <c r="P421" i="6"/>
  <c r="M419" i="6"/>
  <c r="P419" i="6" s="1"/>
  <c r="Q266" i="6"/>
  <c r="O49" i="6"/>
  <c r="L47" i="6"/>
  <c r="O47" i="6" s="1"/>
  <c r="M579" i="6"/>
  <c r="P579" i="6" s="1"/>
  <c r="K153" i="6"/>
  <c r="I138" i="6"/>
  <c r="K138" i="6" s="1"/>
  <c r="N326" i="1"/>
  <c r="T765" i="4"/>
  <c r="Q123" i="4"/>
  <c r="T123" i="4" s="1"/>
  <c r="R692" i="5"/>
  <c r="R690" i="5" s="1"/>
  <c r="K369" i="5"/>
  <c r="Q269" i="5"/>
  <c r="M760" i="6"/>
  <c r="P760" i="6" s="1"/>
  <c r="P761" i="6"/>
  <c r="R730" i="6"/>
  <c r="U730" i="6" s="1"/>
  <c r="U729" i="6"/>
  <c r="K727" i="6"/>
  <c r="I689" i="6"/>
  <c r="K689" i="6" s="1"/>
  <c r="J674" i="6"/>
  <c r="K424" i="6"/>
  <c r="N335" i="6"/>
  <c r="N333" i="6" s="1"/>
  <c r="N336" i="6"/>
  <c r="O336" i="6" s="1"/>
  <c r="K220" i="6"/>
  <c r="P125" i="6"/>
  <c r="M123" i="6"/>
  <c r="P123" i="6" s="1"/>
  <c r="S97" i="6"/>
  <c r="T97" i="6" s="1"/>
  <c r="T99" i="6"/>
  <c r="S96" i="6"/>
  <c r="S94" i="6" s="1"/>
  <c r="R74" i="6"/>
  <c r="U77" i="6"/>
  <c r="S644" i="6"/>
  <c r="S642" i="6" s="1"/>
  <c r="S645" i="6"/>
  <c r="M499" i="6"/>
  <c r="P499" i="6" s="1"/>
  <c r="P501" i="6"/>
  <c r="K229" i="6"/>
  <c r="I221" i="6"/>
  <c r="K221" i="6" s="1"/>
  <c r="L236" i="3"/>
  <c r="M419" i="4"/>
  <c r="P419" i="4" s="1"/>
  <c r="L415" i="4"/>
  <c r="L413" i="4" s="1"/>
  <c r="O359" i="4"/>
  <c r="K346" i="4"/>
  <c r="R693" i="5"/>
  <c r="P607" i="5"/>
  <c r="P361" i="5"/>
  <c r="J351" i="5"/>
  <c r="M285" i="5"/>
  <c r="P285" i="5" s="1"/>
  <c r="P191" i="5"/>
  <c r="N175" i="5"/>
  <c r="N173" i="5" s="1"/>
  <c r="L163" i="5"/>
  <c r="O163" i="5" s="1"/>
  <c r="P393" i="6"/>
  <c r="M392" i="6"/>
  <c r="P392" i="6" s="1"/>
  <c r="Q377" i="6"/>
  <c r="Q375" i="6" s="1"/>
  <c r="Q378" i="6"/>
  <c r="T378" i="6" s="1"/>
  <c r="T380" i="6"/>
  <c r="L362" i="6"/>
  <c r="O362" i="6" s="1"/>
  <c r="O364" i="6"/>
  <c r="M335" i="6"/>
  <c r="M336" i="6"/>
  <c r="P338" i="6"/>
  <c r="P334" i="6"/>
  <c r="I265" i="6"/>
  <c r="K265" i="6" s="1"/>
  <c r="K276" i="6"/>
  <c r="P194" i="6"/>
  <c r="M192" i="6"/>
  <c r="P192" i="6" s="1"/>
  <c r="N188" i="6"/>
  <c r="N186" i="6" s="1"/>
  <c r="N189" i="6"/>
  <c r="K109" i="6"/>
  <c r="I93" i="6"/>
  <c r="K93" i="6" s="1"/>
  <c r="Q416" i="6"/>
  <c r="T418" i="6"/>
  <c r="N159" i="6"/>
  <c r="N157" i="6" s="1"/>
  <c r="N160" i="6"/>
  <c r="N556" i="1"/>
  <c r="O519" i="2"/>
  <c r="R175" i="4"/>
  <c r="U175" i="4" s="1"/>
  <c r="U621" i="5"/>
  <c r="O328" i="5"/>
  <c r="K293" i="5"/>
  <c r="O147" i="5"/>
  <c r="M47" i="5"/>
  <c r="P47" i="5" s="1"/>
  <c r="K779" i="6"/>
  <c r="U733" i="6"/>
  <c r="N557" i="6"/>
  <c r="N555" i="6" s="1"/>
  <c r="P556" i="6"/>
  <c r="Q415" i="6"/>
  <c r="L285" i="6"/>
  <c r="O285" i="6" s="1"/>
  <c r="O287" i="6"/>
  <c r="M78" i="6"/>
  <c r="P78" i="6" s="1"/>
  <c r="P80" i="6"/>
  <c r="S601" i="6"/>
  <c r="S599" i="6" s="1"/>
  <c r="S602" i="6"/>
  <c r="T122" i="1"/>
  <c r="Q556" i="1"/>
  <c r="T556" i="1" s="1"/>
  <c r="K774" i="2"/>
  <c r="K169" i="2"/>
  <c r="O290" i="4"/>
  <c r="U178" i="4"/>
  <c r="U607" i="5"/>
  <c r="P542" i="5"/>
  <c r="O521" i="5"/>
  <c r="L358" i="5"/>
  <c r="L356" i="5" s="1"/>
  <c r="L222" i="5"/>
  <c r="O222" i="5" s="1"/>
  <c r="K781" i="6"/>
  <c r="K774" i="6"/>
  <c r="S762" i="6"/>
  <c r="S760" i="6" s="1"/>
  <c r="M728" i="6"/>
  <c r="P728" i="6" s="1"/>
  <c r="P729" i="6"/>
  <c r="M714" i="6"/>
  <c r="P714" i="6" s="1"/>
  <c r="P602" i="6"/>
  <c r="O577" i="6"/>
  <c r="M540" i="6"/>
  <c r="P540" i="6" s="1"/>
  <c r="P542" i="6"/>
  <c r="O514" i="6"/>
  <c r="K346" i="6"/>
  <c r="P341" i="6"/>
  <c r="M339" i="6"/>
  <c r="P339" i="6" s="1"/>
  <c r="S333" i="6"/>
  <c r="U304" i="6"/>
  <c r="S268" i="6"/>
  <c r="S266" i="6" s="1"/>
  <c r="S269" i="6"/>
  <c r="T271" i="6"/>
  <c r="I136" i="6"/>
  <c r="K136" i="6" s="1"/>
  <c r="M75" i="6"/>
  <c r="P75" i="6" s="1"/>
  <c r="P77" i="6"/>
  <c r="R75" i="6"/>
  <c r="U75" i="6" s="1"/>
  <c r="Q44" i="6"/>
  <c r="T44" i="6" s="1"/>
  <c r="T46" i="6"/>
  <c r="U715" i="6"/>
  <c r="J701" i="6"/>
  <c r="N690" i="6"/>
  <c r="L642" i="6"/>
  <c r="O642" i="6" s="1"/>
  <c r="R601" i="6"/>
  <c r="U601" i="6" s="1"/>
  <c r="L578" i="6"/>
  <c r="O578" i="6" s="1"/>
  <c r="R576" i="6"/>
  <c r="U576" i="6" s="1"/>
  <c r="M557" i="6"/>
  <c r="P557" i="6" s="1"/>
  <c r="S555" i="6"/>
  <c r="L515" i="6"/>
  <c r="O515" i="6" s="1"/>
  <c r="K386" i="6"/>
  <c r="N377" i="6"/>
  <c r="N375" i="6" s="1"/>
  <c r="R333" i="6"/>
  <c r="U333" i="6" s="1"/>
  <c r="Q320" i="6"/>
  <c r="T320" i="6" s="1"/>
  <c r="N305" i="6"/>
  <c r="N303" i="6" s="1"/>
  <c r="L284" i="6"/>
  <c r="L282" i="6" s="1"/>
  <c r="O282" i="6" s="1"/>
  <c r="M188" i="6"/>
  <c r="N175" i="6"/>
  <c r="N173" i="6" s="1"/>
  <c r="O165" i="6"/>
  <c r="M159" i="6"/>
  <c r="M157" i="6" s="1"/>
  <c r="P157" i="6" s="1"/>
  <c r="S160" i="6"/>
  <c r="Q74" i="6"/>
  <c r="T74" i="6" s="1"/>
  <c r="P49" i="6"/>
  <c r="N19" i="6"/>
  <c r="I701" i="6"/>
  <c r="K701" i="6" s="1"/>
  <c r="M616" i="6"/>
  <c r="P616" i="6" s="1"/>
  <c r="Q601" i="6"/>
  <c r="T601" i="6" s="1"/>
  <c r="M561" i="6"/>
  <c r="P561" i="6" s="1"/>
  <c r="N536" i="6"/>
  <c r="N534" i="6" s="1"/>
  <c r="Q513" i="6"/>
  <c r="T513" i="6" s="1"/>
  <c r="R513" i="6"/>
  <c r="U513" i="6" s="1"/>
  <c r="P498" i="6"/>
  <c r="M415" i="6"/>
  <c r="M413" i="6" s="1"/>
  <c r="R392" i="6"/>
  <c r="U392" i="6" s="1"/>
  <c r="M326" i="6"/>
  <c r="P326" i="6" s="1"/>
  <c r="U308" i="6"/>
  <c r="I281" i="6"/>
  <c r="K281" i="6" s="1"/>
  <c r="L254" i="6"/>
  <c r="O254" i="6" s="1"/>
  <c r="S188" i="6"/>
  <c r="S186" i="6" s="1"/>
  <c r="O191" i="6"/>
  <c r="M179" i="6"/>
  <c r="P179" i="6" s="1"/>
  <c r="N119" i="6"/>
  <c r="N117" i="6" s="1"/>
  <c r="R44" i="6"/>
  <c r="U44" i="6" s="1"/>
  <c r="L714" i="6"/>
  <c r="O714" i="6" s="1"/>
  <c r="L690" i="6"/>
  <c r="O690" i="6" s="1"/>
  <c r="N601" i="6"/>
  <c r="N599" i="6" s="1"/>
  <c r="M536" i="6"/>
  <c r="P536" i="6" s="1"/>
  <c r="R534" i="6"/>
  <c r="U534" i="6" s="1"/>
  <c r="N495" i="6"/>
  <c r="N493" i="6" s="1"/>
  <c r="M495" i="6"/>
  <c r="P495" i="6" s="1"/>
  <c r="I456" i="6"/>
  <c r="K456" i="6" s="1"/>
  <c r="R413" i="6"/>
  <c r="R377" i="6"/>
  <c r="R375" i="6" s="1"/>
  <c r="O361" i="6"/>
  <c r="L322" i="6"/>
  <c r="O322" i="6" s="1"/>
  <c r="S303" i="6"/>
  <c r="N284" i="6"/>
  <c r="N282" i="6" s="1"/>
  <c r="J231" i="6"/>
  <c r="J185" i="6" s="1"/>
  <c r="L222" i="6"/>
  <c r="O222" i="6" s="1"/>
  <c r="M189" i="6"/>
  <c r="N176" i="6"/>
  <c r="P176" i="6" s="1"/>
  <c r="M160" i="6"/>
  <c r="P160" i="6" s="1"/>
  <c r="N141" i="6"/>
  <c r="N139" i="6" s="1"/>
  <c r="L123" i="6"/>
  <c r="O123" i="6" s="1"/>
  <c r="M119" i="6"/>
  <c r="L19" i="6"/>
  <c r="O19" i="6" s="1"/>
  <c r="S731" i="6"/>
  <c r="K630" i="6"/>
  <c r="U619" i="6"/>
  <c r="M601" i="6"/>
  <c r="M599" i="6" s="1"/>
  <c r="L536" i="6"/>
  <c r="O536" i="6" s="1"/>
  <c r="J457" i="6"/>
  <c r="J456" i="6" s="1"/>
  <c r="K441" i="6"/>
  <c r="R395" i="6"/>
  <c r="U395" i="6" s="1"/>
  <c r="U378" i="6"/>
  <c r="M377" i="6"/>
  <c r="P377" i="6" s="1"/>
  <c r="K369" i="6"/>
  <c r="Q356" i="6"/>
  <c r="T356" i="6" s="1"/>
  <c r="J343" i="6"/>
  <c r="N306" i="6"/>
  <c r="O290" i="6"/>
  <c r="S282" i="6"/>
  <c r="M268" i="6"/>
  <c r="M266" i="6" s="1"/>
  <c r="L235" i="6"/>
  <c r="I238" i="6"/>
  <c r="K238" i="6" s="1"/>
  <c r="M141" i="6"/>
  <c r="M139" i="6" s="1"/>
  <c r="P139" i="6" s="1"/>
  <c r="I137" i="6"/>
  <c r="K137" i="6" s="1"/>
  <c r="S119" i="6"/>
  <c r="S117" i="6" s="1"/>
  <c r="N120" i="6"/>
  <c r="P47" i="6"/>
  <c r="U147" i="6"/>
  <c r="R145" i="6"/>
  <c r="U145" i="6" s="1"/>
  <c r="L582" i="1"/>
  <c r="O582" i="1" s="1"/>
  <c r="M358" i="4"/>
  <c r="L159" i="4"/>
  <c r="O159" i="4" s="1"/>
  <c r="J701" i="5"/>
  <c r="T695" i="5"/>
  <c r="S645" i="5"/>
  <c r="S616" i="5"/>
  <c r="K229" i="5"/>
  <c r="Q160" i="5"/>
  <c r="T160" i="5" s="1"/>
  <c r="T162" i="5"/>
  <c r="S141" i="5"/>
  <c r="S139" i="5" s="1"/>
  <c r="T99" i="5"/>
  <c r="T691" i="6"/>
  <c r="T643" i="6"/>
  <c r="T607" i="6"/>
  <c r="Q605" i="6"/>
  <c r="T605" i="6" s="1"/>
  <c r="N578" i="6"/>
  <c r="N576" i="6" s="1"/>
  <c r="Q392" i="6"/>
  <c r="T392" i="6" s="1"/>
  <c r="M120" i="5"/>
  <c r="P120" i="5" s="1"/>
  <c r="P122" i="5"/>
  <c r="P521" i="6"/>
  <c r="M519" i="6"/>
  <c r="P519" i="6" s="1"/>
  <c r="U494" i="6"/>
  <c r="J702" i="4"/>
  <c r="T308" i="4"/>
  <c r="K229" i="4"/>
  <c r="J675" i="5"/>
  <c r="M602" i="5"/>
  <c r="P602" i="5" s="1"/>
  <c r="P308" i="5"/>
  <c r="L234" i="5"/>
  <c r="K138" i="5"/>
  <c r="L616" i="6"/>
  <c r="O616" i="6" s="1"/>
  <c r="O617" i="6"/>
  <c r="T604" i="6"/>
  <c r="Q602" i="6"/>
  <c r="T602" i="6" s="1"/>
  <c r="I156" i="5"/>
  <c r="K156" i="5" s="1"/>
  <c r="U765" i="4"/>
  <c r="R763" i="4"/>
  <c r="K727" i="4"/>
  <c r="T647" i="5"/>
  <c r="L605" i="5"/>
  <c r="O605" i="5" s="1"/>
  <c r="P501" i="5"/>
  <c r="I365" i="5"/>
  <c r="K365" i="5" s="1"/>
  <c r="T125" i="5"/>
  <c r="T80" i="5"/>
  <c r="Q78" i="5"/>
  <c r="T78" i="5" s="1"/>
  <c r="T716" i="6"/>
  <c r="Q714" i="6"/>
  <c r="T714" i="6" s="1"/>
  <c r="P692" i="6"/>
  <c r="M690" i="6"/>
  <c r="P690" i="6" s="1"/>
  <c r="P644" i="6"/>
  <c r="M642" i="6"/>
  <c r="P642" i="6" s="1"/>
  <c r="Q619" i="6"/>
  <c r="T619" i="6" s="1"/>
  <c r="Q618" i="6"/>
  <c r="T621" i="6"/>
  <c r="K440" i="6"/>
  <c r="J423" i="6"/>
  <c r="P418" i="6"/>
  <c r="N415" i="6"/>
  <c r="N413" i="6" s="1"/>
  <c r="O181" i="6"/>
  <c r="L179" i="6"/>
  <c r="O179" i="6" s="1"/>
  <c r="T730" i="6"/>
  <c r="Q728" i="6"/>
  <c r="R356" i="6"/>
  <c r="U356" i="6" s="1"/>
  <c r="L243" i="6"/>
  <c r="L233" i="6"/>
  <c r="Q176" i="4"/>
  <c r="T176" i="4" s="1"/>
  <c r="M119" i="4"/>
  <c r="P119" i="4" s="1"/>
  <c r="L540" i="5"/>
  <c r="O540" i="5" s="1"/>
  <c r="K433" i="5"/>
  <c r="R395" i="5"/>
  <c r="U395" i="5" s="1"/>
  <c r="R306" i="5"/>
  <c r="P80" i="5"/>
  <c r="O762" i="6"/>
  <c r="L760" i="6"/>
  <c r="O760" i="6" s="1"/>
  <c r="U617" i="6"/>
  <c r="J615" i="6"/>
  <c r="K615" i="6" s="1"/>
  <c r="O556" i="6"/>
  <c r="T536" i="6"/>
  <c r="Q534" i="6"/>
  <c r="T534" i="6" s="1"/>
  <c r="M515" i="6"/>
  <c r="J503" i="6"/>
  <c r="J492" i="6" s="1"/>
  <c r="L495" i="6"/>
  <c r="O495" i="6" s="1"/>
  <c r="O498" i="6"/>
  <c r="T308" i="6"/>
  <c r="Q306" i="6"/>
  <c r="T306" i="6" s="1"/>
  <c r="Q305" i="6"/>
  <c r="T305" i="6" s="1"/>
  <c r="T578" i="6"/>
  <c r="Q576" i="6"/>
  <c r="T576" i="6" s="1"/>
  <c r="I116" i="6"/>
  <c r="K116" i="6" s="1"/>
  <c r="K127" i="6"/>
  <c r="R601" i="3"/>
  <c r="U601" i="3" s="1"/>
  <c r="M415" i="4"/>
  <c r="M413" i="4" s="1"/>
  <c r="T380" i="4"/>
  <c r="O341" i="4"/>
  <c r="K314" i="4"/>
  <c r="S693" i="5"/>
  <c r="J674" i="5"/>
  <c r="Q619" i="5"/>
  <c r="K346" i="5"/>
  <c r="P325" i="5"/>
  <c r="K276" i="5"/>
  <c r="L236" i="5"/>
  <c r="L203" i="5"/>
  <c r="O203" i="5" s="1"/>
  <c r="S160" i="5"/>
  <c r="S159" i="5"/>
  <c r="S157" i="5" s="1"/>
  <c r="R555" i="6"/>
  <c r="U555" i="6" s="1"/>
  <c r="U556" i="6"/>
  <c r="O501" i="6"/>
  <c r="L499" i="6"/>
  <c r="O499" i="6" s="1"/>
  <c r="R495" i="6"/>
  <c r="U495" i="6" s="1"/>
  <c r="U498" i="6"/>
  <c r="R496" i="6"/>
  <c r="U496" i="6" s="1"/>
  <c r="O418" i="6"/>
  <c r="L235" i="5"/>
  <c r="Q74" i="5"/>
  <c r="T74" i="5" s="1"/>
  <c r="N65" i="5"/>
  <c r="O65" i="5" s="1"/>
  <c r="T765" i="6"/>
  <c r="Q762" i="6"/>
  <c r="T762" i="6" s="1"/>
  <c r="U695" i="6"/>
  <c r="R692" i="6"/>
  <c r="U692" i="6" s="1"/>
  <c r="U647" i="6"/>
  <c r="R644" i="6"/>
  <c r="U644" i="6" s="1"/>
  <c r="S618" i="6"/>
  <c r="S616" i="6" s="1"/>
  <c r="R605" i="6"/>
  <c r="U605" i="6" s="1"/>
  <c r="L605" i="6"/>
  <c r="O605" i="6" s="1"/>
  <c r="P604" i="6"/>
  <c r="R602" i="6"/>
  <c r="U602" i="6" s="1"/>
  <c r="L602" i="6"/>
  <c r="O602" i="6" s="1"/>
  <c r="P581" i="6"/>
  <c r="L579" i="6"/>
  <c r="O579" i="6" s="1"/>
  <c r="P539" i="6"/>
  <c r="L537" i="6"/>
  <c r="O537" i="6" s="1"/>
  <c r="O518" i="6"/>
  <c r="K504" i="6"/>
  <c r="O421" i="6"/>
  <c r="U397" i="6"/>
  <c r="S395" i="6"/>
  <c r="P383" i="6"/>
  <c r="U380" i="6"/>
  <c r="O380" i="6"/>
  <c r="S377" i="6"/>
  <c r="S375" i="6" s="1"/>
  <c r="L377" i="6"/>
  <c r="O194" i="6"/>
  <c r="L192" i="6"/>
  <c r="O192" i="6" s="1"/>
  <c r="O77" i="5"/>
  <c r="T761" i="6"/>
  <c r="T695" i="6"/>
  <c r="Q692" i="6"/>
  <c r="T692" i="6" s="1"/>
  <c r="U691" i="6"/>
  <c r="O691" i="6"/>
  <c r="T647" i="6"/>
  <c r="Q644" i="6"/>
  <c r="T644" i="6" s="1"/>
  <c r="U643" i="6"/>
  <c r="O643" i="6"/>
  <c r="U621" i="6"/>
  <c r="R618" i="6"/>
  <c r="R616" i="6" s="1"/>
  <c r="P617" i="6"/>
  <c r="U604" i="6"/>
  <c r="O604" i="6"/>
  <c r="O581" i="6"/>
  <c r="L557" i="6"/>
  <c r="O557" i="6" s="1"/>
  <c r="N515" i="6"/>
  <c r="N513" i="6" s="1"/>
  <c r="L416" i="6"/>
  <c r="O416" i="6" s="1"/>
  <c r="I374" i="6"/>
  <c r="M362" i="6"/>
  <c r="P362" i="6" s="1"/>
  <c r="M358" i="6"/>
  <c r="J332" i="6"/>
  <c r="M284" i="6"/>
  <c r="P287" i="6"/>
  <c r="M285" i="6"/>
  <c r="P285" i="6" s="1"/>
  <c r="I231" i="6"/>
  <c r="K109" i="5"/>
  <c r="K703" i="6"/>
  <c r="K503" i="6"/>
  <c r="S495" i="6"/>
  <c r="S493" i="6" s="1"/>
  <c r="R416" i="6"/>
  <c r="Q395" i="6"/>
  <c r="T395" i="6" s="1"/>
  <c r="N378" i="6"/>
  <c r="L359" i="6"/>
  <c r="O359" i="6" s="1"/>
  <c r="L339" i="6"/>
  <c r="O339" i="6" s="1"/>
  <c r="O341" i="6"/>
  <c r="P311" i="6"/>
  <c r="M309" i="6"/>
  <c r="P309" i="6" s="1"/>
  <c r="M305" i="6"/>
  <c r="P308" i="6"/>
  <c r="M306" i="6"/>
  <c r="P306" i="6" s="1"/>
  <c r="Q282" i="6"/>
  <c r="T282" i="6" s="1"/>
  <c r="O271" i="6"/>
  <c r="L268" i="6"/>
  <c r="I195" i="6"/>
  <c r="K195" i="6" s="1"/>
  <c r="K198" i="6"/>
  <c r="L46" i="5"/>
  <c r="L44" i="5" s="1"/>
  <c r="L558" i="6"/>
  <c r="O558" i="6" s="1"/>
  <c r="L540" i="6"/>
  <c r="O540" i="6" s="1"/>
  <c r="L415" i="6"/>
  <c r="L392" i="6"/>
  <c r="O392" i="6" s="1"/>
  <c r="K314" i="6"/>
  <c r="I302" i="6"/>
  <c r="K302" i="6" s="1"/>
  <c r="S306" i="6"/>
  <c r="R268" i="6"/>
  <c r="R266" i="6" s="1"/>
  <c r="U271" i="6"/>
  <c r="R269" i="6"/>
  <c r="O267" i="6"/>
  <c r="U191" i="6"/>
  <c r="R188" i="6"/>
  <c r="U418" i="6"/>
  <c r="U414" i="6"/>
  <c r="U393" i="6"/>
  <c r="U357" i="6"/>
  <c r="N323" i="6"/>
  <c r="N322" i="6"/>
  <c r="N320" i="6" s="1"/>
  <c r="O321" i="6"/>
  <c r="U267" i="6"/>
  <c r="I156" i="6"/>
  <c r="K156" i="6" s="1"/>
  <c r="K169" i="6"/>
  <c r="O144" i="6"/>
  <c r="L141" i="6"/>
  <c r="L142" i="6"/>
  <c r="O142" i="6" s="1"/>
  <c r="I332" i="6"/>
  <c r="K344" i="6"/>
  <c r="O338" i="6"/>
  <c r="L335" i="6"/>
  <c r="L326" i="6"/>
  <c r="O326" i="6" s="1"/>
  <c r="I319" i="6"/>
  <c r="K319" i="6" s="1"/>
  <c r="P290" i="6"/>
  <c r="N268" i="6"/>
  <c r="N266" i="6" s="1"/>
  <c r="K260" i="6"/>
  <c r="L214" i="6"/>
  <c r="O214" i="6" s="1"/>
  <c r="K209" i="6"/>
  <c r="R192" i="6"/>
  <c r="U192" i="6" s="1"/>
  <c r="T191" i="6"/>
  <c r="Q189" i="6"/>
  <c r="T189" i="6" s="1"/>
  <c r="L188" i="6"/>
  <c r="I172" i="6"/>
  <c r="K172" i="6" s="1"/>
  <c r="K183" i="6"/>
  <c r="L175" i="6"/>
  <c r="O178" i="6"/>
  <c r="T174" i="6"/>
  <c r="L159" i="6"/>
  <c r="T147" i="6"/>
  <c r="Q145" i="6"/>
  <c r="T145" i="6" s="1"/>
  <c r="N100" i="6"/>
  <c r="N26" i="6"/>
  <c r="N24" i="6" s="1"/>
  <c r="N97" i="6"/>
  <c r="N23" i="6"/>
  <c r="L272" i="6"/>
  <c r="O272" i="6" s="1"/>
  <c r="T194" i="6"/>
  <c r="Q192" i="6"/>
  <c r="T192" i="6" s="1"/>
  <c r="R175" i="6"/>
  <c r="U178" i="6"/>
  <c r="R176" i="6"/>
  <c r="U176" i="6" s="1"/>
  <c r="U144" i="6"/>
  <c r="R141" i="6"/>
  <c r="R142" i="6"/>
  <c r="U142" i="6" s="1"/>
  <c r="P102" i="6"/>
  <c r="M100" i="6"/>
  <c r="P100" i="6" s="1"/>
  <c r="P99" i="6"/>
  <c r="M97" i="6"/>
  <c r="L189" i="6"/>
  <c r="T178" i="6"/>
  <c r="Q175" i="6"/>
  <c r="T175" i="6" s="1"/>
  <c r="Q176" i="6"/>
  <c r="T176" i="6" s="1"/>
  <c r="M175" i="6"/>
  <c r="U162" i="6"/>
  <c r="R159" i="6"/>
  <c r="R160" i="6"/>
  <c r="U160" i="6" s="1"/>
  <c r="K242" i="6"/>
  <c r="P73" i="6"/>
  <c r="S19" i="6"/>
  <c r="I280" i="6"/>
  <c r="K280" i="6" s="1"/>
  <c r="Q188" i="6"/>
  <c r="L160" i="6"/>
  <c r="O160" i="6" s="1"/>
  <c r="O122" i="6"/>
  <c r="L120" i="6"/>
  <c r="O120" i="6" s="1"/>
  <c r="L119" i="6"/>
  <c r="M96" i="6"/>
  <c r="U25" i="6"/>
  <c r="U22" i="6"/>
  <c r="R19" i="6"/>
  <c r="T144" i="6"/>
  <c r="Q142" i="6"/>
  <c r="T142" i="6" s="1"/>
  <c r="R120" i="6"/>
  <c r="U120" i="6" s="1"/>
  <c r="O102" i="6"/>
  <c r="L100" i="6"/>
  <c r="O100" i="6" s="1"/>
  <c r="O95" i="6"/>
  <c r="K87" i="6"/>
  <c r="I83" i="6"/>
  <c r="P60" i="6"/>
  <c r="P45" i="6"/>
  <c r="P19" i="6"/>
  <c r="K249" i="6"/>
  <c r="Q160" i="6"/>
  <c r="T160" i="6" s="1"/>
  <c r="Q159" i="6"/>
  <c r="P144" i="6"/>
  <c r="Q141" i="6"/>
  <c r="T141" i="6" s="1"/>
  <c r="R26" i="6"/>
  <c r="U26" i="6" s="1"/>
  <c r="U125" i="6"/>
  <c r="R123" i="6"/>
  <c r="U123" i="6" s="1"/>
  <c r="T122" i="6"/>
  <c r="Q120" i="6"/>
  <c r="T120" i="6" s="1"/>
  <c r="U95" i="6"/>
  <c r="T125" i="6"/>
  <c r="Q123" i="6"/>
  <c r="T123" i="6" s="1"/>
  <c r="T95" i="6"/>
  <c r="Q26" i="6"/>
  <c r="P67" i="6"/>
  <c r="M65" i="6"/>
  <c r="P65" i="6" s="1"/>
  <c r="P52" i="6"/>
  <c r="M26" i="6"/>
  <c r="P26" i="6" s="1"/>
  <c r="M50" i="6"/>
  <c r="P50" i="6" s="1"/>
  <c r="P25" i="6"/>
  <c r="P22" i="6"/>
  <c r="L145" i="6"/>
  <c r="O145" i="6" s="1"/>
  <c r="M142" i="6"/>
  <c r="P142" i="6" s="1"/>
  <c r="I82" i="6"/>
  <c r="O67" i="6"/>
  <c r="L65" i="6"/>
  <c r="O65" i="6" s="1"/>
  <c r="L61" i="6"/>
  <c r="O52" i="6"/>
  <c r="L26" i="6"/>
  <c r="O26" i="6" s="1"/>
  <c r="L50" i="6"/>
  <c r="O50" i="6" s="1"/>
  <c r="L46" i="6"/>
  <c r="O25" i="6"/>
  <c r="O22" i="6"/>
  <c r="R96" i="6"/>
  <c r="L96" i="6"/>
  <c r="O96" i="6" s="1"/>
  <c r="N74" i="6"/>
  <c r="N72" i="6" s="1"/>
  <c r="N61" i="6"/>
  <c r="N59" i="6" s="1"/>
  <c r="N46" i="6"/>
  <c r="N44" i="6" s="1"/>
  <c r="S26" i="6"/>
  <c r="S24" i="6" s="1"/>
  <c r="S23" i="6"/>
  <c r="M23" i="6"/>
  <c r="M21" i="6" s="1"/>
  <c r="Q19" i="6"/>
  <c r="Q96" i="6"/>
  <c r="S74" i="6"/>
  <c r="S72" i="6" s="1"/>
  <c r="M74" i="6"/>
  <c r="P74" i="6" s="1"/>
  <c r="M61" i="6"/>
  <c r="M46" i="6"/>
  <c r="M44" i="6" s="1"/>
  <c r="R23" i="6"/>
  <c r="R21" i="6" s="1"/>
  <c r="L23" i="6"/>
  <c r="L21" i="6" s="1"/>
  <c r="R97" i="6"/>
  <c r="L97" i="6"/>
  <c r="O97" i="6" s="1"/>
  <c r="Q23" i="6"/>
  <c r="M362" i="5"/>
  <c r="P362" i="5" s="1"/>
  <c r="P364" i="5"/>
  <c r="U334" i="5"/>
  <c r="R333" i="5"/>
  <c r="U333" i="5" s="1"/>
  <c r="L142" i="5"/>
  <c r="O142" i="5" s="1"/>
  <c r="O144" i="5"/>
  <c r="K784" i="2"/>
  <c r="K778" i="2"/>
  <c r="O539" i="4"/>
  <c r="P380" i="4"/>
  <c r="P364" i="4"/>
  <c r="I265" i="4"/>
  <c r="K265" i="4" s="1"/>
  <c r="L235" i="4"/>
  <c r="I253" i="4"/>
  <c r="K253" i="4" s="1"/>
  <c r="P194" i="4"/>
  <c r="Q730" i="5"/>
  <c r="Q728" i="5" s="1"/>
  <c r="M690" i="5"/>
  <c r="P690" i="5" s="1"/>
  <c r="P691" i="5"/>
  <c r="Q601" i="5"/>
  <c r="T601" i="5" s="1"/>
  <c r="M537" i="5"/>
  <c r="P537" i="5" s="1"/>
  <c r="M519" i="5"/>
  <c r="P519" i="5" s="1"/>
  <c r="O518" i="5"/>
  <c r="L516" i="5"/>
  <c r="O516" i="5" s="1"/>
  <c r="L515" i="5"/>
  <c r="O515" i="5" s="1"/>
  <c r="Q495" i="5"/>
  <c r="T498" i="5"/>
  <c r="Q377" i="5"/>
  <c r="Q375" i="5" s="1"/>
  <c r="Q378" i="5"/>
  <c r="T378" i="5" s="1"/>
  <c r="T380" i="5"/>
  <c r="N336" i="5"/>
  <c r="O336" i="5" s="1"/>
  <c r="O338" i="5"/>
  <c r="I195" i="5"/>
  <c r="K195" i="5" s="1"/>
  <c r="K198" i="5"/>
  <c r="P187" i="5"/>
  <c r="M100" i="5"/>
  <c r="P100" i="5" s="1"/>
  <c r="P102" i="5"/>
  <c r="M75" i="5"/>
  <c r="P75" i="5" s="1"/>
  <c r="P77" i="5"/>
  <c r="P67" i="5"/>
  <c r="S59" i="5"/>
  <c r="N19" i="5"/>
  <c r="S642" i="5"/>
  <c r="R268" i="5"/>
  <c r="R266" i="5" s="1"/>
  <c r="R269" i="5"/>
  <c r="U271" i="5"/>
  <c r="K154" i="5"/>
  <c r="I136" i="5"/>
  <c r="K136" i="5" s="1"/>
  <c r="U122" i="1"/>
  <c r="O416" i="2"/>
  <c r="L97" i="3"/>
  <c r="O97" i="3" s="1"/>
  <c r="T695" i="4"/>
  <c r="S692" i="4"/>
  <c r="S690" i="4" s="1"/>
  <c r="J675" i="4"/>
  <c r="O563" i="4"/>
  <c r="T498" i="4"/>
  <c r="K330" i="4"/>
  <c r="K154" i="4"/>
  <c r="R145" i="4"/>
  <c r="U145" i="4" s="1"/>
  <c r="L46" i="4"/>
  <c r="L44" i="4" s="1"/>
  <c r="L47" i="4"/>
  <c r="R763" i="5"/>
  <c r="U763" i="5" s="1"/>
  <c r="U765" i="5"/>
  <c r="R762" i="5"/>
  <c r="M760" i="5"/>
  <c r="P760" i="5" s="1"/>
  <c r="L728" i="5"/>
  <c r="O728" i="5" s="1"/>
  <c r="Q605" i="5"/>
  <c r="T605" i="5" s="1"/>
  <c r="M582" i="5"/>
  <c r="P582" i="5" s="1"/>
  <c r="P584" i="5"/>
  <c r="M557" i="5"/>
  <c r="P557" i="5" s="1"/>
  <c r="M558" i="5"/>
  <c r="P558" i="5" s="1"/>
  <c r="P560" i="5"/>
  <c r="O514" i="5"/>
  <c r="M336" i="5"/>
  <c r="P338" i="5"/>
  <c r="Q306" i="5"/>
  <c r="T308" i="5"/>
  <c r="Q305" i="5"/>
  <c r="Q303" i="5" s="1"/>
  <c r="T303" i="5" s="1"/>
  <c r="L272" i="5"/>
  <c r="O272" i="5" s="1"/>
  <c r="O274" i="5"/>
  <c r="K260" i="5"/>
  <c r="I253" i="5"/>
  <c r="K253" i="5" s="1"/>
  <c r="N119" i="5"/>
  <c r="N117" i="5" s="1"/>
  <c r="R619" i="1"/>
  <c r="P535" i="5"/>
  <c r="L285" i="5"/>
  <c r="O285" i="5" s="1"/>
  <c r="O287" i="5"/>
  <c r="K251" i="5"/>
  <c r="I240" i="5"/>
  <c r="K240" i="5" s="1"/>
  <c r="K705" i="5"/>
  <c r="L362" i="5"/>
  <c r="O362" i="5" s="1"/>
  <c r="O364" i="5"/>
  <c r="K330" i="1"/>
  <c r="K369" i="3"/>
  <c r="K779" i="4"/>
  <c r="Q692" i="4"/>
  <c r="Q690" i="4" s="1"/>
  <c r="P501" i="4"/>
  <c r="T397" i="4"/>
  <c r="O162" i="4"/>
  <c r="T147" i="4"/>
  <c r="Q763" i="5"/>
  <c r="T763" i="5" s="1"/>
  <c r="T765" i="5"/>
  <c r="Q762" i="5"/>
  <c r="T762" i="5" s="1"/>
  <c r="O762" i="5"/>
  <c r="L760" i="5"/>
  <c r="O760" i="5" s="1"/>
  <c r="S690" i="5"/>
  <c r="M642" i="5"/>
  <c r="P642" i="5" s="1"/>
  <c r="P643" i="5"/>
  <c r="L582" i="5"/>
  <c r="O582" i="5" s="1"/>
  <c r="O584" i="5"/>
  <c r="L558" i="5"/>
  <c r="O558" i="5" s="1"/>
  <c r="O560" i="5"/>
  <c r="P414" i="5"/>
  <c r="P290" i="5"/>
  <c r="M288" i="5"/>
  <c r="P288" i="5" s="1"/>
  <c r="N233" i="5"/>
  <c r="R175" i="5"/>
  <c r="U175" i="5" s="1"/>
  <c r="U178" i="5"/>
  <c r="M123" i="5"/>
  <c r="P123" i="5" s="1"/>
  <c r="P125" i="5"/>
  <c r="N62" i="5"/>
  <c r="O64" i="5"/>
  <c r="N61" i="5"/>
  <c r="N59" i="5" s="1"/>
  <c r="R601" i="5"/>
  <c r="U601" i="5" s="1"/>
  <c r="U604" i="5"/>
  <c r="R496" i="5"/>
  <c r="U496" i="5" s="1"/>
  <c r="R495" i="5"/>
  <c r="R493" i="5" s="1"/>
  <c r="U493" i="5" s="1"/>
  <c r="U498" i="5"/>
  <c r="R378" i="5"/>
  <c r="U378" i="5" s="1"/>
  <c r="U380" i="5"/>
  <c r="K109" i="1"/>
  <c r="T271" i="1"/>
  <c r="K779" i="1"/>
  <c r="K782" i="1"/>
  <c r="K785" i="1"/>
  <c r="K705" i="3"/>
  <c r="Q693" i="4"/>
  <c r="T693" i="4" s="1"/>
  <c r="O581" i="4"/>
  <c r="S375" i="4"/>
  <c r="O361" i="4"/>
  <c r="R188" i="4"/>
  <c r="R186" i="4" s="1"/>
  <c r="P165" i="4"/>
  <c r="L601" i="5"/>
  <c r="L599" i="5" s="1"/>
  <c r="L602" i="5"/>
  <c r="O602" i="5" s="1"/>
  <c r="O604" i="5"/>
  <c r="Q602" i="5"/>
  <c r="T602" i="5" s="1"/>
  <c r="M561" i="5"/>
  <c r="P561" i="5" s="1"/>
  <c r="R513" i="5"/>
  <c r="U513" i="5" s="1"/>
  <c r="U514" i="5"/>
  <c r="L496" i="5"/>
  <c r="O496" i="5" s="1"/>
  <c r="L495" i="5"/>
  <c r="O495" i="5" s="1"/>
  <c r="O498" i="5"/>
  <c r="K441" i="5"/>
  <c r="L378" i="5"/>
  <c r="O378" i="5" s="1"/>
  <c r="O380" i="5"/>
  <c r="K292" i="5"/>
  <c r="L288" i="5"/>
  <c r="O288" i="5" s="1"/>
  <c r="O290" i="5"/>
  <c r="S269" i="5"/>
  <c r="T271" i="5"/>
  <c r="P194" i="5"/>
  <c r="M192" i="5"/>
  <c r="P192" i="5" s="1"/>
  <c r="N188" i="5"/>
  <c r="N186" i="5" s="1"/>
  <c r="N189" i="5"/>
  <c r="K183" i="5"/>
  <c r="L179" i="5"/>
  <c r="O179" i="5" s="1"/>
  <c r="O181" i="5"/>
  <c r="M62" i="5"/>
  <c r="P64" i="5"/>
  <c r="K781" i="5"/>
  <c r="S714" i="5"/>
  <c r="Q692" i="5"/>
  <c r="T692" i="5" s="1"/>
  <c r="Q644" i="5"/>
  <c r="T644" i="5" s="1"/>
  <c r="R618" i="5"/>
  <c r="U618" i="5" s="1"/>
  <c r="N578" i="5"/>
  <c r="N576" i="5" s="1"/>
  <c r="N579" i="5"/>
  <c r="U577" i="5"/>
  <c r="K575" i="5"/>
  <c r="O542" i="5"/>
  <c r="R534" i="5"/>
  <c r="U534" i="5" s="1"/>
  <c r="Q513" i="5"/>
  <c r="T513" i="5" s="1"/>
  <c r="O501" i="5"/>
  <c r="P498" i="5"/>
  <c r="S495" i="5"/>
  <c r="S493" i="5" s="1"/>
  <c r="I492" i="5"/>
  <c r="K492" i="5" s="1"/>
  <c r="K440" i="5"/>
  <c r="K425" i="5"/>
  <c r="P421" i="5"/>
  <c r="N415" i="5"/>
  <c r="P380" i="5"/>
  <c r="K368" i="5"/>
  <c r="N358" i="5"/>
  <c r="K344" i="5"/>
  <c r="L335" i="5"/>
  <c r="L333" i="5" s="1"/>
  <c r="Q333" i="5"/>
  <c r="T333" i="5" s="1"/>
  <c r="M326" i="5"/>
  <c r="P326" i="5" s="1"/>
  <c r="L309" i="5"/>
  <c r="O309" i="5" s="1"/>
  <c r="P274" i="5"/>
  <c r="Q266" i="5"/>
  <c r="L254" i="5"/>
  <c r="O254" i="5" s="1"/>
  <c r="M188" i="5"/>
  <c r="M186" i="5" s="1"/>
  <c r="T122" i="5"/>
  <c r="Q75" i="5"/>
  <c r="T75" i="5" s="1"/>
  <c r="S44" i="5"/>
  <c r="R44" i="5"/>
  <c r="U44" i="5" s="1"/>
  <c r="M578" i="5"/>
  <c r="M576" i="5" s="1"/>
  <c r="M579" i="5"/>
  <c r="M415" i="5"/>
  <c r="M413" i="5" s="1"/>
  <c r="S416" i="5"/>
  <c r="P359" i="5"/>
  <c r="J343" i="5"/>
  <c r="K314" i="5"/>
  <c r="M305" i="5"/>
  <c r="M303" i="5" s="1"/>
  <c r="P303" i="5" s="1"/>
  <c r="S306" i="5"/>
  <c r="K252" i="5"/>
  <c r="S188" i="5"/>
  <c r="S186" i="5" s="1"/>
  <c r="K152" i="5"/>
  <c r="T618" i="5"/>
  <c r="N601" i="5"/>
  <c r="N599" i="5" s="1"/>
  <c r="M495" i="5"/>
  <c r="P495" i="5" s="1"/>
  <c r="L305" i="5"/>
  <c r="O305" i="5" s="1"/>
  <c r="J231" i="5"/>
  <c r="J185" i="5" s="1"/>
  <c r="U122" i="5"/>
  <c r="L120" i="5"/>
  <c r="O120" i="5" s="1"/>
  <c r="L78" i="5"/>
  <c r="O78" i="5" s="1"/>
  <c r="S760" i="5"/>
  <c r="I701" i="5"/>
  <c r="S601" i="5"/>
  <c r="S599" i="5" s="1"/>
  <c r="M601" i="5"/>
  <c r="M599" i="5" s="1"/>
  <c r="S602" i="5"/>
  <c r="N557" i="5"/>
  <c r="N555" i="5" s="1"/>
  <c r="J458" i="5"/>
  <c r="U418" i="5"/>
  <c r="M284" i="5"/>
  <c r="P284" i="5" s="1"/>
  <c r="S282" i="5"/>
  <c r="L268" i="5"/>
  <c r="L266" i="5" s="1"/>
  <c r="T203" i="5"/>
  <c r="M145" i="5"/>
  <c r="P145" i="5" s="1"/>
  <c r="P144" i="5"/>
  <c r="T120" i="5"/>
  <c r="R119" i="5"/>
  <c r="R117" i="5" s="1"/>
  <c r="L96" i="5"/>
  <c r="O96" i="5" s="1"/>
  <c r="Q616" i="5"/>
  <c r="T617" i="5"/>
  <c r="Q416" i="5"/>
  <c r="T418" i="5"/>
  <c r="K709" i="4"/>
  <c r="K774" i="5"/>
  <c r="I759" i="5"/>
  <c r="K759" i="5" s="1"/>
  <c r="K629" i="5"/>
  <c r="K626" i="5"/>
  <c r="K630" i="5"/>
  <c r="K631" i="5"/>
  <c r="O556" i="5"/>
  <c r="P494" i="5"/>
  <c r="T174" i="5"/>
  <c r="L499" i="1"/>
  <c r="O499" i="1" s="1"/>
  <c r="J351" i="2"/>
  <c r="O518" i="3"/>
  <c r="T397" i="3"/>
  <c r="T731" i="4"/>
  <c r="S730" i="4"/>
  <c r="S728" i="4" s="1"/>
  <c r="J701" i="4"/>
  <c r="S619" i="4"/>
  <c r="T619" i="4" s="1"/>
  <c r="P560" i="4"/>
  <c r="M515" i="4"/>
  <c r="P515" i="4" s="1"/>
  <c r="M381" i="4"/>
  <c r="P381" i="4" s="1"/>
  <c r="O581" i="5"/>
  <c r="L579" i="5"/>
  <c r="N536" i="5"/>
  <c r="N534" i="5" s="1"/>
  <c r="N515" i="5"/>
  <c r="N513" i="5" s="1"/>
  <c r="N516" i="5"/>
  <c r="Q395" i="5"/>
  <c r="T395" i="5" s="1"/>
  <c r="Q394" i="5"/>
  <c r="T397" i="5"/>
  <c r="U393" i="5"/>
  <c r="R392" i="5"/>
  <c r="U392" i="5" s="1"/>
  <c r="R375" i="5"/>
  <c r="U376" i="5"/>
  <c r="O304" i="5"/>
  <c r="N269" i="5"/>
  <c r="P269" i="5" s="1"/>
  <c r="N268" i="5"/>
  <c r="O271" i="5"/>
  <c r="P271" i="5"/>
  <c r="M714" i="5"/>
  <c r="P714" i="5" s="1"/>
  <c r="P715" i="5"/>
  <c r="Q415" i="5"/>
  <c r="I238" i="5"/>
  <c r="K238" i="5" s="1"/>
  <c r="K249" i="5"/>
  <c r="I242" i="5"/>
  <c r="K492" i="1"/>
  <c r="Q618" i="3"/>
  <c r="Q616" i="3" s="1"/>
  <c r="I238" i="3"/>
  <c r="K238" i="3" s="1"/>
  <c r="R192" i="3"/>
  <c r="U192" i="3" s="1"/>
  <c r="K183" i="3"/>
  <c r="N61" i="3"/>
  <c r="N59" i="3" s="1"/>
  <c r="K780" i="4"/>
  <c r="K705" i="4"/>
  <c r="R619" i="4"/>
  <c r="Q605" i="4"/>
  <c r="T605" i="4" s="1"/>
  <c r="P521" i="4"/>
  <c r="L515" i="4"/>
  <c r="O515" i="4" s="1"/>
  <c r="N284" i="4"/>
  <c r="N282" i="4" s="1"/>
  <c r="M269" i="4"/>
  <c r="P269" i="4" s="1"/>
  <c r="P271" i="4"/>
  <c r="L192" i="4"/>
  <c r="O192" i="4" s="1"/>
  <c r="U80" i="4"/>
  <c r="R78" i="4"/>
  <c r="U78" i="4" s="1"/>
  <c r="K784" i="5"/>
  <c r="K778" i="5"/>
  <c r="S731" i="5"/>
  <c r="U731" i="5" s="1"/>
  <c r="T733" i="5"/>
  <c r="S730" i="5"/>
  <c r="I689" i="5"/>
  <c r="K689" i="5" s="1"/>
  <c r="K707" i="5"/>
  <c r="L690" i="5"/>
  <c r="O690" i="5" s="1"/>
  <c r="M616" i="5"/>
  <c r="P616" i="5" s="1"/>
  <c r="I615" i="5"/>
  <c r="K615" i="5" s="1"/>
  <c r="Q576" i="5"/>
  <c r="T576" i="5" s="1"/>
  <c r="R555" i="5"/>
  <c r="U555" i="5" s="1"/>
  <c r="U556" i="5"/>
  <c r="M515" i="5"/>
  <c r="P518" i="5"/>
  <c r="M516" i="5"/>
  <c r="P516" i="5" s="1"/>
  <c r="K504" i="5"/>
  <c r="J503" i="5"/>
  <c r="J492" i="5" s="1"/>
  <c r="L381" i="5"/>
  <c r="O381" i="5" s="1"/>
  <c r="L377" i="5"/>
  <c r="O377" i="5" s="1"/>
  <c r="O383" i="5"/>
  <c r="U304" i="5"/>
  <c r="R303" i="5"/>
  <c r="U303" i="5" s="1"/>
  <c r="P283" i="5"/>
  <c r="O191" i="5"/>
  <c r="L189" i="5"/>
  <c r="L188" i="5"/>
  <c r="S19" i="5"/>
  <c r="P556" i="5"/>
  <c r="O376" i="5"/>
  <c r="P361" i="1"/>
  <c r="T194" i="3"/>
  <c r="O80" i="3"/>
  <c r="U621" i="4"/>
  <c r="O521" i="4"/>
  <c r="P418" i="4"/>
  <c r="O364" i="4"/>
  <c r="L362" i="4"/>
  <c r="O362" i="4" s="1"/>
  <c r="P325" i="4"/>
  <c r="S763" i="5"/>
  <c r="R730" i="5"/>
  <c r="U733" i="5"/>
  <c r="L642" i="5"/>
  <c r="O642" i="5" s="1"/>
  <c r="P600" i="5"/>
  <c r="O539" i="5"/>
  <c r="L537" i="5"/>
  <c r="O537" i="5" s="1"/>
  <c r="L534" i="5"/>
  <c r="O534" i="5" s="1"/>
  <c r="O414" i="5"/>
  <c r="L392" i="5"/>
  <c r="O392" i="5" s="1"/>
  <c r="U191" i="5"/>
  <c r="R189" i="5"/>
  <c r="U189" i="5" s="1"/>
  <c r="R188" i="5"/>
  <c r="N322" i="5"/>
  <c r="N320" i="5" s="1"/>
  <c r="M96" i="3"/>
  <c r="M94" i="3" s="1"/>
  <c r="K784" i="4"/>
  <c r="O178" i="4"/>
  <c r="L175" i="4"/>
  <c r="L173" i="4" s="1"/>
  <c r="M728" i="5"/>
  <c r="P728" i="5" s="1"/>
  <c r="P729" i="5"/>
  <c r="O563" i="5"/>
  <c r="L561" i="5"/>
  <c r="O561" i="5" s="1"/>
  <c r="L557" i="5"/>
  <c r="O557" i="5" s="1"/>
  <c r="K457" i="5"/>
  <c r="I456" i="5"/>
  <c r="K456" i="5" s="1"/>
  <c r="N378" i="5"/>
  <c r="N377" i="5"/>
  <c r="N375" i="5" s="1"/>
  <c r="K114" i="1"/>
  <c r="K365" i="1"/>
  <c r="Q495" i="1"/>
  <c r="U763" i="3"/>
  <c r="K365" i="3"/>
  <c r="O361" i="3"/>
  <c r="K785" i="4"/>
  <c r="S616" i="4"/>
  <c r="P584" i="4"/>
  <c r="M578" i="4"/>
  <c r="P578" i="4" s="1"/>
  <c r="U495" i="4"/>
  <c r="N97" i="4"/>
  <c r="N96" i="4"/>
  <c r="N94" i="4" s="1"/>
  <c r="K780" i="5"/>
  <c r="K709" i="5"/>
  <c r="Q534" i="5"/>
  <c r="T534" i="5" s="1"/>
  <c r="N495" i="5"/>
  <c r="N493" i="5" s="1"/>
  <c r="N496" i="5"/>
  <c r="K424" i="5"/>
  <c r="U414" i="5"/>
  <c r="U358" i="5"/>
  <c r="R356" i="5"/>
  <c r="U356" i="5" s="1"/>
  <c r="O45" i="5"/>
  <c r="T191" i="4"/>
  <c r="T99" i="4"/>
  <c r="R97" i="4"/>
  <c r="U97" i="4" s="1"/>
  <c r="S74" i="4"/>
  <c r="S72" i="4" s="1"/>
  <c r="K703" i="5"/>
  <c r="T691" i="5"/>
  <c r="T643" i="5"/>
  <c r="T621" i="5"/>
  <c r="U617" i="5"/>
  <c r="O617" i="5"/>
  <c r="T604" i="5"/>
  <c r="P581" i="5"/>
  <c r="T577" i="5"/>
  <c r="P539" i="5"/>
  <c r="T535" i="5"/>
  <c r="T514" i="5"/>
  <c r="L419" i="5"/>
  <c r="O419" i="5" s="1"/>
  <c r="J332" i="5"/>
  <c r="K332" i="5" s="1"/>
  <c r="L322" i="5"/>
  <c r="O322" i="5" s="1"/>
  <c r="U305" i="5"/>
  <c r="N305" i="5"/>
  <c r="N303" i="5" s="1"/>
  <c r="L243" i="5"/>
  <c r="L233" i="5"/>
  <c r="U162" i="5"/>
  <c r="R160" i="5"/>
  <c r="U160" i="5" s="1"/>
  <c r="R159" i="5"/>
  <c r="U159" i="5" s="1"/>
  <c r="U22" i="5"/>
  <c r="R19" i="5"/>
  <c r="U269" i="4"/>
  <c r="Q188" i="4"/>
  <c r="Q186" i="4" s="1"/>
  <c r="T189" i="4"/>
  <c r="I116" i="4"/>
  <c r="K116" i="4" s="1"/>
  <c r="Q97" i="4"/>
  <c r="T97" i="4" s="1"/>
  <c r="I412" i="5"/>
  <c r="K412" i="5" s="1"/>
  <c r="K423" i="5"/>
  <c r="L416" i="5"/>
  <c r="O416" i="5" s="1"/>
  <c r="L415" i="5"/>
  <c r="S395" i="5"/>
  <c r="K386" i="5"/>
  <c r="I374" i="5"/>
  <c r="L359" i="5"/>
  <c r="O359" i="5" s="1"/>
  <c r="M358" i="5"/>
  <c r="L339" i="5"/>
  <c r="O339" i="5" s="1"/>
  <c r="M335" i="5"/>
  <c r="M333" i="5" s="1"/>
  <c r="K127" i="5"/>
  <c r="I116" i="5"/>
  <c r="K116" i="5" s="1"/>
  <c r="Q141" i="4"/>
  <c r="Q139" i="4" s="1"/>
  <c r="O321" i="5"/>
  <c r="Q282" i="5"/>
  <c r="T282" i="5" s="1"/>
  <c r="T284" i="5"/>
  <c r="O194" i="5"/>
  <c r="L192" i="5"/>
  <c r="O192" i="5" s="1"/>
  <c r="O140" i="5"/>
  <c r="S97" i="5"/>
  <c r="S23" i="5"/>
  <c r="S96" i="5"/>
  <c r="S94" i="5" s="1"/>
  <c r="N26" i="5"/>
  <c r="N24" i="5" s="1"/>
  <c r="N78" i="5"/>
  <c r="P60" i="5"/>
  <c r="L214" i="4"/>
  <c r="O214" i="4" s="1"/>
  <c r="O64" i="4"/>
  <c r="R416" i="5"/>
  <c r="R415" i="5"/>
  <c r="U415" i="5" s="1"/>
  <c r="N392" i="5"/>
  <c r="P334" i="5"/>
  <c r="R320" i="5"/>
  <c r="U320" i="5" s="1"/>
  <c r="U321" i="5"/>
  <c r="P267" i="5"/>
  <c r="M163" i="5"/>
  <c r="P163" i="5" s="1"/>
  <c r="P165" i="5"/>
  <c r="M26" i="5"/>
  <c r="U99" i="5"/>
  <c r="R96" i="5"/>
  <c r="U96" i="5" s="1"/>
  <c r="R97" i="5"/>
  <c r="U97" i="5" s="1"/>
  <c r="O60" i="5"/>
  <c r="S377" i="5"/>
  <c r="M377" i="5"/>
  <c r="P377" i="5" s="1"/>
  <c r="N335" i="5"/>
  <c r="M322" i="5"/>
  <c r="P322" i="5" s="1"/>
  <c r="I319" i="5"/>
  <c r="K319" i="5" s="1"/>
  <c r="U308" i="5"/>
  <c r="O308" i="5"/>
  <c r="T191" i="5"/>
  <c r="Q189" i="5"/>
  <c r="T189" i="5" s="1"/>
  <c r="P189" i="5"/>
  <c r="M176" i="5"/>
  <c r="P176" i="5" s="1"/>
  <c r="P178" i="5"/>
  <c r="M175" i="5"/>
  <c r="U174" i="5"/>
  <c r="N74" i="5"/>
  <c r="N72" i="5" s="1"/>
  <c r="O25" i="5"/>
  <c r="T22" i="5"/>
  <c r="Q19" i="5"/>
  <c r="L284" i="5"/>
  <c r="N284" i="5"/>
  <c r="N282" i="5" s="1"/>
  <c r="I213" i="5"/>
  <c r="K213" i="5" s="1"/>
  <c r="K220" i="5"/>
  <c r="U194" i="5"/>
  <c r="R192" i="5"/>
  <c r="U192" i="5" s="1"/>
  <c r="Q188" i="5"/>
  <c r="K172" i="5"/>
  <c r="N159" i="5"/>
  <c r="N157" i="5" s="1"/>
  <c r="O158" i="5"/>
  <c r="Q26" i="5"/>
  <c r="T26" i="5" s="1"/>
  <c r="T147" i="5"/>
  <c r="T144" i="5"/>
  <c r="U144" i="5"/>
  <c r="T142" i="5"/>
  <c r="U118" i="5"/>
  <c r="P19" i="5"/>
  <c r="T194" i="5"/>
  <c r="Q192" i="5"/>
  <c r="T192" i="5" s="1"/>
  <c r="U142" i="5"/>
  <c r="O99" i="5"/>
  <c r="L97" i="5"/>
  <c r="O97" i="5" s="1"/>
  <c r="O19" i="5"/>
  <c r="O178" i="5"/>
  <c r="L176" i="5"/>
  <c r="O176" i="5" s="1"/>
  <c r="Q23" i="5"/>
  <c r="Q141" i="5"/>
  <c r="L123" i="5"/>
  <c r="O123" i="5" s="1"/>
  <c r="N120" i="5"/>
  <c r="R26" i="5"/>
  <c r="U26" i="5" s="1"/>
  <c r="R78" i="5"/>
  <c r="U78" i="5" s="1"/>
  <c r="R59" i="5"/>
  <c r="U59" i="5" s="1"/>
  <c r="O49" i="5"/>
  <c r="U25" i="5"/>
  <c r="S268" i="5"/>
  <c r="T268" i="5" s="1"/>
  <c r="M268" i="5"/>
  <c r="M266" i="5" s="1"/>
  <c r="I202" i="5"/>
  <c r="K202" i="5" s="1"/>
  <c r="S176" i="5"/>
  <c r="L175" i="5"/>
  <c r="N160" i="5"/>
  <c r="M119" i="5"/>
  <c r="P119" i="5" s="1"/>
  <c r="P99" i="5"/>
  <c r="L74" i="5"/>
  <c r="O74" i="5" s="1"/>
  <c r="M61" i="5"/>
  <c r="O47" i="5"/>
  <c r="S26" i="5"/>
  <c r="S24" i="5" s="1"/>
  <c r="N23" i="5"/>
  <c r="P22" i="5"/>
  <c r="M179" i="5"/>
  <c r="P179" i="5" s="1"/>
  <c r="Q176" i="5"/>
  <c r="T176" i="5" s="1"/>
  <c r="Q175" i="5"/>
  <c r="T175" i="5" s="1"/>
  <c r="R176" i="5"/>
  <c r="U176" i="5" s="1"/>
  <c r="L160" i="5"/>
  <c r="O160" i="5" s="1"/>
  <c r="M159" i="5"/>
  <c r="K137" i="5"/>
  <c r="M142" i="5"/>
  <c r="P142" i="5" s="1"/>
  <c r="N141" i="5"/>
  <c r="N139" i="5" s="1"/>
  <c r="R123" i="5"/>
  <c r="U123" i="5" s="1"/>
  <c r="L119" i="5"/>
  <c r="L100" i="5"/>
  <c r="O100" i="5" s="1"/>
  <c r="N97" i="5"/>
  <c r="I83" i="5"/>
  <c r="K85" i="5"/>
  <c r="I82" i="5"/>
  <c r="R23" i="5"/>
  <c r="R21" i="5" s="1"/>
  <c r="R75" i="5"/>
  <c r="U75" i="5" s="1"/>
  <c r="L61" i="5"/>
  <c r="L62" i="5"/>
  <c r="O52" i="5"/>
  <c r="L26" i="5"/>
  <c r="L50" i="5"/>
  <c r="O50" i="5" s="1"/>
  <c r="M50" i="5"/>
  <c r="P50" i="5" s="1"/>
  <c r="M46" i="5"/>
  <c r="M44" i="5" s="1"/>
  <c r="M23" i="5"/>
  <c r="M21" i="5" s="1"/>
  <c r="O22" i="5"/>
  <c r="S173" i="5"/>
  <c r="L159" i="5"/>
  <c r="O159" i="5" s="1"/>
  <c r="M141" i="5"/>
  <c r="R120" i="5"/>
  <c r="U120" i="5" s="1"/>
  <c r="S119" i="5"/>
  <c r="S117" i="5" s="1"/>
  <c r="T118" i="5"/>
  <c r="M96" i="5"/>
  <c r="P96" i="5" s="1"/>
  <c r="U80" i="5"/>
  <c r="R74" i="5"/>
  <c r="U74" i="5" s="1"/>
  <c r="N46" i="5"/>
  <c r="P45" i="5"/>
  <c r="P25" i="5"/>
  <c r="Q159" i="5"/>
  <c r="T159" i="5" s="1"/>
  <c r="R141" i="5"/>
  <c r="L141" i="5"/>
  <c r="Q119" i="5"/>
  <c r="Q96" i="5"/>
  <c r="T96" i="5" s="1"/>
  <c r="S74" i="5"/>
  <c r="S72" i="5" s="1"/>
  <c r="M74" i="5"/>
  <c r="P74" i="5" s="1"/>
  <c r="L23" i="5"/>
  <c r="L381" i="4"/>
  <c r="O381" i="4" s="1"/>
  <c r="O383" i="4"/>
  <c r="K784" i="3"/>
  <c r="J351" i="3"/>
  <c r="K346" i="3"/>
  <c r="K726" i="4"/>
  <c r="R601" i="4"/>
  <c r="U601" i="4" s="1"/>
  <c r="U604" i="4"/>
  <c r="L499" i="4"/>
  <c r="O499" i="4" s="1"/>
  <c r="O501" i="4"/>
  <c r="L234" i="4"/>
  <c r="M145" i="4"/>
  <c r="P145" i="4" s="1"/>
  <c r="P147" i="4"/>
  <c r="M142" i="4"/>
  <c r="P142" i="4" s="1"/>
  <c r="P144" i="4"/>
  <c r="L100" i="4"/>
  <c r="O100" i="4" s="1"/>
  <c r="O102" i="4"/>
  <c r="L78" i="4"/>
  <c r="O78" i="4" s="1"/>
  <c r="O80" i="4"/>
  <c r="N74" i="4"/>
  <c r="N72" i="4" s="1"/>
  <c r="N75" i="4"/>
  <c r="L222" i="1"/>
  <c r="O222" i="1" s="1"/>
  <c r="M160" i="1"/>
  <c r="N377" i="2"/>
  <c r="N375" i="2" s="1"/>
  <c r="L536" i="3"/>
  <c r="O536" i="3" s="1"/>
  <c r="P287" i="3"/>
  <c r="N141" i="3"/>
  <c r="N139" i="3" s="1"/>
  <c r="U80" i="3"/>
  <c r="O49" i="3"/>
  <c r="M728" i="4"/>
  <c r="P728" i="4" s="1"/>
  <c r="S714" i="4"/>
  <c r="L714" i="4"/>
  <c r="O714" i="4" s="1"/>
  <c r="I615" i="4"/>
  <c r="K615" i="4" s="1"/>
  <c r="K629" i="4"/>
  <c r="K631" i="4"/>
  <c r="T578" i="4"/>
  <c r="Q576" i="4"/>
  <c r="T576" i="4" s="1"/>
  <c r="T535" i="4"/>
  <c r="Q534" i="4"/>
  <c r="T534" i="4" s="1"/>
  <c r="M495" i="4"/>
  <c r="P495" i="4" s="1"/>
  <c r="M496" i="4"/>
  <c r="P496" i="4" s="1"/>
  <c r="P498" i="4"/>
  <c r="S496" i="4"/>
  <c r="K371" i="4"/>
  <c r="Q320" i="4"/>
  <c r="T320" i="4" s="1"/>
  <c r="T322" i="4"/>
  <c r="L141" i="4"/>
  <c r="L139" i="4" s="1"/>
  <c r="O144" i="4"/>
  <c r="L142" i="4"/>
  <c r="O142" i="4" s="1"/>
  <c r="M74" i="4"/>
  <c r="P74" i="4" s="1"/>
  <c r="M75" i="4"/>
  <c r="P75" i="4" s="1"/>
  <c r="P77" i="4"/>
  <c r="S75" i="4"/>
  <c r="T73" i="4"/>
  <c r="N46" i="4"/>
  <c r="N47" i="4"/>
  <c r="U125" i="1"/>
  <c r="K129" i="1"/>
  <c r="K631" i="3"/>
  <c r="L415" i="3"/>
  <c r="L413" i="3" s="1"/>
  <c r="K774" i="4"/>
  <c r="I701" i="4"/>
  <c r="L377" i="4"/>
  <c r="O377" i="4" s="1"/>
  <c r="O380" i="4"/>
  <c r="L378" i="4"/>
  <c r="O378" i="4" s="1"/>
  <c r="O308" i="4"/>
  <c r="L305" i="4"/>
  <c r="O305" i="4" s="1"/>
  <c r="O271" i="4"/>
  <c r="L269" i="4"/>
  <c r="O269" i="4" s="1"/>
  <c r="M176" i="4"/>
  <c r="P176" i="4" s="1"/>
  <c r="P178" i="4"/>
  <c r="Q159" i="4"/>
  <c r="T159" i="4" s="1"/>
  <c r="Q160" i="4"/>
  <c r="T160" i="4" s="1"/>
  <c r="T162" i="4"/>
  <c r="K152" i="4"/>
  <c r="L96" i="4"/>
  <c r="O96" i="4" s="1"/>
  <c r="L97" i="4"/>
  <c r="O97" i="4" s="1"/>
  <c r="O99" i="4"/>
  <c r="M47" i="4"/>
  <c r="P49" i="4"/>
  <c r="S232" i="1"/>
  <c r="K84" i="1"/>
  <c r="K87" i="1"/>
  <c r="K90" i="1"/>
  <c r="K220" i="1"/>
  <c r="P380" i="3"/>
  <c r="M268" i="3"/>
  <c r="M266" i="3" s="1"/>
  <c r="U178" i="3"/>
  <c r="L175" i="3"/>
  <c r="O175" i="3" s="1"/>
  <c r="R74" i="3"/>
  <c r="R72" i="3" s="1"/>
  <c r="N62" i="3"/>
  <c r="P62" i="3" s="1"/>
  <c r="K759" i="4"/>
  <c r="U731" i="4"/>
  <c r="O729" i="4"/>
  <c r="M714" i="4"/>
  <c r="P714" i="4" s="1"/>
  <c r="T647" i="4"/>
  <c r="Q644" i="4"/>
  <c r="T644" i="4" s="1"/>
  <c r="Q645" i="4"/>
  <c r="T645" i="4" s="1"/>
  <c r="O644" i="4"/>
  <c r="L642" i="4"/>
  <c r="O642" i="4" s="1"/>
  <c r="M616" i="4"/>
  <c r="P616" i="4" s="1"/>
  <c r="P617" i="4"/>
  <c r="R605" i="4"/>
  <c r="U605" i="4" s="1"/>
  <c r="R602" i="4"/>
  <c r="U602" i="4" s="1"/>
  <c r="R377" i="4"/>
  <c r="U380" i="4"/>
  <c r="O376" i="4"/>
  <c r="M336" i="4"/>
  <c r="P338" i="4"/>
  <c r="M335" i="4"/>
  <c r="L323" i="4"/>
  <c r="O323" i="4" s="1"/>
  <c r="O325" i="4"/>
  <c r="L322" i="4"/>
  <c r="O322" i="4" s="1"/>
  <c r="R320" i="4"/>
  <c r="U320" i="4" s="1"/>
  <c r="U321" i="4"/>
  <c r="S306" i="4"/>
  <c r="S305" i="4"/>
  <c r="S303" i="4" s="1"/>
  <c r="R268" i="4"/>
  <c r="U271" i="4"/>
  <c r="R141" i="4"/>
  <c r="R139" i="4" s="1"/>
  <c r="U144" i="4"/>
  <c r="N61" i="4"/>
  <c r="N59" i="4" s="1"/>
  <c r="N62" i="4"/>
  <c r="P62" i="4" s="1"/>
  <c r="O542" i="4"/>
  <c r="L540" i="4"/>
  <c r="O540" i="4" s="1"/>
  <c r="O311" i="4"/>
  <c r="L309" i="4"/>
  <c r="O309" i="4" s="1"/>
  <c r="L123" i="4"/>
  <c r="O123" i="4" s="1"/>
  <c r="O125" i="4"/>
  <c r="M78" i="4"/>
  <c r="P78" i="4" s="1"/>
  <c r="P80" i="4"/>
  <c r="N179" i="1"/>
  <c r="K726" i="2"/>
  <c r="S188" i="2"/>
  <c r="S186" i="2" s="1"/>
  <c r="K440" i="3"/>
  <c r="Q395" i="3"/>
  <c r="T395" i="3" s="1"/>
  <c r="N377" i="3"/>
  <c r="N375" i="3" s="1"/>
  <c r="O328" i="3"/>
  <c r="O191" i="3"/>
  <c r="Q119" i="3"/>
  <c r="Q117" i="3" s="1"/>
  <c r="K758" i="4"/>
  <c r="N728" i="4"/>
  <c r="O715" i="4"/>
  <c r="L605" i="4"/>
  <c r="O605" i="4" s="1"/>
  <c r="O607" i="4"/>
  <c r="L601" i="4"/>
  <c r="O601" i="4" s="1"/>
  <c r="L602" i="4"/>
  <c r="O602" i="4" s="1"/>
  <c r="O604" i="4"/>
  <c r="N415" i="4"/>
  <c r="N416" i="4"/>
  <c r="M309" i="4"/>
  <c r="P309" i="4" s="1"/>
  <c r="P311" i="4"/>
  <c r="N285" i="4"/>
  <c r="U194" i="4"/>
  <c r="R192" i="4"/>
  <c r="U192" i="4" s="1"/>
  <c r="S176" i="4"/>
  <c r="S175" i="4"/>
  <c r="S173" i="4" s="1"/>
  <c r="T158" i="4"/>
  <c r="T140" i="4"/>
  <c r="S96" i="4"/>
  <c r="S94" i="4" s="1"/>
  <c r="K84" i="4"/>
  <c r="I82" i="4"/>
  <c r="K82" i="4" s="1"/>
  <c r="P64" i="4"/>
  <c r="S645" i="4"/>
  <c r="M642" i="4"/>
  <c r="P642" i="4" s="1"/>
  <c r="T621" i="4"/>
  <c r="Q601" i="4"/>
  <c r="T601" i="4" s="1"/>
  <c r="L495" i="4"/>
  <c r="O495" i="4" s="1"/>
  <c r="R496" i="4"/>
  <c r="U496" i="4" s="1"/>
  <c r="K433" i="4"/>
  <c r="K368" i="4"/>
  <c r="R333" i="4"/>
  <c r="U333" i="4" s="1"/>
  <c r="K293" i="4"/>
  <c r="M288" i="4"/>
  <c r="P288" i="4" s="1"/>
  <c r="I156" i="4"/>
  <c r="K156" i="4" s="1"/>
  <c r="Q26" i="4"/>
  <c r="T26" i="4" s="1"/>
  <c r="Q78" i="4"/>
  <c r="T78" i="4" s="1"/>
  <c r="R74" i="4"/>
  <c r="U74" i="4" s="1"/>
  <c r="L74" i="4"/>
  <c r="L72" i="4" s="1"/>
  <c r="O72" i="4" s="1"/>
  <c r="R75" i="4"/>
  <c r="U75" i="4" s="1"/>
  <c r="R44" i="4"/>
  <c r="U44" i="4" s="1"/>
  <c r="Q19" i="4"/>
  <c r="T19" i="4" s="1"/>
  <c r="M690" i="4"/>
  <c r="P690" i="4" s="1"/>
  <c r="J674" i="4"/>
  <c r="P542" i="4"/>
  <c r="Q496" i="4"/>
  <c r="T496" i="4" s="1"/>
  <c r="Q493" i="4"/>
  <c r="T493" i="4" s="1"/>
  <c r="N159" i="4"/>
  <c r="N157" i="4" s="1"/>
  <c r="L145" i="4"/>
  <c r="O145" i="4" s="1"/>
  <c r="L119" i="4"/>
  <c r="O119" i="4" s="1"/>
  <c r="I93" i="4"/>
  <c r="K93" i="4" s="1"/>
  <c r="Q74" i="4"/>
  <c r="T74" i="4" s="1"/>
  <c r="Q75" i="4"/>
  <c r="T75" i="4" s="1"/>
  <c r="N19" i="4"/>
  <c r="U693" i="4"/>
  <c r="R555" i="4"/>
  <c r="U555" i="4" s="1"/>
  <c r="N536" i="4"/>
  <c r="N534" i="4" s="1"/>
  <c r="K441" i="4"/>
  <c r="M416" i="4"/>
  <c r="Q394" i="4"/>
  <c r="T394" i="4" s="1"/>
  <c r="N322" i="4"/>
  <c r="N320" i="4" s="1"/>
  <c r="N268" i="4"/>
  <c r="N266" i="4" s="1"/>
  <c r="S268" i="4"/>
  <c r="S266" i="4" s="1"/>
  <c r="N232" i="4"/>
  <c r="K209" i="4"/>
  <c r="L176" i="4"/>
  <c r="O176" i="4" s="1"/>
  <c r="R119" i="4"/>
  <c r="R117" i="4" s="1"/>
  <c r="M19" i="4"/>
  <c r="N616" i="4"/>
  <c r="T604" i="4"/>
  <c r="L536" i="4"/>
  <c r="O536" i="4" s="1"/>
  <c r="U498" i="4"/>
  <c r="O498" i="4"/>
  <c r="M377" i="4"/>
  <c r="P377" i="4" s="1"/>
  <c r="S378" i="4"/>
  <c r="U378" i="4" s="1"/>
  <c r="K369" i="4"/>
  <c r="L236" i="4"/>
  <c r="S188" i="4"/>
  <c r="S186" i="4" s="1"/>
  <c r="N160" i="4"/>
  <c r="T144" i="4"/>
  <c r="U125" i="4"/>
  <c r="Q119" i="4"/>
  <c r="Q117" i="4" s="1"/>
  <c r="L120" i="4"/>
  <c r="O120" i="4" s="1"/>
  <c r="U99" i="4"/>
  <c r="O77" i="4"/>
  <c r="O49" i="4"/>
  <c r="T22" i="4"/>
  <c r="Q760" i="4"/>
  <c r="R760" i="4"/>
  <c r="P607" i="4"/>
  <c r="M605" i="4"/>
  <c r="P605" i="4" s="1"/>
  <c r="O600" i="4"/>
  <c r="R576" i="4"/>
  <c r="U576" i="4" s="1"/>
  <c r="U577" i="4"/>
  <c r="P539" i="4"/>
  <c r="M537" i="4"/>
  <c r="P537" i="4" s="1"/>
  <c r="S536" i="1"/>
  <c r="L335" i="3"/>
  <c r="L333" i="3" s="1"/>
  <c r="S157" i="3"/>
  <c r="Q714" i="4"/>
  <c r="T714" i="4" s="1"/>
  <c r="P604" i="4"/>
  <c r="M602" i="4"/>
  <c r="P602" i="4" s="1"/>
  <c r="L335" i="4"/>
  <c r="O338" i="4"/>
  <c r="L336" i="4"/>
  <c r="P328" i="4"/>
  <c r="M326" i="4"/>
  <c r="P326" i="4" s="1"/>
  <c r="L339" i="2"/>
  <c r="O339" i="2" s="1"/>
  <c r="K785" i="3"/>
  <c r="T731" i="3"/>
  <c r="K707" i="3"/>
  <c r="Q602" i="3"/>
  <c r="T602" i="3" s="1"/>
  <c r="L557" i="3"/>
  <c r="O557" i="3" s="1"/>
  <c r="O539" i="3"/>
  <c r="M519" i="3"/>
  <c r="P519" i="3" s="1"/>
  <c r="O383" i="3"/>
  <c r="K314" i="3"/>
  <c r="U191" i="3"/>
  <c r="O181" i="3"/>
  <c r="S176" i="3"/>
  <c r="Q145" i="3"/>
  <c r="T145" i="3" s="1"/>
  <c r="Q74" i="3"/>
  <c r="Q72" i="3" s="1"/>
  <c r="K772" i="4"/>
  <c r="Q763" i="4"/>
  <c r="M760" i="4"/>
  <c r="P760" i="4" s="1"/>
  <c r="L690" i="4"/>
  <c r="O690" i="4" s="1"/>
  <c r="Q618" i="4"/>
  <c r="T618" i="4" s="1"/>
  <c r="U600" i="4"/>
  <c r="P581" i="4"/>
  <c r="M579" i="4"/>
  <c r="P579" i="4" s="1"/>
  <c r="N557" i="4"/>
  <c r="N555" i="4" s="1"/>
  <c r="L557" i="4"/>
  <c r="M536" i="4"/>
  <c r="P536" i="4" s="1"/>
  <c r="O535" i="4"/>
  <c r="P518" i="4"/>
  <c r="M516" i="4"/>
  <c r="P516" i="4" s="1"/>
  <c r="N515" i="4"/>
  <c r="N513" i="4" s="1"/>
  <c r="K504" i="4"/>
  <c r="J503" i="4"/>
  <c r="J492" i="4" s="1"/>
  <c r="P494" i="4"/>
  <c r="K457" i="4"/>
  <c r="K440" i="4"/>
  <c r="O421" i="4"/>
  <c r="L419" i="4"/>
  <c r="O419" i="4" s="1"/>
  <c r="U418" i="4"/>
  <c r="R416" i="4"/>
  <c r="S394" i="4"/>
  <c r="S392" i="4" s="1"/>
  <c r="J374" i="4"/>
  <c r="Q356" i="4"/>
  <c r="T356" i="4" s="1"/>
  <c r="J332" i="4"/>
  <c r="K332" i="4" s="1"/>
  <c r="J343" i="4"/>
  <c r="N305" i="4"/>
  <c r="N303" i="4" s="1"/>
  <c r="N306" i="4"/>
  <c r="O287" i="4"/>
  <c r="L284" i="4"/>
  <c r="L285" i="4"/>
  <c r="O285" i="4" s="1"/>
  <c r="M601" i="4"/>
  <c r="P601" i="4" s="1"/>
  <c r="R513" i="4"/>
  <c r="U513" i="4" s="1"/>
  <c r="U514" i="4"/>
  <c r="Q513" i="4"/>
  <c r="T513" i="4" s="1"/>
  <c r="T514" i="4"/>
  <c r="R616" i="2"/>
  <c r="O418" i="2"/>
  <c r="K293" i="2"/>
  <c r="M561" i="3"/>
  <c r="P561" i="3" s="1"/>
  <c r="O380" i="3"/>
  <c r="O341" i="3"/>
  <c r="I242" i="3"/>
  <c r="I231" i="3" s="1"/>
  <c r="K231" i="3" s="1"/>
  <c r="L214" i="3"/>
  <c r="O214" i="3" s="1"/>
  <c r="P194" i="3"/>
  <c r="T191" i="3"/>
  <c r="L188" i="3"/>
  <c r="L186" i="3" s="1"/>
  <c r="P64" i="3"/>
  <c r="L760" i="4"/>
  <c r="O760" i="4" s="1"/>
  <c r="T733" i="4"/>
  <c r="U695" i="4"/>
  <c r="P692" i="4"/>
  <c r="T691" i="4"/>
  <c r="U647" i="4"/>
  <c r="T643" i="4"/>
  <c r="S601" i="4"/>
  <c r="S599" i="4" s="1"/>
  <c r="L582" i="4"/>
  <c r="O582" i="4" s="1"/>
  <c r="L578" i="4"/>
  <c r="O578" i="4" s="1"/>
  <c r="N578" i="4"/>
  <c r="N576" i="4" s="1"/>
  <c r="P577" i="4"/>
  <c r="M557" i="4"/>
  <c r="L558" i="4"/>
  <c r="O558" i="4" s="1"/>
  <c r="S534" i="4"/>
  <c r="O518" i="4"/>
  <c r="L516" i="4"/>
  <c r="O516" i="4" s="1"/>
  <c r="T418" i="4"/>
  <c r="Q416" i="4"/>
  <c r="I374" i="4"/>
  <c r="K386" i="4"/>
  <c r="R356" i="4"/>
  <c r="U356" i="4" s="1"/>
  <c r="U357" i="4"/>
  <c r="M305" i="4"/>
  <c r="M306" i="4"/>
  <c r="P306" i="4" s="1"/>
  <c r="P308" i="4"/>
  <c r="T271" i="4"/>
  <c r="Q268" i="4"/>
  <c r="Q269" i="4"/>
  <c r="T269" i="4" s="1"/>
  <c r="L254" i="4"/>
  <c r="O254" i="4" s="1"/>
  <c r="S120" i="4"/>
  <c r="U120" i="4" s="1"/>
  <c r="U122" i="4"/>
  <c r="T122" i="4"/>
  <c r="S119" i="4"/>
  <c r="Q62" i="1"/>
  <c r="T62" i="1" s="1"/>
  <c r="L395" i="1"/>
  <c r="O395" i="1" s="1"/>
  <c r="Q730" i="4"/>
  <c r="P535" i="4"/>
  <c r="O418" i="4"/>
  <c r="L416" i="4"/>
  <c r="T267" i="4"/>
  <c r="L46" i="1"/>
  <c r="L44" i="1" s="1"/>
  <c r="K150" i="1"/>
  <c r="K153" i="1"/>
  <c r="M163" i="1"/>
  <c r="P163" i="1" s="1"/>
  <c r="U271" i="1"/>
  <c r="K628" i="1"/>
  <c r="T733" i="1"/>
  <c r="T647" i="2"/>
  <c r="P542" i="2"/>
  <c r="P191" i="2"/>
  <c r="J702" i="3"/>
  <c r="T607" i="3"/>
  <c r="O563" i="3"/>
  <c r="P501" i="3"/>
  <c r="L234" i="3"/>
  <c r="O194" i="3"/>
  <c r="N159" i="3"/>
  <c r="N157" i="3" s="1"/>
  <c r="S141" i="3"/>
  <c r="S139" i="3" s="1"/>
  <c r="O64" i="3"/>
  <c r="U761" i="4"/>
  <c r="I689" i="4"/>
  <c r="K689" i="4" s="1"/>
  <c r="L616" i="4"/>
  <c r="O616" i="4" s="1"/>
  <c r="O577" i="4"/>
  <c r="P563" i="4"/>
  <c r="M561" i="4"/>
  <c r="P561" i="4" s="1"/>
  <c r="R534" i="4"/>
  <c r="U534" i="4" s="1"/>
  <c r="U535" i="4"/>
  <c r="S493" i="4"/>
  <c r="K456" i="4"/>
  <c r="I412" i="4"/>
  <c r="K412" i="4" s="1"/>
  <c r="K423" i="4"/>
  <c r="R413" i="4"/>
  <c r="T393" i="4"/>
  <c r="P334" i="4"/>
  <c r="I238" i="4"/>
  <c r="K238" i="4" s="1"/>
  <c r="I242" i="4"/>
  <c r="R692" i="4"/>
  <c r="R644" i="4"/>
  <c r="R616" i="4"/>
  <c r="Q555" i="4"/>
  <c r="T555" i="4" s="1"/>
  <c r="M46" i="1"/>
  <c r="M44" i="1" s="1"/>
  <c r="O52" i="1"/>
  <c r="P77" i="1"/>
  <c r="K113" i="1"/>
  <c r="M159" i="1"/>
  <c r="K344" i="1"/>
  <c r="S556" i="1"/>
  <c r="R577" i="1"/>
  <c r="U577" i="1" s="1"/>
  <c r="K709" i="1"/>
  <c r="K707" i="2"/>
  <c r="P581" i="2"/>
  <c r="L419" i="2"/>
  <c r="O419" i="2" s="1"/>
  <c r="L96" i="2"/>
  <c r="O96" i="2" s="1"/>
  <c r="K709" i="3"/>
  <c r="K632" i="3"/>
  <c r="Q269" i="3"/>
  <c r="L254" i="3"/>
  <c r="O254" i="3" s="1"/>
  <c r="K152" i="3"/>
  <c r="K127" i="3"/>
  <c r="N96" i="3"/>
  <c r="U77" i="3"/>
  <c r="L74" i="3"/>
  <c r="L72" i="3" s="1"/>
  <c r="L46" i="3"/>
  <c r="L44" i="3" s="1"/>
  <c r="R730" i="4"/>
  <c r="U733" i="4"/>
  <c r="N601" i="4"/>
  <c r="N599" i="4" s="1"/>
  <c r="P600" i="4"/>
  <c r="S576" i="4"/>
  <c r="S513" i="4"/>
  <c r="O514" i="4"/>
  <c r="J458" i="4"/>
  <c r="Q415" i="4"/>
  <c r="U397" i="4"/>
  <c r="R394" i="4"/>
  <c r="P394" i="4"/>
  <c r="M392" i="4"/>
  <c r="P392" i="4" s="1"/>
  <c r="N323" i="4"/>
  <c r="R303" i="4"/>
  <c r="I138" i="4"/>
  <c r="K138" i="4" s="1"/>
  <c r="K153" i="4"/>
  <c r="N495" i="4"/>
  <c r="N493" i="4" s="1"/>
  <c r="K365" i="4"/>
  <c r="K344" i="4"/>
  <c r="P341" i="4"/>
  <c r="M339" i="4"/>
  <c r="P339" i="4" s="1"/>
  <c r="L326" i="4"/>
  <c r="O326" i="4" s="1"/>
  <c r="O328" i="4"/>
  <c r="M272" i="4"/>
  <c r="P272" i="4" s="1"/>
  <c r="M268" i="4"/>
  <c r="M160" i="4"/>
  <c r="P160" i="4" s="1"/>
  <c r="M159" i="4"/>
  <c r="P159" i="4" s="1"/>
  <c r="P162" i="4"/>
  <c r="N123" i="4"/>
  <c r="N119" i="4"/>
  <c r="N117" i="4" s="1"/>
  <c r="O52" i="4"/>
  <c r="L26" i="4"/>
  <c r="O26" i="4" s="1"/>
  <c r="L50" i="4"/>
  <c r="O50" i="4" s="1"/>
  <c r="K630" i="4"/>
  <c r="K626" i="4"/>
  <c r="Q377" i="4"/>
  <c r="P361" i="4"/>
  <c r="M359" i="4"/>
  <c r="P359" i="4" s="1"/>
  <c r="N358" i="4"/>
  <c r="N356" i="4" s="1"/>
  <c r="P357" i="4"/>
  <c r="I281" i="4"/>
  <c r="K281" i="4" s="1"/>
  <c r="L272" i="4"/>
  <c r="O272" i="4" s="1"/>
  <c r="L268" i="4"/>
  <c r="L243" i="4"/>
  <c r="Q192" i="4"/>
  <c r="T192" i="4" s="1"/>
  <c r="T194" i="4"/>
  <c r="P191" i="4"/>
  <c r="M188" i="4"/>
  <c r="M189" i="4"/>
  <c r="P174" i="4"/>
  <c r="S160" i="4"/>
  <c r="S159" i="4"/>
  <c r="S157" i="4" s="1"/>
  <c r="P125" i="4"/>
  <c r="M123" i="4"/>
  <c r="P123" i="4" s="1"/>
  <c r="O357" i="4"/>
  <c r="Q333" i="4"/>
  <c r="T333" i="4" s="1"/>
  <c r="O118" i="4"/>
  <c r="P19" i="4"/>
  <c r="O394" i="4"/>
  <c r="Q378" i="4"/>
  <c r="S356" i="4"/>
  <c r="J351" i="4"/>
  <c r="M284" i="4"/>
  <c r="P287" i="4"/>
  <c r="R282" i="4"/>
  <c r="U282" i="4" s="1"/>
  <c r="K220" i="4"/>
  <c r="I213" i="4"/>
  <c r="K213" i="4" s="1"/>
  <c r="L203" i="4"/>
  <c r="O203" i="4" s="1"/>
  <c r="N189" i="4"/>
  <c r="U25" i="4"/>
  <c r="R19" i="4"/>
  <c r="N377" i="4"/>
  <c r="N375" i="4" s="1"/>
  <c r="L358" i="4"/>
  <c r="M322" i="4"/>
  <c r="K302" i="4"/>
  <c r="K198" i="4"/>
  <c r="O191" i="4"/>
  <c r="P181" i="4"/>
  <c r="T178" i="4"/>
  <c r="R159" i="4"/>
  <c r="U159" i="4" s="1"/>
  <c r="R160" i="4"/>
  <c r="U160" i="4" s="1"/>
  <c r="O158" i="4"/>
  <c r="U142" i="4"/>
  <c r="I92" i="4"/>
  <c r="K92" i="4" s="1"/>
  <c r="K108" i="4"/>
  <c r="N335" i="4"/>
  <c r="N333" i="4" s="1"/>
  <c r="U308" i="4"/>
  <c r="L306" i="4"/>
  <c r="O306" i="4" s="1"/>
  <c r="Q282" i="4"/>
  <c r="T282" i="4" s="1"/>
  <c r="L222" i="4"/>
  <c r="O222" i="4" s="1"/>
  <c r="U191" i="4"/>
  <c r="L189" i="4"/>
  <c r="N175" i="4"/>
  <c r="N173" i="4" s="1"/>
  <c r="T142" i="4"/>
  <c r="U22" i="4"/>
  <c r="N336" i="4"/>
  <c r="R306" i="4"/>
  <c r="L233" i="4"/>
  <c r="R189" i="4"/>
  <c r="U189" i="4" s="1"/>
  <c r="K183" i="4"/>
  <c r="M175" i="4"/>
  <c r="T118" i="4"/>
  <c r="P45" i="4"/>
  <c r="O19" i="4"/>
  <c r="S19" i="4"/>
  <c r="L188" i="4"/>
  <c r="T175" i="4"/>
  <c r="P122" i="4"/>
  <c r="M120" i="4"/>
  <c r="P120" i="4" s="1"/>
  <c r="R26" i="4"/>
  <c r="U26" i="4" s="1"/>
  <c r="N141" i="4"/>
  <c r="P140" i="4"/>
  <c r="U118" i="4"/>
  <c r="O95" i="4"/>
  <c r="P67" i="4"/>
  <c r="M65" i="4"/>
  <c r="P65" i="4" s="1"/>
  <c r="M61" i="4"/>
  <c r="P102" i="4"/>
  <c r="M100" i="4"/>
  <c r="P100" i="4" s="1"/>
  <c r="O67" i="4"/>
  <c r="L65" i="4"/>
  <c r="O65" i="4" s="1"/>
  <c r="L61" i="4"/>
  <c r="P60" i="4"/>
  <c r="N26" i="4"/>
  <c r="N24" i="4" s="1"/>
  <c r="P25" i="4"/>
  <c r="R94" i="4"/>
  <c r="U94" i="4" s="1"/>
  <c r="U95" i="4"/>
  <c r="I83" i="4"/>
  <c r="P73" i="4"/>
  <c r="O25" i="4"/>
  <c r="N23" i="4"/>
  <c r="N21" i="4" s="1"/>
  <c r="P22" i="4"/>
  <c r="P99" i="4"/>
  <c r="M97" i="4"/>
  <c r="P97" i="4" s="1"/>
  <c r="Q94" i="4"/>
  <c r="T94" i="4" s="1"/>
  <c r="T95" i="4"/>
  <c r="S26" i="4"/>
  <c r="S24" i="4" s="1"/>
  <c r="P52" i="4"/>
  <c r="M26" i="4"/>
  <c r="P26" i="4" s="1"/>
  <c r="M50" i="4"/>
  <c r="P50" i="4" s="1"/>
  <c r="M46" i="4"/>
  <c r="O22" i="4"/>
  <c r="S141" i="4"/>
  <c r="S139" i="4" s="1"/>
  <c r="M141" i="4"/>
  <c r="M139" i="4" s="1"/>
  <c r="P118" i="4"/>
  <c r="P95" i="4"/>
  <c r="T80" i="4"/>
  <c r="T77" i="4"/>
  <c r="S23" i="4"/>
  <c r="S21" i="4" s="1"/>
  <c r="M23" i="4"/>
  <c r="M21" i="4" s="1"/>
  <c r="K85" i="4"/>
  <c r="R23" i="4"/>
  <c r="L23" i="4"/>
  <c r="Q23" i="4"/>
  <c r="N214" i="1"/>
  <c r="Q537" i="1"/>
  <c r="T537" i="1" s="1"/>
  <c r="R731" i="3"/>
  <c r="U731" i="3" s="1"/>
  <c r="U733" i="3"/>
  <c r="R730" i="3"/>
  <c r="R728" i="3" s="1"/>
  <c r="I156" i="3"/>
  <c r="K156" i="3" s="1"/>
  <c r="K167" i="3"/>
  <c r="I168" i="3"/>
  <c r="K168" i="3" s="1"/>
  <c r="I169" i="3"/>
  <c r="K169" i="3" s="1"/>
  <c r="L95" i="1"/>
  <c r="O95" i="1" s="1"/>
  <c r="S376" i="1"/>
  <c r="R579" i="1"/>
  <c r="U579" i="1" s="1"/>
  <c r="Q601" i="1"/>
  <c r="T601" i="1" s="1"/>
  <c r="O617" i="3"/>
  <c r="L616" i="3"/>
  <c r="O616" i="3" s="1"/>
  <c r="L100" i="3"/>
  <c r="O100" i="3" s="1"/>
  <c r="O102" i="3"/>
  <c r="N74" i="3"/>
  <c r="N72" i="3" s="1"/>
  <c r="N75" i="3"/>
  <c r="P75" i="3" s="1"/>
  <c r="K276" i="3"/>
  <c r="I265" i="3"/>
  <c r="K265" i="3" s="1"/>
  <c r="Q305" i="3"/>
  <c r="Q303" i="3" s="1"/>
  <c r="Q306" i="3"/>
  <c r="T306" i="3" s="1"/>
  <c r="T308" i="3"/>
  <c r="P99" i="1"/>
  <c r="I138" i="1"/>
  <c r="K138" i="1" s="1"/>
  <c r="U144" i="1"/>
  <c r="O203" i="1"/>
  <c r="S119" i="3"/>
  <c r="S117" i="3" s="1"/>
  <c r="S120" i="3"/>
  <c r="M516" i="3"/>
  <c r="P516" i="3" s="1"/>
  <c r="M515" i="3"/>
  <c r="M513" i="3" s="1"/>
  <c r="P513" i="3" s="1"/>
  <c r="P518" i="3"/>
  <c r="K774" i="3"/>
  <c r="I759" i="3"/>
  <c r="K759" i="3" s="1"/>
  <c r="U52" i="1"/>
  <c r="R95" i="1"/>
  <c r="U95" i="1" s="1"/>
  <c r="N163" i="1"/>
  <c r="J459" i="1"/>
  <c r="N494" i="1"/>
  <c r="O764" i="1"/>
  <c r="L761" i="1"/>
  <c r="O761" i="1" s="1"/>
  <c r="O80" i="2"/>
  <c r="L78" i="2"/>
  <c r="O78" i="2" s="1"/>
  <c r="N415" i="3"/>
  <c r="N413" i="3" s="1"/>
  <c r="N416" i="3"/>
  <c r="R119" i="3"/>
  <c r="Q415" i="2"/>
  <c r="Q413" i="2" s="1"/>
  <c r="Q416" i="2"/>
  <c r="T416" i="2" s="1"/>
  <c r="T418" i="2"/>
  <c r="L62" i="1"/>
  <c r="O196" i="1"/>
  <c r="S268" i="1"/>
  <c r="J425" i="1"/>
  <c r="K425" i="1" s="1"/>
  <c r="P581" i="1"/>
  <c r="U735" i="1"/>
  <c r="R729" i="1"/>
  <c r="U729" i="1" s="1"/>
  <c r="J674" i="3"/>
  <c r="Q495" i="3"/>
  <c r="Q493" i="3" s="1"/>
  <c r="Q496" i="3"/>
  <c r="T304" i="3"/>
  <c r="L272" i="3"/>
  <c r="O272" i="3" s="1"/>
  <c r="O274" i="3"/>
  <c r="L163" i="3"/>
  <c r="O163" i="3" s="1"/>
  <c r="O165" i="3"/>
  <c r="R96" i="3"/>
  <c r="R94" i="3" s="1"/>
  <c r="U94" i="3" s="1"/>
  <c r="R97" i="3"/>
  <c r="L309" i="2"/>
  <c r="O309" i="2" s="1"/>
  <c r="S730" i="3"/>
  <c r="M714" i="3"/>
  <c r="P714" i="3" s="1"/>
  <c r="M578" i="3"/>
  <c r="M576" i="3" s="1"/>
  <c r="Q555" i="3"/>
  <c r="T555" i="3" s="1"/>
  <c r="O501" i="3"/>
  <c r="N495" i="3"/>
  <c r="N493" i="3" s="1"/>
  <c r="J457" i="3"/>
  <c r="K457" i="3" s="1"/>
  <c r="O421" i="3"/>
  <c r="P418" i="3"/>
  <c r="S416" i="3"/>
  <c r="U397" i="3"/>
  <c r="S395" i="3"/>
  <c r="I374" i="3"/>
  <c r="N378" i="3"/>
  <c r="O378" i="3" s="1"/>
  <c r="K368" i="3"/>
  <c r="P364" i="3"/>
  <c r="S356" i="3"/>
  <c r="Q356" i="3"/>
  <c r="T356" i="3" s="1"/>
  <c r="K330" i="3"/>
  <c r="R320" i="3"/>
  <c r="U320" i="3" s="1"/>
  <c r="O308" i="3"/>
  <c r="T268" i="3"/>
  <c r="K209" i="3"/>
  <c r="M175" i="3"/>
  <c r="P175" i="3" s="1"/>
  <c r="N142" i="3"/>
  <c r="R75" i="3"/>
  <c r="U75" i="3" s="1"/>
  <c r="N46" i="3"/>
  <c r="S44" i="3"/>
  <c r="J675" i="1"/>
  <c r="N729" i="1"/>
  <c r="P584" i="2"/>
  <c r="J374" i="2"/>
  <c r="I374" i="2"/>
  <c r="M322" i="2"/>
  <c r="M320" i="2" s="1"/>
  <c r="K198" i="2"/>
  <c r="O52" i="2"/>
  <c r="K778" i="3"/>
  <c r="S601" i="3"/>
  <c r="S599" i="3" s="1"/>
  <c r="L578" i="3"/>
  <c r="L576" i="3" s="1"/>
  <c r="M540" i="3"/>
  <c r="P540" i="3" s="1"/>
  <c r="K503" i="3"/>
  <c r="M419" i="3"/>
  <c r="P419" i="3" s="1"/>
  <c r="Q413" i="3"/>
  <c r="M362" i="3"/>
  <c r="P362" i="3" s="1"/>
  <c r="R356" i="3"/>
  <c r="U356" i="3" s="1"/>
  <c r="S320" i="3"/>
  <c r="O311" i="3"/>
  <c r="U308" i="3"/>
  <c r="O287" i="3"/>
  <c r="T283" i="3"/>
  <c r="K249" i="3"/>
  <c r="K202" i="3"/>
  <c r="K195" i="3"/>
  <c r="T178" i="3"/>
  <c r="M176" i="3"/>
  <c r="P176" i="3" s="1"/>
  <c r="T75" i="3"/>
  <c r="R44" i="3"/>
  <c r="U44" i="3" s="1"/>
  <c r="Q19" i="3"/>
  <c r="T19" i="3" s="1"/>
  <c r="K627" i="1"/>
  <c r="K709" i="2"/>
  <c r="P560" i="2"/>
  <c r="S762" i="3"/>
  <c r="S760" i="3" s="1"/>
  <c r="K727" i="3"/>
  <c r="Q601" i="3"/>
  <c r="T601" i="3" s="1"/>
  <c r="M582" i="3"/>
  <c r="P582" i="3" s="1"/>
  <c r="R534" i="3"/>
  <c r="U534" i="3" s="1"/>
  <c r="Q513" i="3"/>
  <c r="T513" i="3" s="1"/>
  <c r="N496" i="3"/>
  <c r="I492" i="3"/>
  <c r="K492" i="3" s="1"/>
  <c r="S413" i="3"/>
  <c r="I412" i="3"/>
  <c r="K412" i="3" s="1"/>
  <c r="S378" i="3"/>
  <c r="S377" i="3"/>
  <c r="S375" i="3" s="1"/>
  <c r="L322" i="3"/>
  <c r="L320" i="3" s="1"/>
  <c r="K293" i="3"/>
  <c r="S282" i="3"/>
  <c r="L222" i="3"/>
  <c r="O222" i="3" s="1"/>
  <c r="L189" i="3"/>
  <c r="S173" i="3"/>
  <c r="T175" i="3"/>
  <c r="M159" i="3"/>
  <c r="M157" i="3" s="1"/>
  <c r="S160" i="3"/>
  <c r="N119" i="3"/>
  <c r="N117" i="3" s="1"/>
  <c r="N19" i="3"/>
  <c r="J632" i="1"/>
  <c r="J626" i="1" s="1"/>
  <c r="J615" i="1" s="1"/>
  <c r="K615" i="1" s="1"/>
  <c r="K371" i="2"/>
  <c r="L243" i="2"/>
  <c r="O243" i="2" s="1"/>
  <c r="K780" i="3"/>
  <c r="J701" i="3"/>
  <c r="S690" i="3"/>
  <c r="S642" i="3"/>
  <c r="K630" i="3"/>
  <c r="N616" i="3"/>
  <c r="N601" i="3"/>
  <c r="N599" i="3" s="1"/>
  <c r="M579" i="3"/>
  <c r="J458" i="3"/>
  <c r="U377" i="3"/>
  <c r="L377" i="3"/>
  <c r="R378" i="3"/>
  <c r="M288" i="3"/>
  <c r="P288" i="3" s="1"/>
  <c r="T271" i="3"/>
  <c r="J231" i="3"/>
  <c r="J185" i="3" s="1"/>
  <c r="T203" i="3"/>
  <c r="R188" i="3"/>
  <c r="R186" i="3" s="1"/>
  <c r="T187" i="3"/>
  <c r="M163" i="3"/>
  <c r="P163" i="3" s="1"/>
  <c r="L159" i="3"/>
  <c r="L157" i="3" s="1"/>
  <c r="N160" i="3"/>
  <c r="P160" i="3" s="1"/>
  <c r="Q141" i="3"/>
  <c r="Q139" i="3" s="1"/>
  <c r="K116" i="3"/>
  <c r="M119" i="3"/>
  <c r="P119" i="3" s="1"/>
  <c r="K109" i="3"/>
  <c r="Q26" i="3"/>
  <c r="Q24" i="3" s="1"/>
  <c r="T24" i="3" s="1"/>
  <c r="P77" i="3"/>
  <c r="L75" i="3"/>
  <c r="M19" i="3"/>
  <c r="S693" i="3"/>
  <c r="S645" i="3"/>
  <c r="K629" i="3"/>
  <c r="L579" i="3"/>
  <c r="M557" i="3"/>
  <c r="M558" i="3"/>
  <c r="P558" i="3" s="1"/>
  <c r="N536" i="3"/>
  <c r="N534" i="3" s="1"/>
  <c r="T380" i="3"/>
  <c r="Q378" i="3"/>
  <c r="L203" i="3"/>
  <c r="O203" i="3" s="1"/>
  <c r="Q188" i="3"/>
  <c r="Q186" i="3" s="1"/>
  <c r="I138" i="3"/>
  <c r="K138" i="3" s="1"/>
  <c r="M123" i="3"/>
  <c r="P123" i="3" s="1"/>
  <c r="N120" i="3"/>
  <c r="L96" i="3"/>
  <c r="O96" i="3" s="1"/>
  <c r="P80" i="3"/>
  <c r="O77" i="3"/>
  <c r="P49" i="3"/>
  <c r="N47" i="3"/>
  <c r="O47" i="3" s="1"/>
  <c r="T22" i="3"/>
  <c r="P581" i="3"/>
  <c r="N579" i="3"/>
  <c r="K369" i="1"/>
  <c r="S393" i="1"/>
  <c r="O581" i="1"/>
  <c r="K752" i="1"/>
  <c r="K781" i="2"/>
  <c r="U765" i="2"/>
  <c r="S762" i="2"/>
  <c r="S760" i="2" s="1"/>
  <c r="K705" i="2"/>
  <c r="J675" i="2"/>
  <c r="Q268" i="2"/>
  <c r="Q266" i="2" s="1"/>
  <c r="T271" i="2"/>
  <c r="K779" i="3"/>
  <c r="T761" i="3"/>
  <c r="M728" i="3"/>
  <c r="P728" i="3" s="1"/>
  <c r="S714" i="3"/>
  <c r="L714" i="3"/>
  <c r="O714" i="3" s="1"/>
  <c r="Q692" i="3"/>
  <c r="T695" i="3"/>
  <c r="N690" i="3"/>
  <c r="Q644" i="3"/>
  <c r="T647" i="3"/>
  <c r="N642" i="3"/>
  <c r="R618" i="3"/>
  <c r="U621" i="3"/>
  <c r="P604" i="3"/>
  <c r="M602" i="3"/>
  <c r="P602" i="3" s="1"/>
  <c r="N578" i="3"/>
  <c r="P577" i="3"/>
  <c r="M495" i="3"/>
  <c r="P498" i="3"/>
  <c r="J332" i="3"/>
  <c r="J343" i="3"/>
  <c r="P341" i="3"/>
  <c r="M339" i="3"/>
  <c r="P339" i="3" s="1"/>
  <c r="U187" i="3"/>
  <c r="R645" i="3"/>
  <c r="U645" i="3" s="1"/>
  <c r="R644" i="3"/>
  <c r="U644" i="3" s="1"/>
  <c r="U647" i="3"/>
  <c r="T600" i="3"/>
  <c r="M119" i="1"/>
  <c r="I213" i="1"/>
  <c r="K213" i="1" s="1"/>
  <c r="Q730" i="1"/>
  <c r="K784" i="1"/>
  <c r="K631" i="2"/>
  <c r="M359" i="2"/>
  <c r="P359" i="2" s="1"/>
  <c r="P361" i="2"/>
  <c r="K330" i="2"/>
  <c r="I319" i="2"/>
  <c r="K319" i="2" s="1"/>
  <c r="I238" i="2"/>
  <c r="K238" i="2" s="1"/>
  <c r="I242" i="2"/>
  <c r="K242" i="2" s="1"/>
  <c r="L188" i="2"/>
  <c r="L186" i="2" s="1"/>
  <c r="L189" i="2"/>
  <c r="O189" i="2" s="1"/>
  <c r="P165" i="2"/>
  <c r="M163" i="2"/>
  <c r="P163" i="2" s="1"/>
  <c r="Q160" i="2"/>
  <c r="T160" i="2" s="1"/>
  <c r="Q159" i="2"/>
  <c r="T159" i="2" s="1"/>
  <c r="Q145" i="2"/>
  <c r="T145" i="2" s="1"/>
  <c r="T147" i="2"/>
  <c r="M78" i="2"/>
  <c r="P78" i="2" s="1"/>
  <c r="P80" i="2"/>
  <c r="N62" i="2"/>
  <c r="O62" i="2" s="1"/>
  <c r="N61" i="2"/>
  <c r="N59" i="2" s="1"/>
  <c r="N760" i="3"/>
  <c r="L728" i="3"/>
  <c r="O728" i="3" s="1"/>
  <c r="R714" i="3"/>
  <c r="U714" i="3" s="1"/>
  <c r="M690" i="3"/>
  <c r="P690" i="3" s="1"/>
  <c r="P691" i="3"/>
  <c r="M642" i="3"/>
  <c r="P642" i="3" s="1"/>
  <c r="P643" i="3"/>
  <c r="O604" i="3"/>
  <c r="L602" i="3"/>
  <c r="O602" i="3" s="1"/>
  <c r="M601" i="3"/>
  <c r="P601" i="3" s="1"/>
  <c r="O577" i="3"/>
  <c r="L495" i="3"/>
  <c r="O498" i="3"/>
  <c r="L496" i="3"/>
  <c r="L416" i="3"/>
  <c r="O418" i="3"/>
  <c r="K344" i="3"/>
  <c r="I332" i="3"/>
  <c r="O271" i="3"/>
  <c r="N269" i="3"/>
  <c r="O269" i="3" s="1"/>
  <c r="N268" i="3"/>
  <c r="N266" i="3" s="1"/>
  <c r="P52" i="3"/>
  <c r="M26" i="3"/>
  <c r="M24" i="3" s="1"/>
  <c r="M50" i="3"/>
  <c r="P50" i="3" s="1"/>
  <c r="Q717" i="1"/>
  <c r="T717" i="1" s="1"/>
  <c r="R693" i="3"/>
  <c r="R692" i="3"/>
  <c r="U692" i="3" s="1"/>
  <c r="U695" i="3"/>
  <c r="S619" i="3"/>
  <c r="T619" i="3" s="1"/>
  <c r="T621" i="3"/>
  <c r="S618" i="3"/>
  <c r="K238" i="1"/>
  <c r="U338" i="1"/>
  <c r="R377" i="1"/>
  <c r="L393" i="1"/>
  <c r="O393" i="1" s="1"/>
  <c r="O396" i="1"/>
  <c r="N578" i="1"/>
  <c r="Q622" i="1"/>
  <c r="T622" i="1" s="1"/>
  <c r="R622" i="1"/>
  <c r="U622" i="1" s="1"/>
  <c r="M643" i="1"/>
  <c r="P643" i="1" s="1"/>
  <c r="R643" i="1"/>
  <c r="U643" i="1" s="1"/>
  <c r="I701" i="1"/>
  <c r="L715" i="1"/>
  <c r="O715" i="1" s="1"/>
  <c r="Q720" i="1"/>
  <c r="T720" i="1" s="1"/>
  <c r="K780" i="2"/>
  <c r="Q731" i="2"/>
  <c r="K629" i="2"/>
  <c r="O359" i="2"/>
  <c r="K346" i="2"/>
  <c r="M326" i="2"/>
  <c r="P326" i="2" s="1"/>
  <c r="K781" i="3"/>
  <c r="M760" i="3"/>
  <c r="P760" i="3" s="1"/>
  <c r="Q714" i="3"/>
  <c r="T714" i="3" s="1"/>
  <c r="T715" i="3"/>
  <c r="I701" i="3"/>
  <c r="Q693" i="3"/>
  <c r="L690" i="3"/>
  <c r="O690" i="3" s="1"/>
  <c r="O691" i="3"/>
  <c r="Q645" i="3"/>
  <c r="T645" i="3" s="1"/>
  <c r="L642" i="3"/>
  <c r="O642" i="3" s="1"/>
  <c r="O643" i="3"/>
  <c r="R619" i="3"/>
  <c r="P607" i="3"/>
  <c r="M605" i="3"/>
  <c r="P605" i="3" s="1"/>
  <c r="L601" i="3"/>
  <c r="O601" i="3" s="1"/>
  <c r="O584" i="3"/>
  <c r="L582" i="3"/>
  <c r="O582" i="3" s="1"/>
  <c r="N557" i="3"/>
  <c r="N555" i="3" s="1"/>
  <c r="S495" i="3"/>
  <c r="S493" i="3" s="1"/>
  <c r="S496" i="3"/>
  <c r="P494" i="3"/>
  <c r="J456" i="3"/>
  <c r="P394" i="3"/>
  <c r="M392" i="3"/>
  <c r="P392" i="3" s="1"/>
  <c r="M377" i="3"/>
  <c r="P383" i="3"/>
  <c r="R333" i="3"/>
  <c r="U333" i="3" s="1"/>
  <c r="U334" i="3"/>
  <c r="K87" i="3"/>
  <c r="I83" i="3"/>
  <c r="O52" i="3"/>
  <c r="L26" i="3"/>
  <c r="L50" i="3"/>
  <c r="O50" i="3" s="1"/>
  <c r="L323" i="1"/>
  <c r="U761" i="3"/>
  <c r="U607" i="3"/>
  <c r="R605" i="3"/>
  <c r="U605" i="3" s="1"/>
  <c r="O357" i="3"/>
  <c r="S174" i="1"/>
  <c r="S173" i="1" s="1"/>
  <c r="L357" i="1"/>
  <c r="O357" i="1" s="1"/>
  <c r="M358" i="1"/>
  <c r="J467" i="1"/>
  <c r="M61" i="1"/>
  <c r="Q50" i="1"/>
  <c r="T50" i="1" s="1"/>
  <c r="M118" i="1"/>
  <c r="P118" i="1" s="1"/>
  <c r="Q187" i="1"/>
  <c r="T187" i="1" s="1"/>
  <c r="S381" i="1"/>
  <c r="M577" i="1"/>
  <c r="P577" i="1" s="1"/>
  <c r="Q715" i="1"/>
  <c r="T715" i="1" s="1"/>
  <c r="K785" i="2"/>
  <c r="L605" i="2"/>
  <c r="O605" i="2" s="1"/>
  <c r="P518" i="2"/>
  <c r="S415" i="2"/>
  <c r="L272" i="2"/>
  <c r="O272" i="2" s="1"/>
  <c r="L192" i="2"/>
  <c r="O192" i="2" s="1"/>
  <c r="O194" i="2"/>
  <c r="R188" i="2"/>
  <c r="S96" i="2"/>
  <c r="S94" i="2" s="1"/>
  <c r="S97" i="2"/>
  <c r="Q763" i="3"/>
  <c r="T763" i="3" s="1"/>
  <c r="Q762" i="3"/>
  <c r="T765" i="3"/>
  <c r="L760" i="3"/>
  <c r="O760" i="3" s="1"/>
  <c r="O761" i="3"/>
  <c r="T729" i="3"/>
  <c r="K626" i="3"/>
  <c r="M616" i="3"/>
  <c r="P616" i="3" s="1"/>
  <c r="P617" i="3"/>
  <c r="O607" i="3"/>
  <c r="L605" i="3"/>
  <c r="O605" i="3" s="1"/>
  <c r="U604" i="3"/>
  <c r="R602" i="3"/>
  <c r="U602" i="3" s="1"/>
  <c r="R576" i="3"/>
  <c r="U576" i="3" s="1"/>
  <c r="U577" i="3"/>
  <c r="O542" i="3"/>
  <c r="L540" i="3"/>
  <c r="O540" i="3" s="1"/>
  <c r="N516" i="3"/>
  <c r="N515" i="3"/>
  <c r="N513" i="3" s="1"/>
  <c r="R495" i="3"/>
  <c r="U498" i="3"/>
  <c r="R496" i="3"/>
  <c r="K456" i="3"/>
  <c r="R416" i="3"/>
  <c r="U418" i="3"/>
  <c r="R415" i="3"/>
  <c r="U415" i="3" s="1"/>
  <c r="N359" i="3"/>
  <c r="O359" i="3" s="1"/>
  <c r="N358" i="3"/>
  <c r="R192" i="2"/>
  <c r="U192" i="2" s="1"/>
  <c r="U194" i="2"/>
  <c r="O521" i="3"/>
  <c r="L519" i="3"/>
  <c r="O519" i="3" s="1"/>
  <c r="R284" i="1"/>
  <c r="U284" i="1" s="1"/>
  <c r="L47" i="1"/>
  <c r="O47" i="1" s="1"/>
  <c r="L22" i="1"/>
  <c r="O22" i="1" s="1"/>
  <c r="M47" i="1"/>
  <c r="P47" i="1" s="1"/>
  <c r="Q188" i="1"/>
  <c r="T188" i="1" s="1"/>
  <c r="K195" i="1"/>
  <c r="L214" i="1"/>
  <c r="M222" i="1"/>
  <c r="S358" i="1"/>
  <c r="K85" i="1"/>
  <c r="S119" i="1"/>
  <c r="M189" i="1"/>
  <c r="P189" i="1" s="1"/>
  <c r="U191" i="1"/>
  <c r="K276" i="1"/>
  <c r="S306" i="1"/>
  <c r="R306" i="1"/>
  <c r="J351" i="1"/>
  <c r="N359" i="1"/>
  <c r="L359" i="1"/>
  <c r="M376" i="1"/>
  <c r="P376" i="1" s="1"/>
  <c r="J432" i="1"/>
  <c r="K432" i="1" s="1"/>
  <c r="L556" i="1"/>
  <c r="O556" i="1" s="1"/>
  <c r="N579" i="1"/>
  <c r="N617" i="1"/>
  <c r="J674" i="1"/>
  <c r="J682" i="1"/>
  <c r="N716" i="1"/>
  <c r="K749" i="1"/>
  <c r="T733" i="2"/>
  <c r="U607" i="2"/>
  <c r="P579" i="2"/>
  <c r="N378" i="2"/>
  <c r="P378" i="2" s="1"/>
  <c r="L284" i="2"/>
  <c r="O284" i="2" s="1"/>
  <c r="O287" i="2"/>
  <c r="K154" i="2"/>
  <c r="P102" i="2"/>
  <c r="P49" i="2"/>
  <c r="U691" i="3"/>
  <c r="J675" i="3"/>
  <c r="U643" i="3"/>
  <c r="O581" i="3"/>
  <c r="O560" i="3"/>
  <c r="L558" i="3"/>
  <c r="O558" i="3" s="1"/>
  <c r="R555" i="3"/>
  <c r="U555" i="3" s="1"/>
  <c r="M496" i="3"/>
  <c r="Q375" i="3"/>
  <c r="P325" i="3"/>
  <c r="M323" i="3"/>
  <c r="P323" i="3" s="1"/>
  <c r="M322" i="3"/>
  <c r="O267" i="3"/>
  <c r="L235" i="3"/>
  <c r="K230" i="3"/>
  <c r="L268" i="2"/>
  <c r="L266" i="2" s="1"/>
  <c r="I138" i="2"/>
  <c r="K138" i="2" s="1"/>
  <c r="U765" i="3"/>
  <c r="R762" i="3"/>
  <c r="P761" i="3"/>
  <c r="T733" i="3"/>
  <c r="Q730" i="3"/>
  <c r="U729" i="3"/>
  <c r="O729" i="3"/>
  <c r="U715" i="3"/>
  <c r="O715" i="3"/>
  <c r="U600" i="3"/>
  <c r="O600" i="3"/>
  <c r="P560" i="3"/>
  <c r="T556" i="3"/>
  <c r="M536" i="3"/>
  <c r="U535" i="3"/>
  <c r="T498" i="3"/>
  <c r="T418" i="3"/>
  <c r="Q416" i="3"/>
  <c r="R394" i="3"/>
  <c r="U394" i="3" s="1"/>
  <c r="Q392" i="3"/>
  <c r="T392" i="3" s="1"/>
  <c r="K386" i="3"/>
  <c r="K371" i="3"/>
  <c r="P361" i="3"/>
  <c r="M359" i="3"/>
  <c r="Q333" i="3"/>
  <c r="T333" i="3" s="1"/>
  <c r="T334" i="3"/>
  <c r="Q320" i="3"/>
  <c r="T320" i="3" s="1"/>
  <c r="T321" i="3"/>
  <c r="P271" i="3"/>
  <c r="M269" i="3"/>
  <c r="L243" i="3"/>
  <c r="L233" i="3"/>
  <c r="L233" i="2"/>
  <c r="K152" i="2"/>
  <c r="Q74" i="2"/>
  <c r="T74" i="2" s="1"/>
  <c r="M537" i="3"/>
  <c r="P537" i="3" s="1"/>
  <c r="L515" i="3"/>
  <c r="T415" i="3"/>
  <c r="J374" i="3"/>
  <c r="L362" i="3"/>
  <c r="O362" i="3" s="1"/>
  <c r="L358" i="3"/>
  <c r="L356" i="3" s="1"/>
  <c r="N305" i="3"/>
  <c r="N303" i="3" s="1"/>
  <c r="O304" i="3"/>
  <c r="P274" i="3"/>
  <c r="M272" i="3"/>
  <c r="P272" i="3" s="1"/>
  <c r="U144" i="3"/>
  <c r="R142" i="3"/>
  <c r="R141" i="3"/>
  <c r="P73" i="3"/>
  <c r="P19" i="3"/>
  <c r="O338" i="2"/>
  <c r="L222" i="2"/>
  <c r="O222" i="2" s="1"/>
  <c r="M192" i="2"/>
  <c r="P192" i="2" s="1"/>
  <c r="M188" i="2"/>
  <c r="M186" i="2" s="1"/>
  <c r="K772" i="3"/>
  <c r="L392" i="3"/>
  <c r="O392" i="3" s="1"/>
  <c r="R375" i="3"/>
  <c r="N335" i="3"/>
  <c r="N333" i="3" s="1"/>
  <c r="N284" i="3"/>
  <c r="N282" i="3" s="1"/>
  <c r="P283" i="3"/>
  <c r="P191" i="3"/>
  <c r="N189" i="3"/>
  <c r="P189" i="3" s="1"/>
  <c r="N188" i="3"/>
  <c r="N186" i="3" s="1"/>
  <c r="O95" i="3"/>
  <c r="U25" i="3"/>
  <c r="R19" i="3"/>
  <c r="O19" i="3"/>
  <c r="M416" i="3"/>
  <c r="M415" i="3"/>
  <c r="P338" i="3"/>
  <c r="M336" i="3"/>
  <c r="P336" i="3" s="1"/>
  <c r="M335" i="3"/>
  <c r="N326" i="3"/>
  <c r="P326" i="3" s="1"/>
  <c r="P328" i="3"/>
  <c r="U304" i="3"/>
  <c r="S19" i="3"/>
  <c r="O338" i="3"/>
  <c r="L336" i="3"/>
  <c r="O336" i="3" s="1"/>
  <c r="N322" i="3"/>
  <c r="N320" i="3" s="1"/>
  <c r="U306" i="3"/>
  <c r="O283" i="3"/>
  <c r="U271" i="3"/>
  <c r="S269" i="3"/>
  <c r="U269" i="3" s="1"/>
  <c r="S266" i="3"/>
  <c r="U189" i="3"/>
  <c r="N175" i="3"/>
  <c r="N173" i="3" s="1"/>
  <c r="T162" i="3"/>
  <c r="Q160" i="3"/>
  <c r="T160" i="3" s="1"/>
  <c r="Q159" i="3"/>
  <c r="P147" i="3"/>
  <c r="M145" i="3"/>
  <c r="P145" i="3" s="1"/>
  <c r="M141" i="3"/>
  <c r="U22" i="3"/>
  <c r="O290" i="3"/>
  <c r="L288" i="3"/>
  <c r="O288" i="3" s="1"/>
  <c r="L284" i="3"/>
  <c r="O284" i="3" s="1"/>
  <c r="U267" i="3"/>
  <c r="T189" i="3"/>
  <c r="P187" i="3"/>
  <c r="I136" i="3"/>
  <c r="K136" i="3" s="1"/>
  <c r="K154" i="3"/>
  <c r="O147" i="3"/>
  <c r="L145" i="3"/>
  <c r="O145" i="3" s="1"/>
  <c r="L141" i="3"/>
  <c r="P45" i="3"/>
  <c r="S333" i="3"/>
  <c r="O334" i="3"/>
  <c r="O325" i="3"/>
  <c r="L323" i="3"/>
  <c r="O323" i="3" s="1"/>
  <c r="P304" i="3"/>
  <c r="R282" i="3"/>
  <c r="U282" i="3" s="1"/>
  <c r="U283" i="3"/>
  <c r="Q266" i="3"/>
  <c r="T267" i="3"/>
  <c r="O187" i="3"/>
  <c r="L176" i="3"/>
  <c r="O176" i="3" s="1"/>
  <c r="O178" i="3"/>
  <c r="O125" i="3"/>
  <c r="L123" i="3"/>
  <c r="O123" i="3" s="1"/>
  <c r="L119" i="3"/>
  <c r="O119" i="3" s="1"/>
  <c r="R26" i="3"/>
  <c r="U26" i="3" s="1"/>
  <c r="S305" i="3"/>
  <c r="M305" i="3"/>
  <c r="P305" i="3" s="1"/>
  <c r="M284" i="3"/>
  <c r="P284" i="3" s="1"/>
  <c r="I281" i="3"/>
  <c r="K281" i="3" s="1"/>
  <c r="R268" i="3"/>
  <c r="U268" i="3" s="1"/>
  <c r="L268" i="3"/>
  <c r="P267" i="3"/>
  <c r="K229" i="3"/>
  <c r="S188" i="3"/>
  <c r="M188" i="3"/>
  <c r="Q176" i="3"/>
  <c r="T176" i="3" s="1"/>
  <c r="R175" i="3"/>
  <c r="U175" i="3" s="1"/>
  <c r="T140" i="3"/>
  <c r="U125" i="3"/>
  <c r="R123" i="3"/>
  <c r="U123" i="3" s="1"/>
  <c r="O122" i="3"/>
  <c r="L120" i="3"/>
  <c r="O120" i="3" s="1"/>
  <c r="U95" i="3"/>
  <c r="R305" i="3"/>
  <c r="L305" i="3"/>
  <c r="O305" i="3" s="1"/>
  <c r="O162" i="3"/>
  <c r="L160" i="3"/>
  <c r="U147" i="3"/>
  <c r="R145" i="3"/>
  <c r="U145" i="3" s="1"/>
  <c r="P144" i="3"/>
  <c r="M142" i="3"/>
  <c r="T125" i="3"/>
  <c r="Q123" i="3"/>
  <c r="T123" i="3" s="1"/>
  <c r="K108" i="3"/>
  <c r="P102" i="3"/>
  <c r="M100" i="3"/>
  <c r="P100" i="3" s="1"/>
  <c r="T95" i="3"/>
  <c r="I82" i="3"/>
  <c r="N26" i="3"/>
  <c r="N24" i="3" s="1"/>
  <c r="P25" i="3"/>
  <c r="M309" i="3"/>
  <c r="P309" i="3" s="1"/>
  <c r="M306" i="3"/>
  <c r="P306" i="3" s="1"/>
  <c r="K260" i="3"/>
  <c r="K220" i="3"/>
  <c r="K198" i="3"/>
  <c r="M179" i="3"/>
  <c r="P179" i="3" s="1"/>
  <c r="N176" i="3"/>
  <c r="O144" i="3"/>
  <c r="L142" i="3"/>
  <c r="U122" i="3"/>
  <c r="R120" i="3"/>
  <c r="T99" i="3"/>
  <c r="P99" i="3"/>
  <c r="M97" i="3"/>
  <c r="P97" i="3" s="1"/>
  <c r="P67" i="3"/>
  <c r="M65" i="3"/>
  <c r="P65" i="3" s="1"/>
  <c r="P60" i="3"/>
  <c r="O25" i="3"/>
  <c r="N23" i="3"/>
  <c r="P22" i="3"/>
  <c r="U162" i="3"/>
  <c r="R160" i="3"/>
  <c r="U160" i="3" s="1"/>
  <c r="R157" i="3"/>
  <c r="U157" i="3" s="1"/>
  <c r="T144" i="3"/>
  <c r="S142" i="3"/>
  <c r="T142" i="3" s="1"/>
  <c r="T122" i="3"/>
  <c r="Q120" i="3"/>
  <c r="U99" i="3"/>
  <c r="S97" i="3"/>
  <c r="O67" i="3"/>
  <c r="L65" i="3"/>
  <c r="O65" i="3" s="1"/>
  <c r="L61" i="3"/>
  <c r="O22" i="3"/>
  <c r="P178" i="3"/>
  <c r="P162" i="3"/>
  <c r="P122" i="3"/>
  <c r="T80" i="3"/>
  <c r="T77" i="3"/>
  <c r="S26" i="3"/>
  <c r="S24" i="3" s="1"/>
  <c r="S23" i="3"/>
  <c r="M23" i="3"/>
  <c r="M21" i="3" s="1"/>
  <c r="Q96" i="3"/>
  <c r="T96" i="3" s="1"/>
  <c r="S74" i="3"/>
  <c r="M74" i="3"/>
  <c r="M61" i="3"/>
  <c r="M46" i="3"/>
  <c r="R23" i="3"/>
  <c r="L23" i="3"/>
  <c r="L21" i="3" s="1"/>
  <c r="Q23" i="3"/>
  <c r="N175" i="1"/>
  <c r="N173" i="1" s="1"/>
  <c r="N619" i="1"/>
  <c r="Q605" i="2"/>
  <c r="T605" i="2" s="1"/>
  <c r="T607" i="2"/>
  <c r="I265" i="2"/>
  <c r="K265" i="2" s="1"/>
  <c r="K276" i="2"/>
  <c r="K512" i="2"/>
  <c r="L323" i="2"/>
  <c r="O323" i="2" s="1"/>
  <c r="O325" i="2"/>
  <c r="L187" i="1"/>
  <c r="O187" i="1" s="1"/>
  <c r="L305" i="1"/>
  <c r="U308" i="1"/>
  <c r="N339" i="1"/>
  <c r="M362" i="1"/>
  <c r="P362" i="1" s="1"/>
  <c r="P364" i="1"/>
  <c r="P379" i="1"/>
  <c r="S496" i="1"/>
  <c r="N519" i="1"/>
  <c r="U580" i="1"/>
  <c r="K586" i="1"/>
  <c r="U621" i="1"/>
  <c r="U624" i="1"/>
  <c r="I332" i="2"/>
  <c r="K344" i="2"/>
  <c r="L236" i="2"/>
  <c r="T22" i="2"/>
  <c r="Q19" i="2"/>
  <c r="S145" i="1"/>
  <c r="R535" i="1"/>
  <c r="U535" i="1" s="1"/>
  <c r="S692" i="2"/>
  <c r="S690" i="2" s="1"/>
  <c r="S693" i="2"/>
  <c r="U693" i="2" s="1"/>
  <c r="M339" i="2"/>
  <c r="P339" i="2" s="1"/>
  <c r="P341" i="2"/>
  <c r="N269" i="2"/>
  <c r="P269" i="2" s="1"/>
  <c r="N268" i="2"/>
  <c r="N266" i="2" s="1"/>
  <c r="P271" i="2"/>
  <c r="P67" i="1"/>
  <c r="S140" i="1"/>
  <c r="M158" i="1"/>
  <c r="O101" i="1"/>
  <c r="M305" i="1"/>
  <c r="L309" i="1"/>
  <c r="O309" i="1" s="1"/>
  <c r="I319" i="1"/>
  <c r="K319" i="1" s="1"/>
  <c r="R357" i="1"/>
  <c r="U357" i="1" s="1"/>
  <c r="Q536" i="1"/>
  <c r="T536" i="1" s="1"/>
  <c r="N535" i="1"/>
  <c r="N534" i="1" s="1"/>
  <c r="U538" i="1"/>
  <c r="Q605" i="1"/>
  <c r="T605" i="1" s="1"/>
  <c r="S617" i="1"/>
  <c r="R716" i="1"/>
  <c r="U716" i="1" s="1"/>
  <c r="U722" i="1"/>
  <c r="P618" i="2"/>
  <c r="M616" i="2"/>
  <c r="P616" i="2" s="1"/>
  <c r="O556" i="2"/>
  <c r="P125" i="2"/>
  <c r="M123" i="2"/>
  <c r="P123" i="2" s="1"/>
  <c r="Q535" i="1"/>
  <c r="T535" i="1" s="1"/>
  <c r="L335" i="1"/>
  <c r="R414" i="1"/>
  <c r="U414" i="1" s="1"/>
  <c r="M617" i="1"/>
  <c r="P617" i="1" s="1"/>
  <c r="T650" i="1"/>
  <c r="Q644" i="1"/>
  <c r="T644" i="1" s="1"/>
  <c r="L140" i="1"/>
  <c r="O140" i="1" s="1"/>
  <c r="M50" i="1"/>
  <c r="P50" i="1" s="1"/>
  <c r="Q65" i="1"/>
  <c r="T65" i="1" s="1"/>
  <c r="M95" i="1"/>
  <c r="P95" i="1" s="1"/>
  <c r="O125" i="1"/>
  <c r="M187" i="1"/>
  <c r="P187" i="1" s="1"/>
  <c r="J199" i="1"/>
  <c r="R267" i="1"/>
  <c r="U267" i="1" s="1"/>
  <c r="M323" i="1"/>
  <c r="N336" i="1"/>
  <c r="Q61" i="1"/>
  <c r="T61" i="1" s="1"/>
  <c r="N96" i="1"/>
  <c r="L119" i="1"/>
  <c r="O144" i="1"/>
  <c r="R159" i="1"/>
  <c r="U159" i="1" s="1"/>
  <c r="O178" i="1"/>
  <c r="N187" i="1"/>
  <c r="M267" i="1"/>
  <c r="P267" i="1" s="1"/>
  <c r="M268" i="1"/>
  <c r="Q285" i="1"/>
  <c r="T285" i="1" s="1"/>
  <c r="R304" i="1"/>
  <c r="U304" i="1" s="1"/>
  <c r="N305" i="1"/>
  <c r="S309" i="1"/>
  <c r="R305" i="1"/>
  <c r="N381" i="1"/>
  <c r="S394" i="1"/>
  <c r="T518" i="1"/>
  <c r="R514" i="1"/>
  <c r="U514" i="1" s="1"/>
  <c r="N537" i="1"/>
  <c r="N577" i="1"/>
  <c r="N601" i="1"/>
  <c r="L643" i="1"/>
  <c r="O643" i="1" s="1"/>
  <c r="L582" i="2"/>
  <c r="O582" i="2" s="1"/>
  <c r="O584" i="2"/>
  <c r="R415" i="2"/>
  <c r="R416" i="2"/>
  <c r="U416" i="2" s="1"/>
  <c r="U418" i="2"/>
  <c r="Q356" i="2"/>
  <c r="T356" i="2" s="1"/>
  <c r="L175" i="2"/>
  <c r="L173" i="2" s="1"/>
  <c r="I116" i="2"/>
  <c r="K116" i="2" s="1"/>
  <c r="K127" i="2"/>
  <c r="S46" i="1"/>
  <c r="S44" i="1" s="1"/>
  <c r="M714" i="2"/>
  <c r="P714" i="2" s="1"/>
  <c r="P715" i="2"/>
  <c r="R119" i="1"/>
  <c r="S323" i="1"/>
  <c r="N362" i="1"/>
  <c r="M728" i="2"/>
  <c r="P728" i="2" s="1"/>
  <c r="P729" i="2"/>
  <c r="R493" i="2"/>
  <c r="U494" i="2"/>
  <c r="R62" i="1"/>
  <c r="U62" i="1" s="1"/>
  <c r="Q267" i="1"/>
  <c r="T267" i="1" s="1"/>
  <c r="J83" i="1"/>
  <c r="J71" i="1" s="1"/>
  <c r="K92" i="1"/>
  <c r="U143" i="1"/>
  <c r="N176" i="1"/>
  <c r="P176" i="1" s="1"/>
  <c r="N61" i="1"/>
  <c r="O77" i="1"/>
  <c r="N97" i="1"/>
  <c r="S97" i="1"/>
  <c r="N120" i="1"/>
  <c r="T125" i="1"/>
  <c r="P144" i="1"/>
  <c r="K151" i="1"/>
  <c r="P178" i="1"/>
  <c r="K183" i="1"/>
  <c r="K228" i="1"/>
  <c r="S284" i="1"/>
  <c r="N334" i="1"/>
  <c r="T360" i="1"/>
  <c r="Q359" i="1"/>
  <c r="T359" i="1" s="1"/>
  <c r="J460" i="1"/>
  <c r="J468" i="1"/>
  <c r="J476" i="1"/>
  <c r="J484" i="1"/>
  <c r="N496" i="1"/>
  <c r="M536" i="1"/>
  <c r="P536" i="1" s="1"/>
  <c r="L557" i="2"/>
  <c r="O557" i="2" s="1"/>
  <c r="L558" i="2"/>
  <c r="O558" i="2" s="1"/>
  <c r="O560" i="2"/>
  <c r="L540" i="2"/>
  <c r="O540" i="2" s="1"/>
  <c r="O542" i="2"/>
  <c r="T321" i="2"/>
  <c r="Q320" i="2"/>
  <c r="T320" i="2" s="1"/>
  <c r="T283" i="2"/>
  <c r="Q282" i="2"/>
  <c r="T282" i="2" s="1"/>
  <c r="M272" i="2"/>
  <c r="P272" i="2" s="1"/>
  <c r="P274" i="2"/>
  <c r="P162" i="2"/>
  <c r="M160" i="2"/>
  <c r="P160" i="2" s="1"/>
  <c r="M96" i="2"/>
  <c r="P96" i="2" s="1"/>
  <c r="P99" i="2"/>
  <c r="M97" i="2"/>
  <c r="P97" i="2" s="1"/>
  <c r="R763" i="2"/>
  <c r="U763" i="2" s="1"/>
  <c r="R762" i="2"/>
  <c r="R760" i="2" s="1"/>
  <c r="S728" i="2"/>
  <c r="L642" i="2"/>
  <c r="O642" i="2" s="1"/>
  <c r="N601" i="2"/>
  <c r="N599" i="2" s="1"/>
  <c r="S576" i="2"/>
  <c r="S534" i="2"/>
  <c r="S495" i="2"/>
  <c r="S493" i="2" s="1"/>
  <c r="S394" i="2"/>
  <c r="S392" i="2" s="1"/>
  <c r="K369" i="2"/>
  <c r="O361" i="2"/>
  <c r="U357" i="2"/>
  <c r="K314" i="2"/>
  <c r="U308" i="2"/>
  <c r="Q305" i="2"/>
  <c r="T305" i="2" s="1"/>
  <c r="P287" i="2"/>
  <c r="R269" i="2"/>
  <c r="U269" i="2" s="1"/>
  <c r="R266" i="2"/>
  <c r="I253" i="2"/>
  <c r="K253" i="2" s="1"/>
  <c r="L235" i="2"/>
  <c r="O191" i="2"/>
  <c r="K172" i="2"/>
  <c r="T162" i="2"/>
  <c r="S160" i="2"/>
  <c r="T125" i="2"/>
  <c r="N119" i="2"/>
  <c r="N117" i="2" s="1"/>
  <c r="K108" i="2"/>
  <c r="T77" i="2"/>
  <c r="L74" i="2"/>
  <c r="O74" i="2" s="1"/>
  <c r="S59" i="2"/>
  <c r="M50" i="2"/>
  <c r="P50" i="2" s="1"/>
  <c r="S44" i="2"/>
  <c r="Q44" i="2"/>
  <c r="T44" i="2" s="1"/>
  <c r="M691" i="1"/>
  <c r="P691" i="1" s="1"/>
  <c r="N730" i="1"/>
  <c r="K772" i="2"/>
  <c r="Q762" i="2"/>
  <c r="R534" i="2"/>
  <c r="U534" i="2" s="1"/>
  <c r="S377" i="2"/>
  <c r="S375" i="2" s="1"/>
  <c r="K368" i="2"/>
  <c r="N358" i="2"/>
  <c r="N356" i="2" s="1"/>
  <c r="N322" i="2"/>
  <c r="N320" i="2" s="1"/>
  <c r="M305" i="2"/>
  <c r="P305" i="2" s="1"/>
  <c r="S306" i="2"/>
  <c r="Q269" i="2"/>
  <c r="T269" i="2" s="1"/>
  <c r="L234" i="2"/>
  <c r="U191" i="2"/>
  <c r="S176" i="2"/>
  <c r="L61" i="2"/>
  <c r="R59" i="2"/>
  <c r="U59" i="2" s="1"/>
  <c r="L46" i="2"/>
  <c r="L44" i="2" s="1"/>
  <c r="N19" i="2"/>
  <c r="K689" i="1"/>
  <c r="Q716" i="1"/>
  <c r="T716" i="1" s="1"/>
  <c r="J674" i="2"/>
  <c r="R619" i="2"/>
  <c r="R601" i="2"/>
  <c r="U601" i="2" s="1"/>
  <c r="L601" i="2"/>
  <c r="O601" i="2" s="1"/>
  <c r="R602" i="2"/>
  <c r="U602" i="2" s="1"/>
  <c r="S356" i="2"/>
  <c r="R303" i="2"/>
  <c r="U303" i="2" s="1"/>
  <c r="L305" i="2"/>
  <c r="R306" i="2"/>
  <c r="U306" i="2" s="1"/>
  <c r="S189" i="2"/>
  <c r="Q141" i="2"/>
  <c r="T141" i="2" s="1"/>
  <c r="R74" i="2"/>
  <c r="U74" i="2" s="1"/>
  <c r="T647" i="1"/>
  <c r="N761" i="1"/>
  <c r="N760" i="1" s="1"/>
  <c r="S766" i="1"/>
  <c r="R730" i="2"/>
  <c r="U730" i="2" s="1"/>
  <c r="J702" i="2"/>
  <c r="R692" i="2"/>
  <c r="R690" i="2" s="1"/>
  <c r="Q644" i="2"/>
  <c r="T644" i="2" s="1"/>
  <c r="Q618" i="2"/>
  <c r="Q616" i="2" s="1"/>
  <c r="L602" i="2"/>
  <c r="O602" i="2" s="1"/>
  <c r="Q576" i="2"/>
  <c r="T576" i="2" s="1"/>
  <c r="N557" i="2"/>
  <c r="N555" i="2" s="1"/>
  <c r="L515" i="2"/>
  <c r="L513" i="2" s="1"/>
  <c r="I423" i="2"/>
  <c r="M415" i="2"/>
  <c r="M413" i="2" s="1"/>
  <c r="L214" i="2"/>
  <c r="O214" i="2" s="1"/>
  <c r="I213" i="2"/>
  <c r="K213" i="2" s="1"/>
  <c r="L203" i="2"/>
  <c r="O203" i="2" s="1"/>
  <c r="R189" i="2"/>
  <c r="N141" i="2"/>
  <c r="N139" i="2" s="1"/>
  <c r="S119" i="2"/>
  <c r="S117" i="2" s="1"/>
  <c r="M120" i="2"/>
  <c r="P120" i="2" s="1"/>
  <c r="O67" i="2"/>
  <c r="L19" i="2"/>
  <c r="L692" i="1"/>
  <c r="O692" i="1" s="1"/>
  <c r="Q692" i="1"/>
  <c r="N717" i="1"/>
  <c r="N731" i="1"/>
  <c r="L734" i="1"/>
  <c r="O734" i="1" s="1"/>
  <c r="K779" i="2"/>
  <c r="T763" i="2"/>
  <c r="U733" i="2"/>
  <c r="S731" i="2"/>
  <c r="U731" i="2" s="1"/>
  <c r="U695" i="2"/>
  <c r="P604" i="2"/>
  <c r="L561" i="2"/>
  <c r="O561" i="2" s="1"/>
  <c r="R513" i="2"/>
  <c r="U513" i="2" s="1"/>
  <c r="N495" i="2"/>
  <c r="N493" i="2" s="1"/>
  <c r="L415" i="2"/>
  <c r="L413" i="2" s="1"/>
  <c r="N415" i="2"/>
  <c r="P311" i="2"/>
  <c r="P308" i="2"/>
  <c r="L306" i="2"/>
  <c r="O306" i="2" s="1"/>
  <c r="S303" i="2"/>
  <c r="U271" i="2"/>
  <c r="O271" i="2"/>
  <c r="T203" i="2"/>
  <c r="T191" i="2"/>
  <c r="M189" i="2"/>
  <c r="P189" i="2" s="1"/>
  <c r="Q142" i="2"/>
  <c r="T142" i="2" s="1"/>
  <c r="S74" i="2"/>
  <c r="S72" i="2" s="1"/>
  <c r="P67" i="2"/>
  <c r="L47" i="2"/>
  <c r="R19" i="2"/>
  <c r="R499" i="1"/>
  <c r="U499" i="1" s="1"/>
  <c r="U500" i="1"/>
  <c r="L617" i="1"/>
  <c r="O617" i="1" s="1"/>
  <c r="O620" i="1"/>
  <c r="R731" i="1"/>
  <c r="U733" i="1"/>
  <c r="R730" i="1"/>
  <c r="S22" i="1"/>
  <c r="N26" i="1"/>
  <c r="S395" i="1"/>
  <c r="S499" i="1"/>
  <c r="S494" i="1"/>
  <c r="P541" i="1"/>
  <c r="M540" i="1"/>
  <c r="P540" i="1" s="1"/>
  <c r="M535" i="1"/>
  <c r="T79" i="1"/>
  <c r="Q78" i="1"/>
  <c r="T78" i="1" s="1"/>
  <c r="J82" i="1"/>
  <c r="J70" i="1" s="1"/>
  <c r="N95" i="1"/>
  <c r="N100" i="1"/>
  <c r="Q25" i="1"/>
  <c r="T25" i="1" s="1"/>
  <c r="P141" i="1"/>
  <c r="U161" i="1"/>
  <c r="R160" i="1"/>
  <c r="U160" i="1" s="1"/>
  <c r="R158" i="1"/>
  <c r="M179" i="1"/>
  <c r="P179" i="1" s="1"/>
  <c r="K198" i="1"/>
  <c r="K295" i="1"/>
  <c r="O308" i="1"/>
  <c r="M378" i="1"/>
  <c r="P380" i="1"/>
  <c r="P396" i="1"/>
  <c r="M395" i="1"/>
  <c r="P395" i="1" s="1"/>
  <c r="O397" i="1"/>
  <c r="L394" i="1"/>
  <c r="O394" i="1" s="1"/>
  <c r="R394" i="1"/>
  <c r="U394" i="1" s="1"/>
  <c r="U400" i="1"/>
  <c r="P498" i="1"/>
  <c r="M496" i="1"/>
  <c r="M495" i="1"/>
  <c r="S516" i="1"/>
  <c r="S514" i="1"/>
  <c r="S513" i="1" s="1"/>
  <c r="N540" i="1"/>
  <c r="O560" i="1"/>
  <c r="L557" i="1"/>
  <c r="O557" i="1" s="1"/>
  <c r="T563" i="1"/>
  <c r="Q557" i="1"/>
  <c r="T557" i="1" s="1"/>
  <c r="Q577" i="1"/>
  <c r="T577" i="1" s="1"/>
  <c r="O603" i="1"/>
  <c r="L602" i="1"/>
  <c r="L600" i="1"/>
  <c r="O600" i="1" s="1"/>
  <c r="L601" i="1"/>
  <c r="O604" i="1"/>
  <c r="O719" i="1"/>
  <c r="L716" i="1"/>
  <c r="O716" i="1" s="1"/>
  <c r="P762" i="2"/>
  <c r="M760" i="2"/>
  <c r="P760" i="2" s="1"/>
  <c r="P644" i="2"/>
  <c r="M642" i="2"/>
  <c r="P642" i="2" s="1"/>
  <c r="S619" i="2"/>
  <c r="T619" i="2" s="1"/>
  <c r="U621" i="2"/>
  <c r="S618" i="2"/>
  <c r="U618" i="2" s="1"/>
  <c r="P577" i="2"/>
  <c r="T515" i="2"/>
  <c r="Q513" i="2"/>
  <c r="T513" i="2" s="1"/>
  <c r="P421" i="2"/>
  <c r="M419" i="2"/>
  <c r="P419" i="2" s="1"/>
  <c r="P187" i="2"/>
  <c r="Q46" i="1"/>
  <c r="T49" i="1"/>
  <c r="Q47" i="1"/>
  <c r="T47" i="1" s="1"/>
  <c r="U76" i="1"/>
  <c r="R73" i="1"/>
  <c r="U73" i="1" s="1"/>
  <c r="R75" i="1"/>
  <c r="N160" i="1"/>
  <c r="N159" i="1"/>
  <c r="O417" i="1"/>
  <c r="L416" i="1"/>
  <c r="O416" i="1" s="1"/>
  <c r="L535" i="1"/>
  <c r="O535" i="1" s="1"/>
  <c r="Q160" i="1"/>
  <c r="T160" i="1" s="1"/>
  <c r="T161" i="1"/>
  <c r="Q158" i="1"/>
  <c r="P162" i="1"/>
  <c r="M335" i="1"/>
  <c r="T399" i="1"/>
  <c r="Q398" i="1"/>
  <c r="T398" i="1" s="1"/>
  <c r="R74" i="1"/>
  <c r="U74" i="1" s="1"/>
  <c r="U80" i="1"/>
  <c r="P181" i="1"/>
  <c r="M175" i="1"/>
  <c r="R187" i="1"/>
  <c r="U187" i="1" s="1"/>
  <c r="P308" i="1"/>
  <c r="U311" i="1"/>
  <c r="R309" i="1"/>
  <c r="U309" i="1" s="1"/>
  <c r="L321" i="1"/>
  <c r="O321" i="1" s="1"/>
  <c r="I332" i="1"/>
  <c r="S359" i="1"/>
  <c r="S357" i="1"/>
  <c r="N377" i="1"/>
  <c r="S495" i="1"/>
  <c r="M494" i="1"/>
  <c r="P500" i="1"/>
  <c r="M499" i="1"/>
  <c r="P499" i="1" s="1"/>
  <c r="M556" i="1"/>
  <c r="P556" i="1" s="1"/>
  <c r="P559" i="1"/>
  <c r="M600" i="1"/>
  <c r="P600" i="1" s="1"/>
  <c r="P603" i="1"/>
  <c r="U650" i="1"/>
  <c r="R644" i="1"/>
  <c r="U644" i="1" s="1"/>
  <c r="P719" i="1"/>
  <c r="M716" i="1"/>
  <c r="P716" i="1" s="1"/>
  <c r="O768" i="1"/>
  <c r="L762" i="1"/>
  <c r="O762" i="1" s="1"/>
  <c r="O716" i="2"/>
  <c r="L714" i="2"/>
  <c r="O714" i="2" s="1"/>
  <c r="Q693" i="2"/>
  <c r="Q692" i="2"/>
  <c r="T695" i="2"/>
  <c r="O267" i="2"/>
  <c r="N140" i="1"/>
  <c r="N139" i="1" s="1"/>
  <c r="N142" i="1"/>
  <c r="Q268" i="1"/>
  <c r="T274" i="1"/>
  <c r="O501" i="2"/>
  <c r="L499" i="2"/>
  <c r="O499" i="2" s="1"/>
  <c r="U49" i="1"/>
  <c r="R47" i="1"/>
  <c r="U47" i="1" s="1"/>
  <c r="R46" i="1"/>
  <c r="M100" i="1"/>
  <c r="P100" i="1" s="1"/>
  <c r="K108" i="1"/>
  <c r="Q119" i="1"/>
  <c r="L141" i="1"/>
  <c r="O141" i="1" s="1"/>
  <c r="K280" i="1"/>
  <c r="L25" i="1"/>
  <c r="O25" i="1" s="1"/>
  <c r="R61" i="1"/>
  <c r="U61" i="1" s="1"/>
  <c r="O67" i="1"/>
  <c r="L61" i="1"/>
  <c r="M74" i="1"/>
  <c r="T63" i="1"/>
  <c r="Q60" i="1"/>
  <c r="N73" i="1"/>
  <c r="U77" i="1"/>
  <c r="L120" i="1"/>
  <c r="O120" i="1" s="1"/>
  <c r="Q123" i="1"/>
  <c r="T123" i="1" s="1"/>
  <c r="K137" i="1"/>
  <c r="L158" i="1"/>
  <c r="O158" i="1" s="1"/>
  <c r="O161" i="1"/>
  <c r="L175" i="1"/>
  <c r="Q175" i="1"/>
  <c r="T175" i="1" s="1"/>
  <c r="T178" i="1"/>
  <c r="P180" i="1"/>
  <c r="P191" i="1"/>
  <c r="M188" i="1"/>
  <c r="R192" i="1"/>
  <c r="U192" i="1" s="1"/>
  <c r="U193" i="1"/>
  <c r="O287" i="1"/>
  <c r="I281" i="1"/>
  <c r="K281" i="1" s="1"/>
  <c r="K292" i="1"/>
  <c r="L306" i="1"/>
  <c r="O307" i="1"/>
  <c r="L304" i="1"/>
  <c r="M321" i="1"/>
  <c r="P321" i="1" s="1"/>
  <c r="N323" i="1"/>
  <c r="U328" i="1"/>
  <c r="R322" i="1"/>
  <c r="U322" i="1" s="1"/>
  <c r="P360" i="1"/>
  <c r="M359" i="1"/>
  <c r="M357" i="1"/>
  <c r="P357" i="1" s="1"/>
  <c r="Q376" i="1"/>
  <c r="T376" i="1" s="1"/>
  <c r="T379" i="1"/>
  <c r="I374" i="1"/>
  <c r="K374" i="1" s="1"/>
  <c r="K385" i="1"/>
  <c r="Q496" i="1"/>
  <c r="T497" i="1"/>
  <c r="Q494" i="1"/>
  <c r="T494" i="1" s="1"/>
  <c r="N499" i="1"/>
  <c r="M516" i="1"/>
  <c r="P516" i="1" s="1"/>
  <c r="P517" i="1"/>
  <c r="M514" i="1"/>
  <c r="P514" i="1" s="1"/>
  <c r="R540" i="1"/>
  <c r="U540" i="1" s="1"/>
  <c r="U541" i="1"/>
  <c r="U583" i="1"/>
  <c r="R582" i="1"/>
  <c r="U582" i="1" s="1"/>
  <c r="N618" i="1"/>
  <c r="R617" i="1"/>
  <c r="U620" i="1"/>
  <c r="N645" i="1"/>
  <c r="L696" i="1"/>
  <c r="O696" i="1" s="1"/>
  <c r="O697" i="1"/>
  <c r="L691" i="1"/>
  <c r="O691" i="1" s="1"/>
  <c r="N715" i="1"/>
  <c r="U716" i="2"/>
  <c r="R714" i="2"/>
  <c r="U714" i="2" s="1"/>
  <c r="U164" i="1"/>
  <c r="R163" i="1"/>
  <c r="U163" i="1" s="1"/>
  <c r="T691" i="2"/>
  <c r="P417" i="1"/>
  <c r="M416" i="1"/>
  <c r="P416" i="1" s="1"/>
  <c r="M414" i="1"/>
  <c r="P414" i="1" s="1"/>
  <c r="O498" i="1"/>
  <c r="L495" i="1"/>
  <c r="L729" i="1"/>
  <c r="O732" i="1"/>
  <c r="L731" i="1"/>
  <c r="O731" i="1" s="1"/>
  <c r="T761" i="2"/>
  <c r="P692" i="2"/>
  <c r="M690" i="2"/>
  <c r="P690" i="2" s="1"/>
  <c r="T77" i="1"/>
  <c r="L118" i="1"/>
  <c r="O118" i="1" s="1"/>
  <c r="S160" i="1"/>
  <c r="S158" i="1"/>
  <c r="S157" i="1" s="1"/>
  <c r="T76" i="1"/>
  <c r="Q73" i="1"/>
  <c r="O80" i="1"/>
  <c r="L78" i="1"/>
  <c r="O78" i="1" s="1"/>
  <c r="K86" i="1"/>
  <c r="K89" i="1"/>
  <c r="Q118" i="1"/>
  <c r="Q120" i="1"/>
  <c r="S120" i="1"/>
  <c r="S118" i="1"/>
  <c r="R123" i="1"/>
  <c r="U123" i="1" s="1"/>
  <c r="M140" i="1"/>
  <c r="P140" i="1" s="1"/>
  <c r="P143" i="1"/>
  <c r="M142" i="1"/>
  <c r="S141" i="1"/>
  <c r="L163" i="1"/>
  <c r="O163" i="1" s="1"/>
  <c r="N188" i="1"/>
  <c r="L192" i="1"/>
  <c r="O192" i="1" s="1"/>
  <c r="O193" i="1"/>
  <c r="R268" i="1"/>
  <c r="S267" i="1"/>
  <c r="N285" i="1"/>
  <c r="T287" i="1"/>
  <c r="Q284" i="1"/>
  <c r="T284" i="1" s="1"/>
  <c r="S419" i="1"/>
  <c r="S540" i="1"/>
  <c r="S535" i="1"/>
  <c r="L577" i="1"/>
  <c r="O577" i="1" s="1"/>
  <c r="O580" i="1"/>
  <c r="L579" i="1"/>
  <c r="Q582" i="1"/>
  <c r="T582" i="1" s="1"/>
  <c r="M605" i="1"/>
  <c r="P605" i="1" s="1"/>
  <c r="P606" i="1"/>
  <c r="L622" i="1"/>
  <c r="O622" i="1" s="1"/>
  <c r="O624" i="1"/>
  <c r="N642" i="1"/>
  <c r="U647" i="2"/>
  <c r="R644" i="2"/>
  <c r="R645" i="2"/>
  <c r="U645" i="2" s="1"/>
  <c r="L578" i="2"/>
  <c r="O581" i="2"/>
  <c r="L579" i="2"/>
  <c r="O579" i="2" s="1"/>
  <c r="P338" i="2"/>
  <c r="M336" i="2"/>
  <c r="P336" i="2" s="1"/>
  <c r="M335" i="2"/>
  <c r="M333" i="2" s="1"/>
  <c r="Q362" i="1"/>
  <c r="T362" i="1" s="1"/>
  <c r="R398" i="1"/>
  <c r="U398" i="1" s="1"/>
  <c r="S561" i="1"/>
  <c r="N600" i="1"/>
  <c r="S75" i="1"/>
  <c r="L100" i="1"/>
  <c r="O100" i="1" s="1"/>
  <c r="N158" i="1"/>
  <c r="K219" i="1"/>
  <c r="N269" i="1"/>
  <c r="O328" i="1"/>
  <c r="K368" i="1"/>
  <c r="S398" i="1"/>
  <c r="N415" i="1"/>
  <c r="J433" i="1"/>
  <c r="K433" i="1" s="1"/>
  <c r="J446" i="1"/>
  <c r="J440" i="1" s="1"/>
  <c r="J423" i="1" s="1"/>
  <c r="J412" i="1" s="1"/>
  <c r="K412" i="1" s="1"/>
  <c r="R618" i="1"/>
  <c r="J636" i="1"/>
  <c r="J635" i="1" s="1"/>
  <c r="U647" i="1"/>
  <c r="M648" i="1"/>
  <c r="P648" i="1" s="1"/>
  <c r="J661" i="1"/>
  <c r="R692" i="1"/>
  <c r="U695" i="1"/>
  <c r="K705" i="1"/>
  <c r="O730" i="2"/>
  <c r="L728" i="2"/>
  <c r="O728" i="2" s="1"/>
  <c r="J701" i="2"/>
  <c r="S644" i="2"/>
  <c r="S642" i="2" s="1"/>
  <c r="S601" i="2"/>
  <c r="S599" i="2" s="1"/>
  <c r="S605" i="2"/>
  <c r="U600" i="2"/>
  <c r="T556" i="2"/>
  <c r="Q555" i="2"/>
  <c r="T555" i="2" s="1"/>
  <c r="N515" i="2"/>
  <c r="N513" i="2" s="1"/>
  <c r="P414" i="2"/>
  <c r="L142" i="2"/>
  <c r="O142" i="2" s="1"/>
  <c r="L141" i="2"/>
  <c r="O141" i="2" s="1"/>
  <c r="O144" i="2"/>
  <c r="N96" i="2"/>
  <c r="N94" i="2" s="1"/>
  <c r="S326" i="1"/>
  <c r="M419" i="1"/>
  <c r="P419" i="1" s="1"/>
  <c r="L496" i="1"/>
  <c r="Q578" i="1"/>
  <c r="T578" i="1" s="1"/>
  <c r="Q734" i="1"/>
  <c r="T734" i="1" s="1"/>
  <c r="P761" i="1"/>
  <c r="T617" i="2"/>
  <c r="N160" i="2"/>
  <c r="N159" i="2"/>
  <c r="N157" i="2" s="1"/>
  <c r="S78" i="1"/>
  <c r="R96" i="1"/>
  <c r="M174" i="1"/>
  <c r="S186" i="1"/>
  <c r="K265" i="1"/>
  <c r="K296" i="1"/>
  <c r="U324" i="1"/>
  <c r="P328" i="1"/>
  <c r="S335" i="1"/>
  <c r="L362" i="1"/>
  <c r="O362" i="1" s="1"/>
  <c r="U380" i="1"/>
  <c r="S377" i="1"/>
  <c r="J374" i="1"/>
  <c r="Q394" i="1"/>
  <c r="T394" i="1" s="1"/>
  <c r="P421" i="1"/>
  <c r="J447" i="1"/>
  <c r="J441" i="1" s="1"/>
  <c r="K441" i="1" s="1"/>
  <c r="L494" i="1"/>
  <c r="O494" i="1" s="1"/>
  <c r="R494" i="1"/>
  <c r="U494" i="1" s="1"/>
  <c r="N495" i="1"/>
  <c r="T498" i="1"/>
  <c r="R515" i="1"/>
  <c r="U515" i="1" s="1"/>
  <c r="M537" i="1"/>
  <c r="P537" i="1" s="1"/>
  <c r="P539" i="1"/>
  <c r="Q579" i="1"/>
  <c r="T579" i="1" s="1"/>
  <c r="M619" i="1"/>
  <c r="P619" i="1" s="1"/>
  <c r="K630" i="1"/>
  <c r="T698" i="1"/>
  <c r="Q696" i="1"/>
  <c r="T696" i="1" s="1"/>
  <c r="U765" i="1"/>
  <c r="S763" i="1"/>
  <c r="I701" i="2"/>
  <c r="K703" i="2"/>
  <c r="O618" i="2"/>
  <c r="L616" i="2"/>
  <c r="O616" i="2" s="1"/>
  <c r="Q601" i="2"/>
  <c r="T601" i="2" s="1"/>
  <c r="T604" i="2"/>
  <c r="Q602" i="2"/>
  <c r="T602" i="2" s="1"/>
  <c r="T600" i="2"/>
  <c r="M536" i="2"/>
  <c r="P536" i="2" s="1"/>
  <c r="P539" i="2"/>
  <c r="M537" i="2"/>
  <c r="P537" i="2" s="1"/>
  <c r="P521" i="2"/>
  <c r="M519" i="2"/>
  <c r="P519" i="2" s="1"/>
  <c r="P498" i="2"/>
  <c r="M496" i="2"/>
  <c r="P496" i="2" s="1"/>
  <c r="M495" i="2"/>
  <c r="P380" i="2"/>
  <c r="M377" i="2"/>
  <c r="P364" i="2"/>
  <c r="M362" i="2"/>
  <c r="P362" i="2" s="1"/>
  <c r="M358" i="2"/>
  <c r="S648" i="1"/>
  <c r="J654" i="1"/>
  <c r="P768" i="1"/>
  <c r="M762" i="1"/>
  <c r="P762" i="1" s="1"/>
  <c r="O762" i="2"/>
  <c r="L760" i="2"/>
  <c r="O760" i="2" s="1"/>
  <c r="T716" i="2"/>
  <c r="Q714" i="2"/>
  <c r="T714" i="2" s="1"/>
  <c r="P607" i="2"/>
  <c r="M601" i="2"/>
  <c r="U556" i="2"/>
  <c r="R555" i="2"/>
  <c r="U555" i="2" s="1"/>
  <c r="U393" i="2"/>
  <c r="I82" i="2"/>
  <c r="N62" i="1"/>
  <c r="I83" i="1"/>
  <c r="I71" i="1" s="1"/>
  <c r="K88" i="1"/>
  <c r="U101" i="1"/>
  <c r="S26" i="1"/>
  <c r="N119" i="1"/>
  <c r="L142" i="1"/>
  <c r="R142" i="1"/>
  <c r="T144" i="1"/>
  <c r="Q159" i="1"/>
  <c r="T159" i="1" s="1"/>
  <c r="O162" i="1"/>
  <c r="Q163" i="1"/>
  <c r="T163" i="1" s="1"/>
  <c r="P177" i="1"/>
  <c r="O191" i="1"/>
  <c r="Q222" i="1"/>
  <c r="K229" i="1"/>
  <c r="J185" i="1"/>
  <c r="N272" i="1"/>
  <c r="Q304" i="1"/>
  <c r="T304" i="1" s="1"/>
  <c r="R321" i="1"/>
  <c r="U321" i="1" s="1"/>
  <c r="S322" i="1"/>
  <c r="S320" i="1" s="1"/>
  <c r="O324" i="1"/>
  <c r="O325" i="1"/>
  <c r="J332" i="1"/>
  <c r="T364" i="1"/>
  <c r="U399" i="1"/>
  <c r="N414" i="1"/>
  <c r="J424" i="1"/>
  <c r="K424" i="1" s="1"/>
  <c r="R496" i="1"/>
  <c r="T538" i="1"/>
  <c r="S558" i="1"/>
  <c r="N582" i="1"/>
  <c r="N602" i="1"/>
  <c r="S643" i="1"/>
  <c r="S642" i="1" s="1"/>
  <c r="K744" i="1"/>
  <c r="P764" i="1"/>
  <c r="M763" i="1"/>
  <c r="P763" i="1" s="1"/>
  <c r="K783" i="1"/>
  <c r="T730" i="2"/>
  <c r="Q728" i="2"/>
  <c r="T643" i="2"/>
  <c r="M605" i="2"/>
  <c r="P605" i="2" s="1"/>
  <c r="P563" i="2"/>
  <c r="M561" i="2"/>
  <c r="P561" i="2" s="1"/>
  <c r="L536" i="2"/>
  <c r="O539" i="2"/>
  <c r="L537" i="2"/>
  <c r="O537" i="2" s="1"/>
  <c r="P535" i="2"/>
  <c r="M499" i="2"/>
  <c r="P499" i="2" s="1"/>
  <c r="O498" i="2"/>
  <c r="L496" i="2"/>
  <c r="O496" i="2" s="1"/>
  <c r="L495" i="2"/>
  <c r="P383" i="2"/>
  <c r="M381" i="2"/>
  <c r="P381" i="2" s="1"/>
  <c r="O364" i="2"/>
  <c r="L362" i="2"/>
  <c r="O362" i="2" s="1"/>
  <c r="N693" i="1"/>
  <c r="S692" i="1"/>
  <c r="N766" i="1"/>
  <c r="K774" i="1"/>
  <c r="K778" i="1"/>
  <c r="K781" i="1"/>
  <c r="T765" i="2"/>
  <c r="M578" i="2"/>
  <c r="M557" i="2"/>
  <c r="P557" i="2" s="1"/>
  <c r="M515" i="2"/>
  <c r="L516" i="2"/>
  <c r="O516" i="2" s="1"/>
  <c r="J503" i="2"/>
  <c r="J492" i="2" s="1"/>
  <c r="Q493" i="2"/>
  <c r="T494" i="2"/>
  <c r="I492" i="2"/>
  <c r="O414" i="2"/>
  <c r="R395" i="2"/>
  <c r="U395" i="2" s="1"/>
  <c r="R394" i="2"/>
  <c r="U394" i="2" s="1"/>
  <c r="U397" i="2"/>
  <c r="O383" i="2"/>
  <c r="L381" i="2"/>
  <c r="O381" i="2" s="1"/>
  <c r="O380" i="2"/>
  <c r="L378" i="2"/>
  <c r="R375" i="2"/>
  <c r="I365" i="2"/>
  <c r="K365" i="2" s="1"/>
  <c r="L358" i="2"/>
  <c r="J332" i="2"/>
  <c r="Q333" i="2"/>
  <c r="T333" i="2" s="1"/>
  <c r="R320" i="2"/>
  <c r="U320" i="2" s="1"/>
  <c r="U321" i="2"/>
  <c r="P304" i="2"/>
  <c r="L254" i="2"/>
  <c r="O254" i="2" s="1"/>
  <c r="S142" i="2"/>
  <c r="S141" i="2"/>
  <c r="S139" i="2" s="1"/>
  <c r="S23" i="2"/>
  <c r="S21" i="2" s="1"/>
  <c r="O125" i="2"/>
  <c r="L123" i="2"/>
  <c r="O123" i="2" s="1"/>
  <c r="L119" i="2"/>
  <c r="O119" i="2" s="1"/>
  <c r="N763" i="1"/>
  <c r="Q534" i="2"/>
  <c r="T534" i="2" s="1"/>
  <c r="U498" i="2"/>
  <c r="R496" i="2"/>
  <c r="U496" i="2" s="1"/>
  <c r="P418" i="2"/>
  <c r="M416" i="2"/>
  <c r="P416" i="2" s="1"/>
  <c r="Q394" i="2"/>
  <c r="T397" i="2"/>
  <c r="N392" i="2"/>
  <c r="Q375" i="2"/>
  <c r="T376" i="2"/>
  <c r="R145" i="2"/>
  <c r="U145" i="2" s="1"/>
  <c r="U147" i="2"/>
  <c r="N691" i="1"/>
  <c r="N690" i="1" s="1"/>
  <c r="R693" i="1"/>
  <c r="J702" i="1"/>
  <c r="R715" i="1"/>
  <c r="L717" i="1"/>
  <c r="O717" i="1" s="1"/>
  <c r="L720" i="1"/>
  <c r="O720" i="1" s="1"/>
  <c r="S720" i="1"/>
  <c r="L730" i="1"/>
  <c r="O730" i="1" s="1"/>
  <c r="K746" i="1"/>
  <c r="R761" i="1"/>
  <c r="R763" i="1"/>
  <c r="L766" i="1"/>
  <c r="O766" i="1" s="1"/>
  <c r="K626" i="2"/>
  <c r="K630" i="2"/>
  <c r="I615" i="2"/>
  <c r="K615" i="2" s="1"/>
  <c r="N578" i="2"/>
  <c r="N576" i="2" s="1"/>
  <c r="T498" i="2"/>
  <c r="Q496" i="2"/>
  <c r="T496" i="2" s="1"/>
  <c r="U414" i="2"/>
  <c r="M392" i="2"/>
  <c r="P392" i="2" s="1"/>
  <c r="P393" i="2"/>
  <c r="U380" i="2"/>
  <c r="R378" i="2"/>
  <c r="U378" i="2" s="1"/>
  <c r="P181" i="2"/>
  <c r="M179" i="2"/>
  <c r="P179" i="2" s="1"/>
  <c r="R691" i="1"/>
  <c r="U691" i="1" s="1"/>
  <c r="S693" i="1"/>
  <c r="T695" i="1"/>
  <c r="R696" i="1"/>
  <c r="U696" i="1" s="1"/>
  <c r="K707" i="1"/>
  <c r="U718" i="1"/>
  <c r="U721" i="1"/>
  <c r="N734" i="1"/>
  <c r="S730" i="1"/>
  <c r="T762" i="1"/>
  <c r="L763" i="1"/>
  <c r="O763" i="1" s="1"/>
  <c r="T765" i="1"/>
  <c r="U767" i="1"/>
  <c r="T621" i="2"/>
  <c r="S555" i="2"/>
  <c r="N536" i="2"/>
  <c r="N534" i="2" s="1"/>
  <c r="O521" i="2"/>
  <c r="K457" i="2"/>
  <c r="I456" i="2"/>
  <c r="K456" i="2" s="1"/>
  <c r="Q395" i="2"/>
  <c r="T395" i="2" s="1"/>
  <c r="L392" i="2"/>
  <c r="O392" i="2" s="1"/>
  <c r="O393" i="2"/>
  <c r="T380" i="2"/>
  <c r="Q378" i="2"/>
  <c r="T378" i="2" s="1"/>
  <c r="L377" i="2"/>
  <c r="N335" i="2"/>
  <c r="N333" i="2" s="1"/>
  <c r="O328" i="2"/>
  <c r="L326" i="2"/>
  <c r="O326" i="2" s="1"/>
  <c r="P267" i="2"/>
  <c r="L335" i="2"/>
  <c r="P290" i="2"/>
  <c r="M288" i="2"/>
  <c r="P288" i="2" s="1"/>
  <c r="P176" i="2"/>
  <c r="R142" i="2"/>
  <c r="U142" i="2" s="1"/>
  <c r="U144" i="2"/>
  <c r="R141" i="2"/>
  <c r="U141" i="2" s="1"/>
  <c r="M62" i="2"/>
  <c r="P64" i="2"/>
  <c r="M23" i="2"/>
  <c r="M61" i="2"/>
  <c r="P25" i="2"/>
  <c r="M19" i="2"/>
  <c r="K292" i="2"/>
  <c r="O290" i="2"/>
  <c r="L288" i="2"/>
  <c r="O288" i="2" s="1"/>
  <c r="M284" i="2"/>
  <c r="Q188" i="2"/>
  <c r="U178" i="2"/>
  <c r="R176" i="2"/>
  <c r="U176" i="2" s="1"/>
  <c r="R175" i="2"/>
  <c r="U175" i="2" s="1"/>
  <c r="O165" i="2"/>
  <c r="L163" i="2"/>
  <c r="O163" i="2" s="1"/>
  <c r="O162" i="2"/>
  <c r="L160" i="2"/>
  <c r="O160" i="2" s="1"/>
  <c r="L159" i="2"/>
  <c r="O159" i="2" s="1"/>
  <c r="O158" i="2"/>
  <c r="P147" i="2"/>
  <c r="M145" i="2"/>
  <c r="P145" i="2" s="1"/>
  <c r="M141" i="2"/>
  <c r="P141" i="2" s="1"/>
  <c r="N75" i="2"/>
  <c r="N74" i="2"/>
  <c r="N72" i="2" s="1"/>
  <c r="M65" i="2"/>
  <c r="N47" i="2"/>
  <c r="P47" i="2" s="1"/>
  <c r="N23" i="2"/>
  <c r="N46" i="2"/>
  <c r="N44" i="2" s="1"/>
  <c r="J343" i="2"/>
  <c r="L336" i="2"/>
  <c r="O336" i="2" s="1"/>
  <c r="S333" i="2"/>
  <c r="P325" i="2"/>
  <c r="M323" i="2"/>
  <c r="P323" i="2" s="1"/>
  <c r="P321" i="2"/>
  <c r="Q306" i="2"/>
  <c r="T306" i="2" s="1"/>
  <c r="K260" i="2"/>
  <c r="Q176" i="2"/>
  <c r="T176" i="2" s="1"/>
  <c r="Q175" i="2"/>
  <c r="T175" i="2" s="1"/>
  <c r="T178" i="2"/>
  <c r="R157" i="2"/>
  <c r="U157" i="2" s="1"/>
  <c r="U158" i="2"/>
  <c r="L145" i="2"/>
  <c r="O145" i="2" s="1"/>
  <c r="O147" i="2"/>
  <c r="U122" i="2"/>
  <c r="R120" i="2"/>
  <c r="U120" i="2" s="1"/>
  <c r="R119" i="2"/>
  <c r="M75" i="2"/>
  <c r="P75" i="2" s="1"/>
  <c r="P77" i="2"/>
  <c r="M74" i="2"/>
  <c r="O73" i="2"/>
  <c r="S19" i="2"/>
  <c r="R333" i="2"/>
  <c r="U333" i="2" s="1"/>
  <c r="O321" i="2"/>
  <c r="K209" i="2"/>
  <c r="I202" i="2"/>
  <c r="K202" i="2" s="1"/>
  <c r="Q192" i="2"/>
  <c r="T192" i="2" s="1"/>
  <c r="Q189" i="2"/>
  <c r="N175" i="2"/>
  <c r="N173" i="2" s="1"/>
  <c r="Q120" i="2"/>
  <c r="T120" i="2" s="1"/>
  <c r="Q119" i="2"/>
  <c r="T122" i="2"/>
  <c r="Q97" i="2"/>
  <c r="T97" i="2" s="1"/>
  <c r="Q96" i="2"/>
  <c r="T99" i="2"/>
  <c r="U73" i="2"/>
  <c r="Q59" i="2"/>
  <c r="T59" i="2" s="1"/>
  <c r="T60" i="2"/>
  <c r="M26" i="2"/>
  <c r="T19" i="2"/>
  <c r="U125" i="2"/>
  <c r="R123" i="2"/>
  <c r="U123" i="2" s="1"/>
  <c r="L26" i="2"/>
  <c r="N26" i="2"/>
  <c r="N24" i="2" s="1"/>
  <c r="L322" i="2"/>
  <c r="N305" i="2"/>
  <c r="N303" i="2" s="1"/>
  <c r="N284" i="2"/>
  <c r="N282" i="2" s="1"/>
  <c r="S268" i="2"/>
  <c r="U268" i="2" s="1"/>
  <c r="M268" i="2"/>
  <c r="N188" i="2"/>
  <c r="K183" i="2"/>
  <c r="O181" i="2"/>
  <c r="L179" i="2"/>
  <c r="O179" i="2" s="1"/>
  <c r="P178" i="2"/>
  <c r="O102" i="2"/>
  <c r="L100" i="2"/>
  <c r="O100" i="2" s="1"/>
  <c r="S26" i="2"/>
  <c r="S24" i="2" s="1"/>
  <c r="P22" i="2"/>
  <c r="K229" i="2"/>
  <c r="O178" i="2"/>
  <c r="L176" i="2"/>
  <c r="O176" i="2" s="1"/>
  <c r="U162" i="2"/>
  <c r="R160" i="2"/>
  <c r="U160" i="2" s="1"/>
  <c r="O122" i="2"/>
  <c r="L120" i="2"/>
  <c r="O120" i="2" s="1"/>
  <c r="O99" i="2"/>
  <c r="L97" i="2"/>
  <c r="O97" i="2" s="1"/>
  <c r="R94" i="2"/>
  <c r="U94" i="2" s="1"/>
  <c r="R26" i="2"/>
  <c r="R44" i="2"/>
  <c r="U44" i="2" s="1"/>
  <c r="O19" i="2"/>
  <c r="P144" i="2"/>
  <c r="M142" i="2"/>
  <c r="P142" i="2" s="1"/>
  <c r="U99" i="2"/>
  <c r="R97" i="2"/>
  <c r="U97" i="2" s="1"/>
  <c r="I83" i="2"/>
  <c r="Q26" i="2"/>
  <c r="T26" i="2" s="1"/>
  <c r="T73" i="2"/>
  <c r="U19" i="2"/>
  <c r="M175" i="2"/>
  <c r="M159" i="2"/>
  <c r="T144" i="2"/>
  <c r="M119" i="2"/>
  <c r="I93" i="2"/>
  <c r="K93" i="2" s="1"/>
  <c r="U80" i="2"/>
  <c r="Q78" i="2"/>
  <c r="T78" i="2" s="1"/>
  <c r="U77" i="2"/>
  <c r="O77" i="2"/>
  <c r="Q75" i="2"/>
  <c r="T75" i="2" s="1"/>
  <c r="N65" i="2"/>
  <c r="O65" i="2" s="1"/>
  <c r="O64" i="2"/>
  <c r="N50" i="2"/>
  <c r="O49" i="2"/>
  <c r="M46" i="2"/>
  <c r="R23" i="2"/>
  <c r="L23" i="2"/>
  <c r="T174" i="2"/>
  <c r="T158" i="2"/>
  <c r="U140" i="2"/>
  <c r="O140" i="2"/>
  <c r="Q23" i="2"/>
  <c r="T174" i="1"/>
  <c r="O267" i="1"/>
  <c r="L266" i="1"/>
  <c r="P63" i="1"/>
  <c r="M62" i="1"/>
  <c r="O177" i="1"/>
  <c r="L176" i="1"/>
  <c r="R336" i="1"/>
  <c r="U336" i="1" s="1"/>
  <c r="U337" i="1"/>
  <c r="R334" i="1"/>
  <c r="P383" i="1"/>
  <c r="M381" i="1"/>
  <c r="P381" i="1" s="1"/>
  <c r="M377" i="1"/>
  <c r="O420" i="1"/>
  <c r="L419" i="1"/>
  <c r="O419" i="1" s="1"/>
  <c r="M26" i="1"/>
  <c r="N74" i="1"/>
  <c r="O180" i="1"/>
  <c r="L179" i="1"/>
  <c r="O179" i="1" s="1"/>
  <c r="S179" i="1"/>
  <c r="I185" i="1"/>
  <c r="K185" i="1" s="1"/>
  <c r="T193" i="1"/>
  <c r="Q192" i="1"/>
  <c r="T192" i="1" s="1"/>
  <c r="K209" i="1"/>
  <c r="I202" i="1"/>
  <c r="K202" i="1" s="1"/>
  <c r="S336" i="1"/>
  <c r="S334" i="1"/>
  <c r="U379" i="1"/>
  <c r="R376" i="1"/>
  <c r="R378" i="1"/>
  <c r="U378" i="1" s="1"/>
  <c r="O518" i="1"/>
  <c r="L515" i="1"/>
  <c r="S23" i="1"/>
  <c r="P49" i="1"/>
  <c r="P76" i="1"/>
  <c r="M75" i="1"/>
  <c r="T98" i="1"/>
  <c r="Q97" i="1"/>
  <c r="P124" i="1"/>
  <c r="M123" i="1"/>
  <c r="S189" i="1"/>
  <c r="U270" i="1"/>
  <c r="R269" i="1"/>
  <c r="M288" i="1"/>
  <c r="P288" i="1" s="1"/>
  <c r="P289" i="1"/>
  <c r="T308" i="1"/>
  <c r="Q306" i="1"/>
  <c r="Q305" i="1"/>
  <c r="Q309" i="1"/>
  <c r="T309" i="1" s="1"/>
  <c r="L336" i="1"/>
  <c r="O337" i="1"/>
  <c r="L334" i="1"/>
  <c r="N357" i="1"/>
  <c r="N358" i="1"/>
  <c r="L414" i="1"/>
  <c r="S415" i="1"/>
  <c r="S413" i="1" s="1"/>
  <c r="T418" i="1"/>
  <c r="S416" i="1"/>
  <c r="U498" i="1"/>
  <c r="R495" i="1"/>
  <c r="M23" i="1"/>
  <c r="P45" i="1"/>
  <c r="M60" i="1"/>
  <c r="O64" i="1"/>
  <c r="P66" i="1"/>
  <c r="M65" i="1"/>
  <c r="S73" i="1"/>
  <c r="S72" i="1" s="1"/>
  <c r="L75" i="1"/>
  <c r="N75" i="1"/>
  <c r="R78" i="1"/>
  <c r="U78" i="1" s="1"/>
  <c r="I82" i="1"/>
  <c r="M97" i="1"/>
  <c r="L97" i="1"/>
  <c r="O97" i="1" s="1"/>
  <c r="R97" i="1"/>
  <c r="T99" i="1"/>
  <c r="S100" i="1"/>
  <c r="O102" i="1"/>
  <c r="L26" i="1"/>
  <c r="N118" i="1"/>
  <c r="R120" i="1"/>
  <c r="L123" i="1"/>
  <c r="N123" i="1"/>
  <c r="Q141" i="1"/>
  <c r="Q139" i="1" s="1"/>
  <c r="S142" i="1"/>
  <c r="M145" i="1"/>
  <c r="P145" i="1" s="1"/>
  <c r="L145" i="1"/>
  <c r="O145" i="1" s="1"/>
  <c r="R145" i="1"/>
  <c r="U145" i="1" s="1"/>
  <c r="R188" i="1"/>
  <c r="U188" i="1" s="1"/>
  <c r="I221" i="1"/>
  <c r="K221" i="1" s="1"/>
  <c r="S269" i="1"/>
  <c r="Q272" i="1"/>
  <c r="T272" i="1" s="1"/>
  <c r="U273" i="1"/>
  <c r="R272" i="1"/>
  <c r="U272" i="1" s="1"/>
  <c r="L284" i="1"/>
  <c r="O284" i="1" s="1"/>
  <c r="Q335" i="1"/>
  <c r="T335" i="1" s="1"/>
  <c r="P341" i="1"/>
  <c r="M339" i="1"/>
  <c r="N393" i="1"/>
  <c r="N392" i="1" s="1"/>
  <c r="Q395" i="1"/>
  <c r="T395" i="1" s="1"/>
  <c r="T396" i="1"/>
  <c r="Q393" i="1"/>
  <c r="O99" i="1"/>
  <c r="L23" i="1"/>
  <c r="I116" i="1"/>
  <c r="K116" i="1" s="1"/>
  <c r="K127" i="1"/>
  <c r="S176" i="1"/>
  <c r="U180" i="1"/>
  <c r="R179" i="1"/>
  <c r="U179" i="1" s="1"/>
  <c r="P273" i="1"/>
  <c r="M272" i="1"/>
  <c r="P272" i="1" s="1"/>
  <c r="S283" i="1"/>
  <c r="S285" i="1"/>
  <c r="M304" i="1"/>
  <c r="K314" i="1"/>
  <c r="I302" i="1"/>
  <c r="K302" i="1" s="1"/>
  <c r="U607" i="1"/>
  <c r="R605" i="1"/>
  <c r="U605" i="1" s="1"/>
  <c r="M22" i="1"/>
  <c r="M25" i="1"/>
  <c r="O49" i="1"/>
  <c r="S60" i="1"/>
  <c r="S59" i="1" s="1"/>
  <c r="R65" i="1"/>
  <c r="U65" i="1" s="1"/>
  <c r="U102" i="1"/>
  <c r="R26" i="1"/>
  <c r="O271" i="1"/>
  <c r="L285" i="1"/>
  <c r="L283" i="1"/>
  <c r="O286" i="1"/>
  <c r="O289" i="1"/>
  <c r="L288" i="1"/>
  <c r="O288" i="1" s="1"/>
  <c r="U361" i="1"/>
  <c r="R358" i="1"/>
  <c r="U358" i="1" s="1"/>
  <c r="R359" i="1"/>
  <c r="U359" i="1" s="1"/>
  <c r="U418" i="1"/>
  <c r="R416" i="1"/>
  <c r="R415" i="1"/>
  <c r="N25" i="1"/>
  <c r="S96" i="1"/>
  <c r="S94" i="1" s="1"/>
  <c r="L160" i="1"/>
  <c r="M192" i="1"/>
  <c r="P192" i="1" s="1"/>
  <c r="Q269" i="1"/>
  <c r="M283" i="1"/>
  <c r="P286" i="1"/>
  <c r="M285" i="1"/>
  <c r="N306" i="1"/>
  <c r="N304" i="1"/>
  <c r="T380" i="1"/>
  <c r="Q377" i="1"/>
  <c r="Q22" i="1"/>
  <c r="N23" i="1"/>
  <c r="R25" i="1"/>
  <c r="N60" i="1"/>
  <c r="P64" i="1"/>
  <c r="L65" i="1"/>
  <c r="N65" i="1"/>
  <c r="L73" i="1"/>
  <c r="I93" i="1"/>
  <c r="K93" i="1" s="1"/>
  <c r="M96" i="1"/>
  <c r="U99" i="1"/>
  <c r="R23" i="1"/>
  <c r="K136" i="1"/>
  <c r="R141" i="1"/>
  <c r="K172" i="1"/>
  <c r="R175" i="1"/>
  <c r="U175" i="1" s="1"/>
  <c r="T177" i="1"/>
  <c r="Q176" i="1"/>
  <c r="T176" i="1" s="1"/>
  <c r="T190" i="1"/>
  <c r="Q189" i="1"/>
  <c r="O270" i="1"/>
  <c r="L269" i="1"/>
  <c r="S272" i="1"/>
  <c r="M284" i="1"/>
  <c r="P284" i="1" s="1"/>
  <c r="S304" i="1"/>
  <c r="M306" i="1"/>
  <c r="P325" i="1"/>
  <c r="M322" i="1"/>
  <c r="U396" i="1"/>
  <c r="R393" i="1"/>
  <c r="R419" i="1"/>
  <c r="U419" i="1" s="1"/>
  <c r="K503" i="1"/>
  <c r="S578" i="1"/>
  <c r="S582" i="1"/>
  <c r="R60" i="1"/>
  <c r="T102" i="1"/>
  <c r="Q26" i="1"/>
  <c r="I168" i="1"/>
  <c r="I156" i="1"/>
  <c r="K156" i="1" s="1"/>
  <c r="T325" i="1"/>
  <c r="Q322" i="1"/>
  <c r="T322" i="1" s="1"/>
  <c r="T361" i="1"/>
  <c r="Q358" i="1"/>
  <c r="T421" i="1"/>
  <c r="Q415" i="1"/>
  <c r="T767" i="1"/>
  <c r="Q766" i="1"/>
  <c r="T766" i="1" s="1"/>
  <c r="Q23" i="1"/>
  <c r="K154" i="1"/>
  <c r="L159" i="1"/>
  <c r="M309" i="1"/>
  <c r="P309" i="1" s="1"/>
  <c r="U363" i="1"/>
  <c r="R362" i="1"/>
  <c r="U362" i="1" s="1"/>
  <c r="N22" i="1"/>
  <c r="L60" i="1"/>
  <c r="T140" i="1"/>
  <c r="T146" i="1"/>
  <c r="Q145" i="1"/>
  <c r="T145" i="1" s="1"/>
  <c r="K152" i="1"/>
  <c r="K167" i="1"/>
  <c r="O379" i="1"/>
  <c r="L378" i="1"/>
  <c r="L376" i="1"/>
  <c r="R22" i="1"/>
  <c r="S25" i="1"/>
  <c r="N46" i="1"/>
  <c r="M73" i="1"/>
  <c r="P79" i="1"/>
  <c r="M78" i="1"/>
  <c r="P78" i="1" s="1"/>
  <c r="Q95" i="1"/>
  <c r="T101" i="1"/>
  <c r="Q100" i="1"/>
  <c r="T100" i="1" s="1"/>
  <c r="R118" i="1"/>
  <c r="P121" i="1"/>
  <c r="M120" i="1"/>
  <c r="P120" i="1" s="1"/>
  <c r="T143" i="1"/>
  <c r="Q142" i="1"/>
  <c r="L174" i="1"/>
  <c r="U177" i="1"/>
  <c r="R176" i="1"/>
  <c r="U176" i="1" s="1"/>
  <c r="T180" i="1"/>
  <c r="Q179" i="1"/>
  <c r="T179" i="1" s="1"/>
  <c r="L188" i="1"/>
  <c r="L189" i="1"/>
  <c r="O189" i="1" s="1"/>
  <c r="R189" i="1"/>
  <c r="T191" i="1"/>
  <c r="N268" i="1"/>
  <c r="P270" i="1"/>
  <c r="M269" i="1"/>
  <c r="P271" i="1"/>
  <c r="O273" i="1"/>
  <c r="L272" i="1"/>
  <c r="O272" i="1" s="1"/>
  <c r="R285" i="1"/>
  <c r="U285" i="1" s="1"/>
  <c r="R283" i="1"/>
  <c r="T324" i="1"/>
  <c r="Q323" i="1"/>
  <c r="T323" i="1" s="1"/>
  <c r="Q321" i="1"/>
  <c r="T340" i="1"/>
  <c r="Q339" i="1"/>
  <c r="T339" i="1" s="1"/>
  <c r="Q334" i="1"/>
  <c r="O383" i="1"/>
  <c r="L381" i="1"/>
  <c r="O381" i="1" s="1"/>
  <c r="L377" i="1"/>
  <c r="P521" i="1"/>
  <c r="M515" i="1"/>
  <c r="Q283" i="1"/>
  <c r="Q288" i="1"/>
  <c r="T288" i="1" s="1"/>
  <c r="P337" i="1"/>
  <c r="M336" i="1"/>
  <c r="M334" i="1"/>
  <c r="K346" i="1"/>
  <c r="O361" i="1"/>
  <c r="L358" i="1"/>
  <c r="N378" i="1"/>
  <c r="N376" i="1"/>
  <c r="Q381" i="1"/>
  <c r="T381" i="1" s="1"/>
  <c r="T382" i="1"/>
  <c r="O418" i="1"/>
  <c r="L415" i="1"/>
  <c r="N515" i="1"/>
  <c r="N513" i="1" s="1"/>
  <c r="O542" i="1"/>
  <c r="L540" i="1"/>
  <c r="O540" i="1" s="1"/>
  <c r="M561" i="1"/>
  <c r="P561" i="1" s="1"/>
  <c r="P563" i="1"/>
  <c r="U600" i="1"/>
  <c r="P718" i="1"/>
  <c r="M717" i="1"/>
  <c r="P717" i="1" s="1"/>
  <c r="P721" i="1"/>
  <c r="M720" i="1"/>
  <c r="P720" i="1" s="1"/>
  <c r="P287" i="1"/>
  <c r="T327" i="1"/>
  <c r="Q326" i="1"/>
  <c r="T326" i="1" s="1"/>
  <c r="N335" i="1"/>
  <c r="L398" i="1"/>
  <c r="O398" i="1" s="1"/>
  <c r="O399" i="1"/>
  <c r="M415" i="1"/>
  <c r="P418" i="1"/>
  <c r="N419" i="1"/>
  <c r="U539" i="1"/>
  <c r="R536" i="1"/>
  <c r="M558" i="1"/>
  <c r="P558" i="1" s="1"/>
  <c r="P560" i="1"/>
  <c r="M557" i="1"/>
  <c r="M715" i="1"/>
  <c r="U289" i="1"/>
  <c r="R288" i="1"/>
  <c r="U288" i="1" s="1"/>
  <c r="K293" i="1"/>
  <c r="M326" i="1"/>
  <c r="L326" i="1"/>
  <c r="R326" i="1"/>
  <c r="U326" i="1" s="1"/>
  <c r="T337" i="1"/>
  <c r="Q336" i="1"/>
  <c r="T336" i="1" s="1"/>
  <c r="O338" i="1"/>
  <c r="O341" i="1"/>
  <c r="U383" i="1"/>
  <c r="R381" i="1"/>
  <c r="U381" i="1" s="1"/>
  <c r="K386" i="1"/>
  <c r="P397" i="1"/>
  <c r="M394" i="1"/>
  <c r="P394" i="1" s="1"/>
  <c r="P399" i="1"/>
  <c r="M398" i="1"/>
  <c r="P398" i="1" s="1"/>
  <c r="Q416" i="1"/>
  <c r="T417" i="1"/>
  <c r="Q414" i="1"/>
  <c r="J477" i="1"/>
  <c r="T514" i="1"/>
  <c r="Q513" i="1"/>
  <c r="T513" i="1" s="1"/>
  <c r="N516" i="1"/>
  <c r="N558" i="1"/>
  <c r="N557" i="1"/>
  <c r="T562" i="1"/>
  <c r="Q561" i="1"/>
  <c r="T561" i="1" s="1"/>
  <c r="M601" i="1"/>
  <c r="P604" i="1"/>
  <c r="L339" i="1"/>
  <c r="J485" i="1"/>
  <c r="T517" i="1"/>
  <c r="Q516" i="1"/>
  <c r="T516" i="1" s="1"/>
  <c r="U520" i="1"/>
  <c r="R519" i="1"/>
  <c r="U519" i="1" s="1"/>
  <c r="O539" i="1"/>
  <c r="L536" i="1"/>
  <c r="U559" i="1"/>
  <c r="R558" i="1"/>
  <c r="U558" i="1" s="1"/>
  <c r="R556" i="1"/>
  <c r="U560" i="1"/>
  <c r="R557" i="1"/>
  <c r="U557" i="1" s="1"/>
  <c r="U562" i="1"/>
  <c r="R561" i="1"/>
  <c r="U561" i="1" s="1"/>
  <c r="S579" i="1"/>
  <c r="S577" i="1"/>
  <c r="O584" i="1"/>
  <c r="L578" i="1"/>
  <c r="L619" i="1"/>
  <c r="O619" i="1" s="1"/>
  <c r="O621" i="1"/>
  <c r="L618" i="1"/>
  <c r="J726" i="1"/>
  <c r="K726" i="1" s="1"/>
  <c r="K742" i="1"/>
  <c r="J343" i="1"/>
  <c r="O380" i="1"/>
  <c r="K512" i="1"/>
  <c r="O520" i="1"/>
  <c r="L519" i="1"/>
  <c r="K524" i="1"/>
  <c r="O559" i="1"/>
  <c r="L558" i="1"/>
  <c r="O558" i="1" s="1"/>
  <c r="P580" i="1"/>
  <c r="M579" i="1"/>
  <c r="M582" i="1"/>
  <c r="P582" i="1" s="1"/>
  <c r="Q602" i="1"/>
  <c r="T602" i="1" s="1"/>
  <c r="Q600" i="1"/>
  <c r="T603" i="1"/>
  <c r="P621" i="1"/>
  <c r="M618" i="1"/>
  <c r="T694" i="1"/>
  <c r="Q693" i="1"/>
  <c r="P698" i="1"/>
  <c r="M692" i="1"/>
  <c r="P692" i="1" s="1"/>
  <c r="K703" i="1"/>
  <c r="J701" i="1"/>
  <c r="S731" i="1"/>
  <c r="S729" i="1"/>
  <c r="P736" i="1"/>
  <c r="M730" i="1"/>
  <c r="P730" i="1" s="1"/>
  <c r="P338" i="1"/>
  <c r="U340" i="1"/>
  <c r="K371" i="1"/>
  <c r="Q378" i="1"/>
  <c r="T378" i="1" s="1"/>
  <c r="N395" i="1"/>
  <c r="Q419" i="1"/>
  <c r="T419" i="1" s="1"/>
  <c r="O517" i="1"/>
  <c r="L516" i="1"/>
  <c r="O516" i="1" s="1"/>
  <c r="L514" i="1"/>
  <c r="L537" i="1"/>
  <c r="O537" i="1" s="1"/>
  <c r="Q540" i="1"/>
  <c r="T540" i="1" s="1"/>
  <c r="T542" i="1"/>
  <c r="S557" i="1"/>
  <c r="U603" i="1"/>
  <c r="R602" i="1"/>
  <c r="U602" i="1" s="1"/>
  <c r="T646" i="1"/>
  <c r="Q645" i="1"/>
  <c r="T645" i="1" s="1"/>
  <c r="Q643" i="1"/>
  <c r="Q691" i="1"/>
  <c r="P647" i="1"/>
  <c r="M644" i="1"/>
  <c r="P644" i="1" s="1"/>
  <c r="Q761" i="1"/>
  <c r="M519" i="1"/>
  <c r="O521" i="1"/>
  <c r="T559" i="1"/>
  <c r="Q558" i="1"/>
  <c r="T558" i="1" s="1"/>
  <c r="U584" i="1"/>
  <c r="R578" i="1"/>
  <c r="K587" i="1"/>
  <c r="I575" i="1"/>
  <c r="K575" i="1" s="1"/>
  <c r="S619" i="1"/>
  <c r="S618" i="1"/>
  <c r="S717" i="1"/>
  <c r="S715" i="1"/>
  <c r="S714" i="1" s="1"/>
  <c r="T732" i="1"/>
  <c r="Q731" i="1"/>
  <c r="Q729" i="1"/>
  <c r="P735" i="1"/>
  <c r="M734" i="1"/>
  <c r="P734" i="1" s="1"/>
  <c r="I484" i="1"/>
  <c r="K484" i="1" s="1"/>
  <c r="J475" i="1"/>
  <c r="Q499" i="1"/>
  <c r="T499" i="1" s="1"/>
  <c r="U517" i="1"/>
  <c r="R516" i="1"/>
  <c r="U516" i="1" s="1"/>
  <c r="T520" i="1"/>
  <c r="Q519" i="1"/>
  <c r="T519" i="1" s="1"/>
  <c r="O562" i="1"/>
  <c r="L561" i="1"/>
  <c r="O561" i="1" s="1"/>
  <c r="P584" i="1"/>
  <c r="M578" i="1"/>
  <c r="S599" i="1"/>
  <c r="R601" i="1"/>
  <c r="U601" i="1" s="1"/>
  <c r="T620" i="1"/>
  <c r="Q619" i="1"/>
  <c r="Q617" i="1"/>
  <c r="M729" i="1"/>
  <c r="U762" i="1"/>
  <c r="S760" i="1"/>
  <c r="S602" i="1"/>
  <c r="L605" i="1"/>
  <c r="O605" i="1" s="1"/>
  <c r="U646" i="1"/>
  <c r="R645" i="1"/>
  <c r="U645" i="1" s="1"/>
  <c r="P732" i="1"/>
  <c r="M731" i="1"/>
  <c r="P731" i="1" s="1"/>
  <c r="I758" i="1"/>
  <c r="K758" i="1" s="1"/>
  <c r="K772" i="1"/>
  <c r="M602" i="1"/>
  <c r="M622" i="1"/>
  <c r="P622" i="1" s="1"/>
  <c r="K629" i="1"/>
  <c r="K631" i="1"/>
  <c r="L644" i="1"/>
  <c r="O644" i="1" s="1"/>
  <c r="O646" i="1"/>
  <c r="L645" i="1"/>
  <c r="O645" i="1" s="1"/>
  <c r="U649" i="1"/>
  <c r="R648" i="1"/>
  <c r="U648" i="1" s="1"/>
  <c r="K653" i="1"/>
  <c r="S691" i="1"/>
  <c r="S696" i="1"/>
  <c r="J727" i="1"/>
  <c r="K727" i="1" s="1"/>
  <c r="K755" i="1"/>
  <c r="M766" i="1"/>
  <c r="P766" i="1" s="1"/>
  <c r="K780" i="1"/>
  <c r="S605" i="1"/>
  <c r="T621" i="1"/>
  <c r="M645" i="1"/>
  <c r="P645" i="1" s="1"/>
  <c r="O649" i="1"/>
  <c r="L648" i="1"/>
  <c r="O648" i="1" s="1"/>
  <c r="P694" i="1"/>
  <c r="M693" i="1"/>
  <c r="P693" i="1" s="1"/>
  <c r="P697" i="1"/>
  <c r="M696" i="1"/>
  <c r="P696" i="1" s="1"/>
  <c r="S734" i="1"/>
  <c r="T764" i="1"/>
  <c r="Q763" i="1"/>
  <c r="Q648" i="1"/>
  <c r="T648" i="1" s="1"/>
  <c r="L693" i="1"/>
  <c r="O693" i="1" s="1"/>
  <c r="J759" i="1"/>
  <c r="K759" i="1" s="1"/>
  <c r="K332" i="13" l="1"/>
  <c r="M555" i="14"/>
  <c r="P555" i="14" s="1"/>
  <c r="P358" i="3"/>
  <c r="P496" i="15"/>
  <c r="T731" i="13"/>
  <c r="U415" i="15"/>
  <c r="L493" i="14"/>
  <c r="O493" i="14" s="1"/>
  <c r="T415" i="15"/>
  <c r="L232" i="14"/>
  <c r="P96" i="15"/>
  <c r="O322" i="1"/>
  <c r="T268" i="11"/>
  <c r="L94" i="13"/>
  <c r="O94" i="13" s="1"/>
  <c r="U268" i="11"/>
  <c r="T693" i="13"/>
  <c r="T175" i="9"/>
  <c r="L157" i="13"/>
  <c r="O157" i="13" s="1"/>
  <c r="T728" i="14"/>
  <c r="U619" i="15"/>
  <c r="U96" i="14"/>
  <c r="U416" i="14"/>
  <c r="P495" i="15"/>
  <c r="T188" i="11"/>
  <c r="T416" i="14"/>
  <c r="M555" i="15"/>
  <c r="P555" i="15" s="1"/>
  <c r="M375" i="15"/>
  <c r="P375" i="15" s="1"/>
  <c r="O335" i="12"/>
  <c r="P159" i="15"/>
  <c r="O159" i="15"/>
  <c r="T96" i="14"/>
  <c r="U120" i="15"/>
  <c r="R392" i="12"/>
  <c r="U392" i="12" s="1"/>
  <c r="P322" i="13"/>
  <c r="L534" i="15"/>
  <c r="O534" i="15" s="1"/>
  <c r="L375" i="14"/>
  <c r="O375" i="14" s="1"/>
  <c r="M576" i="14"/>
  <c r="P576" i="14" s="1"/>
  <c r="U266" i="15"/>
  <c r="U728" i="15"/>
  <c r="U269" i="13"/>
  <c r="T306" i="13"/>
  <c r="O268" i="15"/>
  <c r="K83" i="13"/>
  <c r="P336" i="13"/>
  <c r="U306" i="13"/>
  <c r="P415" i="15"/>
  <c r="Q392" i="13"/>
  <c r="T392" i="13" s="1"/>
  <c r="Q760" i="15"/>
  <c r="T760" i="15" s="1"/>
  <c r="O188" i="15"/>
  <c r="T496" i="1"/>
  <c r="U266" i="12"/>
  <c r="L303" i="12"/>
  <c r="O303" i="12" s="1"/>
  <c r="K374" i="13"/>
  <c r="U303" i="9"/>
  <c r="U268" i="12"/>
  <c r="O322" i="15"/>
  <c r="U303" i="15"/>
  <c r="T303" i="8"/>
  <c r="T119" i="13"/>
  <c r="L157" i="15"/>
  <c r="O157" i="15" s="1"/>
  <c r="P157" i="14"/>
  <c r="L599" i="15"/>
  <c r="O599" i="15" s="1"/>
  <c r="R760" i="13"/>
  <c r="U760" i="13" s="1"/>
  <c r="P358" i="15"/>
  <c r="K374" i="6"/>
  <c r="M157" i="11"/>
  <c r="P157" i="11" s="1"/>
  <c r="T690" i="13"/>
  <c r="O160" i="15"/>
  <c r="L555" i="15"/>
  <c r="O555" i="15" s="1"/>
  <c r="Q117" i="13"/>
  <c r="T117" i="13" s="1"/>
  <c r="U413" i="14"/>
  <c r="P601" i="15"/>
  <c r="T74" i="15"/>
  <c r="U731" i="13"/>
  <c r="K374" i="15"/>
  <c r="U601" i="15"/>
  <c r="S303" i="1"/>
  <c r="M303" i="13"/>
  <c r="P303" i="13" s="1"/>
  <c r="U762" i="9"/>
  <c r="M117" i="12"/>
  <c r="P117" i="12" s="1"/>
  <c r="L232" i="13"/>
  <c r="M157" i="15"/>
  <c r="P157" i="15" s="1"/>
  <c r="P576" i="15"/>
  <c r="P96" i="14"/>
  <c r="O188" i="11"/>
  <c r="Q72" i="14"/>
  <c r="T72" i="14" s="1"/>
  <c r="L157" i="14"/>
  <c r="O157" i="14" s="1"/>
  <c r="T269" i="15"/>
  <c r="R616" i="15"/>
  <c r="U616" i="15" s="1"/>
  <c r="P188" i="15"/>
  <c r="U496" i="15"/>
  <c r="U692" i="15"/>
  <c r="L282" i="11"/>
  <c r="O282" i="11" s="1"/>
  <c r="O243" i="14"/>
  <c r="T378" i="14"/>
  <c r="M94" i="15"/>
  <c r="P94" i="15" s="1"/>
  <c r="T763" i="15"/>
  <c r="Q72" i="15"/>
  <c r="T72" i="15" s="1"/>
  <c r="T120" i="15"/>
  <c r="R760" i="15"/>
  <c r="U760" i="15" s="1"/>
  <c r="U269" i="15"/>
  <c r="U690" i="15"/>
  <c r="P188" i="11"/>
  <c r="R72" i="12"/>
  <c r="U72" i="12" s="1"/>
  <c r="T692" i="15"/>
  <c r="P46" i="13"/>
  <c r="O46" i="13"/>
  <c r="O493" i="13"/>
  <c r="O536" i="13"/>
  <c r="O176" i="14"/>
  <c r="O188" i="14"/>
  <c r="O74" i="15"/>
  <c r="M24" i="15"/>
  <c r="P24" i="15" s="1"/>
  <c r="T119" i="15"/>
  <c r="O415" i="15"/>
  <c r="M493" i="15"/>
  <c r="P493" i="15" s="1"/>
  <c r="O189" i="15"/>
  <c r="P322" i="15"/>
  <c r="U74" i="15"/>
  <c r="K701" i="15"/>
  <c r="U378" i="15"/>
  <c r="P61" i="9"/>
  <c r="P269" i="14"/>
  <c r="R760" i="14"/>
  <c r="U760" i="14" s="1"/>
  <c r="U142" i="15"/>
  <c r="T730" i="15"/>
  <c r="P578" i="15"/>
  <c r="T415" i="8"/>
  <c r="U377" i="12"/>
  <c r="L534" i="14"/>
  <c r="O534" i="14" s="1"/>
  <c r="S375" i="14"/>
  <c r="T375" i="14" s="1"/>
  <c r="U731" i="14"/>
  <c r="T306" i="15"/>
  <c r="M534" i="15"/>
  <c r="P534" i="15" s="1"/>
  <c r="P416" i="15"/>
  <c r="M513" i="13"/>
  <c r="P513" i="13" s="1"/>
  <c r="O119" i="14"/>
  <c r="K701" i="14"/>
  <c r="S20" i="15"/>
  <c r="S18" i="15" s="1"/>
  <c r="T413" i="15"/>
  <c r="O305" i="15"/>
  <c r="P139" i="15"/>
  <c r="U97" i="14"/>
  <c r="M320" i="14"/>
  <c r="P320" i="14" s="1"/>
  <c r="O335" i="15"/>
  <c r="P413" i="15"/>
  <c r="O46" i="4"/>
  <c r="P139" i="12"/>
  <c r="T415" i="13"/>
  <c r="K374" i="14"/>
  <c r="P46" i="15"/>
  <c r="T496" i="15"/>
  <c r="U306" i="15"/>
  <c r="P305" i="15"/>
  <c r="U730" i="15"/>
  <c r="U75" i="15"/>
  <c r="P189" i="15"/>
  <c r="R642" i="15"/>
  <c r="U642" i="15" s="1"/>
  <c r="P24" i="8"/>
  <c r="Q413" i="9"/>
  <c r="T413" i="9" s="1"/>
  <c r="K83" i="12"/>
  <c r="U377" i="13"/>
  <c r="O62" i="13"/>
  <c r="R72" i="13"/>
  <c r="U72" i="13" s="1"/>
  <c r="P46" i="14"/>
  <c r="P59" i="15"/>
  <c r="O266" i="15"/>
  <c r="N186" i="15"/>
  <c r="P186" i="15" s="1"/>
  <c r="K701" i="13"/>
  <c r="T692" i="14"/>
  <c r="U189" i="14"/>
  <c r="U188" i="14"/>
  <c r="M320" i="15"/>
  <c r="P320" i="15" s="1"/>
  <c r="T728" i="15"/>
  <c r="U72" i="15"/>
  <c r="T75" i="15"/>
  <c r="L303" i="13"/>
  <c r="O303" i="13" s="1"/>
  <c r="O141" i="15"/>
  <c r="O175" i="15"/>
  <c r="M117" i="15"/>
  <c r="P117" i="15" s="1"/>
  <c r="K374" i="12"/>
  <c r="U415" i="13"/>
  <c r="O141" i="14"/>
  <c r="O21" i="15"/>
  <c r="O173" i="15"/>
  <c r="U141" i="15"/>
  <c r="K82" i="15"/>
  <c r="I70" i="15"/>
  <c r="K70" i="15" s="1"/>
  <c r="I231" i="15"/>
  <c r="K242" i="15"/>
  <c r="P141" i="15"/>
  <c r="P303" i="15"/>
  <c r="Q157" i="8"/>
  <c r="T157" i="8" s="1"/>
  <c r="U619" i="14"/>
  <c r="Q20" i="15"/>
  <c r="T23" i="15"/>
  <c r="Q21" i="15"/>
  <c r="P23" i="15"/>
  <c r="M20" i="15"/>
  <c r="R24" i="15"/>
  <c r="U24" i="15" s="1"/>
  <c r="Q303" i="15"/>
  <c r="T303" i="15" s="1"/>
  <c r="T305" i="15"/>
  <c r="M266" i="15"/>
  <c r="P266" i="15" s="1"/>
  <c r="P268" i="15"/>
  <c r="P515" i="15"/>
  <c r="M513" i="15"/>
  <c r="P513" i="15" s="1"/>
  <c r="S21" i="15"/>
  <c r="U21" i="15" s="1"/>
  <c r="T188" i="15"/>
  <c r="Q186" i="15"/>
  <c r="T186" i="15" s="1"/>
  <c r="P335" i="15"/>
  <c r="L320" i="15"/>
  <c r="O320" i="15" s="1"/>
  <c r="L375" i="15"/>
  <c r="O375" i="15" s="1"/>
  <c r="O377" i="15"/>
  <c r="O284" i="15"/>
  <c r="L282" i="15"/>
  <c r="O282" i="15" s="1"/>
  <c r="R413" i="15"/>
  <c r="U413" i="15" s="1"/>
  <c r="L576" i="15"/>
  <c r="O576" i="15" s="1"/>
  <c r="O578" i="15"/>
  <c r="T377" i="15"/>
  <c r="Q375" i="15"/>
  <c r="T375" i="15" s="1"/>
  <c r="R186" i="10"/>
  <c r="U186" i="10" s="1"/>
  <c r="K374" i="11"/>
  <c r="T619" i="11"/>
  <c r="R375" i="12"/>
  <c r="U375" i="12" s="1"/>
  <c r="T377" i="12"/>
  <c r="T141" i="13"/>
  <c r="U493" i="13"/>
  <c r="U495" i="13"/>
  <c r="T693" i="12"/>
  <c r="O495" i="13"/>
  <c r="L282" i="14"/>
  <c r="O282" i="14" s="1"/>
  <c r="P415" i="14"/>
  <c r="L20" i="15"/>
  <c r="O23" i="15"/>
  <c r="T141" i="15"/>
  <c r="M21" i="15"/>
  <c r="P21" i="15" s="1"/>
  <c r="P61" i="15"/>
  <c r="U159" i="15"/>
  <c r="R157" i="15"/>
  <c r="U157" i="15" s="1"/>
  <c r="N72" i="15"/>
  <c r="O72" i="15" s="1"/>
  <c r="L44" i="15"/>
  <c r="O46" i="15"/>
  <c r="M44" i="15"/>
  <c r="S94" i="15"/>
  <c r="U94" i="15" s="1"/>
  <c r="R375" i="15"/>
  <c r="U375" i="15" s="1"/>
  <c r="U377" i="15"/>
  <c r="Q493" i="15"/>
  <c r="T493" i="15" s="1"/>
  <c r="P175" i="15"/>
  <c r="M173" i="15"/>
  <c r="P173" i="15" s="1"/>
  <c r="L232" i="15"/>
  <c r="U268" i="15"/>
  <c r="L94" i="15"/>
  <c r="O94" i="15" s="1"/>
  <c r="K503" i="15"/>
  <c r="Q616" i="15"/>
  <c r="T616" i="15" s="1"/>
  <c r="S20" i="13"/>
  <c r="S18" i="13" s="1"/>
  <c r="T495" i="13"/>
  <c r="M24" i="14"/>
  <c r="P24" i="14" s="1"/>
  <c r="O175" i="14"/>
  <c r="N186" i="14"/>
  <c r="P186" i="14" s="1"/>
  <c r="T188" i="14"/>
  <c r="R20" i="15"/>
  <c r="U23" i="15"/>
  <c r="U96" i="15"/>
  <c r="L59" i="15"/>
  <c r="O59" i="15" s="1"/>
  <c r="O61" i="15"/>
  <c r="N20" i="15"/>
  <c r="N18" i="15" s="1"/>
  <c r="L139" i="15"/>
  <c r="O139" i="15" s="1"/>
  <c r="U19" i="15"/>
  <c r="Q24" i="15"/>
  <c r="T24" i="15" s="1"/>
  <c r="T26" i="15"/>
  <c r="T268" i="15"/>
  <c r="Q266" i="15"/>
  <c r="T266" i="15" s="1"/>
  <c r="P333" i="15"/>
  <c r="U119" i="15"/>
  <c r="R117" i="15"/>
  <c r="U117" i="15" s="1"/>
  <c r="Q139" i="15"/>
  <c r="P176" i="15"/>
  <c r="L303" i="15"/>
  <c r="O303" i="15" s="1"/>
  <c r="O358" i="15"/>
  <c r="L356" i="15"/>
  <c r="T97" i="15"/>
  <c r="K492" i="15"/>
  <c r="P74" i="15"/>
  <c r="R392" i="15"/>
  <c r="U392" i="15" s="1"/>
  <c r="L513" i="15"/>
  <c r="O513" i="15" s="1"/>
  <c r="Q642" i="15"/>
  <c r="T642" i="15" s="1"/>
  <c r="U618" i="9"/>
  <c r="O46" i="10"/>
  <c r="P175" i="13"/>
  <c r="P495" i="13"/>
  <c r="P159" i="14"/>
  <c r="R72" i="14"/>
  <c r="U72" i="14" s="1"/>
  <c r="L576" i="14"/>
  <c r="O576" i="14" s="1"/>
  <c r="R642" i="14"/>
  <c r="U642" i="14" s="1"/>
  <c r="O268" i="14"/>
  <c r="S139" i="15"/>
  <c r="U139" i="15" s="1"/>
  <c r="I71" i="15"/>
  <c r="K71" i="15" s="1"/>
  <c r="K83" i="15"/>
  <c r="O119" i="15"/>
  <c r="L117" i="15"/>
  <c r="O117" i="15" s="1"/>
  <c r="P284" i="15"/>
  <c r="Q117" i="15"/>
  <c r="T117" i="15" s="1"/>
  <c r="L333" i="15"/>
  <c r="O333" i="15" s="1"/>
  <c r="L493" i="15"/>
  <c r="O493" i="15" s="1"/>
  <c r="O495" i="15"/>
  <c r="U188" i="15"/>
  <c r="R186" i="15"/>
  <c r="U186" i="15" s="1"/>
  <c r="N356" i="15"/>
  <c r="P356" i="15" s="1"/>
  <c r="K412" i="15"/>
  <c r="T601" i="15"/>
  <c r="Q599" i="15"/>
  <c r="T599" i="15" s="1"/>
  <c r="Q690" i="15"/>
  <c r="T690" i="15" s="1"/>
  <c r="U731" i="12"/>
  <c r="U693" i="14"/>
  <c r="O269" i="14"/>
  <c r="K332" i="14"/>
  <c r="L24" i="15"/>
  <c r="O24" i="15" s="1"/>
  <c r="J456" i="15"/>
  <c r="K456" i="15" s="1"/>
  <c r="K457" i="15"/>
  <c r="O323" i="15"/>
  <c r="M282" i="15"/>
  <c r="P282" i="15" s="1"/>
  <c r="O336" i="15"/>
  <c r="Q392" i="15"/>
  <c r="T392" i="15" s="1"/>
  <c r="L413" i="15"/>
  <c r="O413" i="15" s="1"/>
  <c r="K423" i="15"/>
  <c r="O333" i="13"/>
  <c r="U375" i="13"/>
  <c r="R94" i="14"/>
  <c r="U94" i="14" s="1"/>
  <c r="O335" i="14"/>
  <c r="P268" i="14"/>
  <c r="O413" i="14"/>
  <c r="T186" i="14"/>
  <c r="O415" i="14"/>
  <c r="T378" i="13"/>
  <c r="P96" i="13"/>
  <c r="P188" i="13"/>
  <c r="O268" i="13"/>
  <c r="O305" i="14"/>
  <c r="L303" i="14"/>
  <c r="O303" i="14" s="1"/>
  <c r="Q94" i="13"/>
  <c r="T94" i="13" s="1"/>
  <c r="S21" i="13"/>
  <c r="U21" i="13" s="1"/>
  <c r="U188" i="13"/>
  <c r="M72" i="14"/>
  <c r="P72" i="14" s="1"/>
  <c r="L173" i="14"/>
  <c r="O173" i="14" s="1"/>
  <c r="P94" i="14"/>
  <c r="P413" i="14"/>
  <c r="U618" i="14"/>
  <c r="R266" i="11"/>
  <c r="U266" i="11" s="1"/>
  <c r="M282" i="13"/>
  <c r="P282" i="13" s="1"/>
  <c r="M44" i="14"/>
  <c r="P44" i="14" s="1"/>
  <c r="U119" i="13"/>
  <c r="P119" i="14"/>
  <c r="M117" i="14"/>
  <c r="P117" i="14" s="1"/>
  <c r="R728" i="14"/>
  <c r="U728" i="14" s="1"/>
  <c r="L24" i="14"/>
  <c r="O24" i="14" s="1"/>
  <c r="L320" i="14"/>
  <c r="O320" i="14" s="1"/>
  <c r="P188" i="14"/>
  <c r="T731" i="14"/>
  <c r="P268" i="13"/>
  <c r="L72" i="14"/>
  <c r="O72" i="14" s="1"/>
  <c r="O74" i="14"/>
  <c r="P599" i="13"/>
  <c r="P601" i="13"/>
  <c r="Q20" i="14"/>
  <c r="Q18" i="14" s="1"/>
  <c r="T23" i="14"/>
  <c r="Q21" i="14"/>
  <c r="T21" i="14" s="1"/>
  <c r="L20" i="14"/>
  <c r="O23" i="14"/>
  <c r="L21" i="14"/>
  <c r="N21" i="14"/>
  <c r="P21" i="14" s="1"/>
  <c r="N20" i="14"/>
  <c r="N18" i="14" s="1"/>
  <c r="T159" i="14"/>
  <c r="Q157" i="14"/>
  <c r="T157" i="14" s="1"/>
  <c r="U394" i="14"/>
  <c r="R392" i="14"/>
  <c r="U392" i="14" s="1"/>
  <c r="I412" i="14"/>
  <c r="K412" i="14" s="1"/>
  <c r="K423" i="14"/>
  <c r="M282" i="11"/>
  <c r="P282" i="11" s="1"/>
  <c r="I231" i="13"/>
  <c r="M493" i="13"/>
  <c r="P493" i="13" s="1"/>
  <c r="U618" i="13"/>
  <c r="P23" i="14"/>
  <c r="M20" i="14"/>
  <c r="P59" i="14"/>
  <c r="L94" i="14"/>
  <c r="O94" i="14" s="1"/>
  <c r="S303" i="14"/>
  <c r="U303" i="14" s="1"/>
  <c r="O557" i="14"/>
  <c r="L555" i="14"/>
  <c r="O555" i="14" s="1"/>
  <c r="R24" i="14"/>
  <c r="U24" i="14" s="1"/>
  <c r="P358" i="14"/>
  <c r="M356" i="14"/>
  <c r="P356" i="14" s="1"/>
  <c r="T394" i="14"/>
  <c r="Q392" i="14"/>
  <c r="T392" i="14" s="1"/>
  <c r="R20" i="14"/>
  <c r="R18" i="14" s="1"/>
  <c r="U23" i="14"/>
  <c r="U762" i="12"/>
  <c r="M493" i="14"/>
  <c r="P493" i="14" s="1"/>
  <c r="O26" i="7"/>
  <c r="I70" i="11"/>
  <c r="K70" i="11" s="1"/>
  <c r="U693" i="11"/>
  <c r="T375" i="12"/>
  <c r="U189" i="12"/>
  <c r="U730" i="12"/>
  <c r="Q413" i="12"/>
  <c r="T413" i="12" s="1"/>
  <c r="O26" i="13"/>
  <c r="L117" i="13"/>
  <c r="O117" i="13" s="1"/>
  <c r="O335" i="13"/>
  <c r="P61" i="14"/>
  <c r="S20" i="14"/>
  <c r="S18" i="14" s="1"/>
  <c r="O46" i="14"/>
  <c r="L44" i="14"/>
  <c r="T26" i="14"/>
  <c r="Q24" i="14"/>
  <c r="T24" i="14" s="1"/>
  <c r="P175" i="14"/>
  <c r="M173" i="14"/>
  <c r="P173" i="14" s="1"/>
  <c r="K82" i="14"/>
  <c r="I70" i="14"/>
  <c r="K70" i="14" s="1"/>
  <c r="T119" i="14"/>
  <c r="Q117" i="14"/>
  <c r="T117" i="14" s="1"/>
  <c r="M282" i="14"/>
  <c r="P282" i="14" s="1"/>
  <c r="M303" i="14"/>
  <c r="P303" i="14" s="1"/>
  <c r="U19" i="14"/>
  <c r="L599" i="14"/>
  <c r="O599" i="14" s="1"/>
  <c r="S616" i="14"/>
  <c r="U616" i="14" s="1"/>
  <c r="P601" i="14"/>
  <c r="M599" i="14"/>
  <c r="P599" i="14" s="1"/>
  <c r="O61" i="14"/>
  <c r="L59" i="14"/>
  <c r="O59" i="14" s="1"/>
  <c r="T268" i="14"/>
  <c r="U268" i="14"/>
  <c r="O333" i="14"/>
  <c r="U692" i="14"/>
  <c r="R690" i="14"/>
  <c r="U690" i="14" s="1"/>
  <c r="U305" i="1"/>
  <c r="R157" i="10"/>
  <c r="U157" i="10" s="1"/>
  <c r="M94" i="12"/>
  <c r="P94" i="12" s="1"/>
  <c r="L72" i="12"/>
  <c r="O72" i="12" s="1"/>
  <c r="M555" i="12"/>
  <c r="P555" i="12" s="1"/>
  <c r="R117" i="13"/>
  <c r="U117" i="13" s="1"/>
  <c r="U139" i="13"/>
  <c r="L555" i="13"/>
  <c r="O555" i="13" s="1"/>
  <c r="O415" i="13"/>
  <c r="O322" i="13"/>
  <c r="O601" i="13"/>
  <c r="Q139" i="14"/>
  <c r="T139" i="14" s="1"/>
  <c r="K253" i="14"/>
  <c r="I231" i="14"/>
  <c r="U119" i="14"/>
  <c r="R117" i="14"/>
  <c r="U117" i="14" s="1"/>
  <c r="P515" i="14"/>
  <c r="M513" i="14"/>
  <c r="P513" i="14" s="1"/>
  <c r="R599" i="14"/>
  <c r="U599" i="14" s="1"/>
  <c r="N266" i="14"/>
  <c r="M266" i="14"/>
  <c r="M375" i="14"/>
  <c r="P375" i="14" s="1"/>
  <c r="L493" i="4"/>
  <c r="O493" i="4" s="1"/>
  <c r="P601" i="12"/>
  <c r="T19" i="14"/>
  <c r="S266" i="14"/>
  <c r="T266" i="14" s="1"/>
  <c r="K332" i="8"/>
  <c r="P61" i="11"/>
  <c r="M72" i="11"/>
  <c r="P72" i="11" s="1"/>
  <c r="M282" i="12"/>
  <c r="P282" i="12" s="1"/>
  <c r="R493" i="12"/>
  <c r="U493" i="12" s="1"/>
  <c r="K332" i="12"/>
  <c r="P24" i="13"/>
  <c r="U141" i="13"/>
  <c r="O189" i="13"/>
  <c r="O186" i="13"/>
  <c r="P359" i="13"/>
  <c r="O269" i="13"/>
  <c r="R642" i="13"/>
  <c r="U642" i="13" s="1"/>
  <c r="I70" i="13"/>
  <c r="K70" i="13" s="1"/>
  <c r="T618" i="13"/>
  <c r="O358" i="13"/>
  <c r="L513" i="13"/>
  <c r="O513" i="13" s="1"/>
  <c r="P602" i="13"/>
  <c r="Q94" i="14"/>
  <c r="T94" i="14" s="1"/>
  <c r="U141" i="14"/>
  <c r="R139" i="14"/>
  <c r="U139" i="14" s="1"/>
  <c r="I71" i="14"/>
  <c r="K71" i="14" s="1"/>
  <c r="K83" i="14"/>
  <c r="M139" i="14"/>
  <c r="P139" i="14" s="1"/>
  <c r="P335" i="14"/>
  <c r="P97" i="14"/>
  <c r="T305" i="14"/>
  <c r="P536" i="14"/>
  <c r="M534" i="14"/>
  <c r="P534" i="14" s="1"/>
  <c r="R21" i="14"/>
  <c r="U21" i="14" s="1"/>
  <c r="O358" i="14"/>
  <c r="L356" i="14"/>
  <c r="O356" i="14" s="1"/>
  <c r="O515" i="14"/>
  <c r="L513" i="14"/>
  <c r="O513" i="14" s="1"/>
  <c r="T601" i="14"/>
  <c r="Q599" i="14"/>
  <c r="T599" i="14" s="1"/>
  <c r="M333" i="14"/>
  <c r="P333" i="14" s="1"/>
  <c r="Q616" i="14"/>
  <c r="T618" i="14"/>
  <c r="Q690" i="14"/>
  <c r="T690" i="14" s="1"/>
  <c r="U186" i="14"/>
  <c r="M493" i="10"/>
  <c r="P493" i="10" s="1"/>
  <c r="P61" i="13"/>
  <c r="R303" i="13"/>
  <c r="U303" i="13" s="1"/>
  <c r="M266" i="13"/>
  <c r="P266" i="13" s="1"/>
  <c r="P333" i="13"/>
  <c r="L320" i="13"/>
  <c r="O320" i="13" s="1"/>
  <c r="M59" i="13"/>
  <c r="P59" i="13" s="1"/>
  <c r="L356" i="13"/>
  <c r="O356" i="13" s="1"/>
  <c r="T616" i="12"/>
  <c r="L266" i="13"/>
  <c r="O266" i="13" s="1"/>
  <c r="R413" i="13"/>
  <c r="U413" i="13" s="1"/>
  <c r="T619" i="13"/>
  <c r="T188" i="13"/>
  <c r="T415" i="6"/>
  <c r="U306" i="7"/>
  <c r="Q72" i="8"/>
  <c r="T72" i="8" s="1"/>
  <c r="P142" i="9"/>
  <c r="Q392" i="11"/>
  <c r="T392" i="11" s="1"/>
  <c r="M513" i="11"/>
  <c r="P513" i="11" s="1"/>
  <c r="U690" i="11"/>
  <c r="K701" i="11"/>
  <c r="O61" i="13"/>
  <c r="M375" i="13"/>
  <c r="P375" i="13" s="1"/>
  <c r="P94" i="13"/>
  <c r="Q413" i="13"/>
  <c r="T413" i="13" s="1"/>
  <c r="U189" i="13"/>
  <c r="L599" i="13"/>
  <c r="O599" i="13" s="1"/>
  <c r="O359" i="13"/>
  <c r="R599" i="13"/>
  <c r="U599" i="13" s="1"/>
  <c r="O175" i="13"/>
  <c r="L157" i="4"/>
  <c r="O157" i="4" s="1"/>
  <c r="L493" i="8"/>
  <c r="O493" i="8" s="1"/>
  <c r="M555" i="11"/>
  <c r="P555" i="11" s="1"/>
  <c r="L555" i="12"/>
  <c r="O555" i="12" s="1"/>
  <c r="T731" i="12"/>
  <c r="R186" i="13"/>
  <c r="U186" i="13" s="1"/>
  <c r="P335" i="13"/>
  <c r="O188" i="13"/>
  <c r="M157" i="13"/>
  <c r="P157" i="13" s="1"/>
  <c r="P159" i="13"/>
  <c r="P119" i="13"/>
  <c r="M117" i="13"/>
  <c r="P117" i="13" s="1"/>
  <c r="T74" i="9"/>
  <c r="P96" i="10"/>
  <c r="Q493" i="10"/>
  <c r="T493" i="10" s="1"/>
  <c r="Q599" i="11"/>
  <c r="T599" i="11" s="1"/>
  <c r="Q157" i="12"/>
  <c r="T157" i="12" s="1"/>
  <c r="O602" i="12"/>
  <c r="T692" i="12"/>
  <c r="T74" i="13"/>
  <c r="L72" i="13"/>
  <c r="O72" i="13" s="1"/>
  <c r="T266" i="13"/>
  <c r="Q493" i="13"/>
  <c r="T493" i="13" s="1"/>
  <c r="R616" i="13"/>
  <c r="U616" i="13" s="1"/>
  <c r="U266" i="13"/>
  <c r="P557" i="7"/>
  <c r="O358" i="6"/>
  <c r="O21" i="13"/>
  <c r="P21" i="13"/>
  <c r="M356" i="13"/>
  <c r="P356" i="13" s="1"/>
  <c r="P358" i="13"/>
  <c r="P141" i="13"/>
  <c r="M139" i="13"/>
  <c r="P139" i="13" s="1"/>
  <c r="T305" i="8"/>
  <c r="R72" i="10"/>
  <c r="U72" i="10" s="1"/>
  <c r="R392" i="10"/>
  <c r="U392" i="10" s="1"/>
  <c r="U120" i="11"/>
  <c r="L303" i="11"/>
  <c r="O303" i="11" s="1"/>
  <c r="U139" i="12"/>
  <c r="M493" i="12"/>
  <c r="P493" i="12" s="1"/>
  <c r="T188" i="12"/>
  <c r="O377" i="12"/>
  <c r="M513" i="12"/>
  <c r="P513" i="12" s="1"/>
  <c r="T189" i="12"/>
  <c r="L20" i="13"/>
  <c r="O23" i="13"/>
  <c r="N20" i="13"/>
  <c r="N18" i="13" s="1"/>
  <c r="R94" i="13"/>
  <c r="U94" i="13" s="1"/>
  <c r="Q139" i="13"/>
  <c r="T139" i="13" s="1"/>
  <c r="L59" i="13"/>
  <c r="O59" i="13" s="1"/>
  <c r="P269" i="13"/>
  <c r="K492" i="13"/>
  <c r="P186" i="13"/>
  <c r="R392" i="13"/>
  <c r="U392" i="13" s="1"/>
  <c r="T601" i="13"/>
  <c r="Q599" i="13"/>
  <c r="T599" i="13" s="1"/>
  <c r="P378" i="1"/>
  <c r="O326" i="1"/>
  <c r="L320" i="10"/>
  <c r="O320" i="10" s="1"/>
  <c r="P142" i="12"/>
  <c r="R20" i="13"/>
  <c r="U23" i="13"/>
  <c r="M72" i="13"/>
  <c r="P72" i="13" s="1"/>
  <c r="L44" i="13"/>
  <c r="P23" i="13"/>
  <c r="M20" i="13"/>
  <c r="R18" i="13"/>
  <c r="U19" i="13"/>
  <c r="Q173" i="13"/>
  <c r="T173" i="13" s="1"/>
  <c r="T375" i="13"/>
  <c r="K503" i="13"/>
  <c r="L375" i="13"/>
  <c r="O375" i="13" s="1"/>
  <c r="M576" i="13"/>
  <c r="P576" i="13" s="1"/>
  <c r="O141" i="13"/>
  <c r="L139" i="13"/>
  <c r="O139" i="13" s="1"/>
  <c r="L282" i="13"/>
  <c r="O282" i="13" s="1"/>
  <c r="P326" i="1"/>
  <c r="Q493" i="6"/>
  <c r="T493" i="6" s="1"/>
  <c r="U141" i="9"/>
  <c r="O61" i="12"/>
  <c r="L24" i="13"/>
  <c r="O24" i="13" s="1"/>
  <c r="T26" i="13"/>
  <c r="Q24" i="13"/>
  <c r="T24" i="13" s="1"/>
  <c r="J456" i="13"/>
  <c r="K456" i="13" s="1"/>
  <c r="K457" i="13"/>
  <c r="L576" i="13"/>
  <c r="O576" i="13" s="1"/>
  <c r="O578" i="13"/>
  <c r="Q616" i="13"/>
  <c r="T616" i="13" s="1"/>
  <c r="U730" i="13"/>
  <c r="R728" i="13"/>
  <c r="U728" i="13" s="1"/>
  <c r="M555" i="13"/>
  <c r="P555" i="13" s="1"/>
  <c r="T186" i="13"/>
  <c r="Q413" i="10"/>
  <c r="T413" i="10" s="1"/>
  <c r="Q599" i="10"/>
  <c r="T599" i="10" s="1"/>
  <c r="P65" i="12"/>
  <c r="T394" i="12"/>
  <c r="M599" i="12"/>
  <c r="P599" i="12" s="1"/>
  <c r="M576" i="12"/>
  <c r="P576" i="12" s="1"/>
  <c r="T19" i="13"/>
  <c r="P26" i="13"/>
  <c r="M44" i="13"/>
  <c r="T269" i="13"/>
  <c r="U175" i="13"/>
  <c r="R173" i="13"/>
  <c r="U173" i="13" s="1"/>
  <c r="P415" i="13"/>
  <c r="M413" i="13"/>
  <c r="P413" i="13" s="1"/>
  <c r="R24" i="13"/>
  <c r="U24" i="13" s="1"/>
  <c r="U159" i="13"/>
  <c r="R157" i="13"/>
  <c r="U157" i="13" s="1"/>
  <c r="M320" i="13"/>
  <c r="P320" i="13" s="1"/>
  <c r="R690" i="13"/>
  <c r="U690" i="13" s="1"/>
  <c r="T728" i="13"/>
  <c r="M534" i="13"/>
  <c r="P534" i="13" s="1"/>
  <c r="O599" i="5"/>
  <c r="T141" i="7"/>
  <c r="O413" i="11"/>
  <c r="P26" i="12"/>
  <c r="Q20" i="13"/>
  <c r="T23" i="13"/>
  <c r="Q21" i="13"/>
  <c r="U97" i="13"/>
  <c r="N173" i="13"/>
  <c r="P173" i="13" s="1"/>
  <c r="K423" i="13"/>
  <c r="I412" i="13"/>
  <c r="K412" i="13" s="1"/>
  <c r="T159" i="13"/>
  <c r="Q157" i="13"/>
  <c r="T157" i="13" s="1"/>
  <c r="Q642" i="13"/>
  <c r="T642" i="13" s="1"/>
  <c r="O413" i="13"/>
  <c r="O59" i="12"/>
  <c r="O266" i="12"/>
  <c r="O358" i="12"/>
  <c r="R642" i="12"/>
  <c r="U642" i="12" s="1"/>
  <c r="L320" i="9"/>
  <c r="O320" i="9" s="1"/>
  <c r="T119" i="10"/>
  <c r="M139" i="10"/>
  <c r="P139" i="10" s="1"/>
  <c r="L157" i="10"/>
  <c r="O157" i="10" s="1"/>
  <c r="U269" i="10"/>
  <c r="I231" i="11"/>
  <c r="K231" i="11" s="1"/>
  <c r="O175" i="12"/>
  <c r="P159" i="12"/>
  <c r="P141" i="12"/>
  <c r="O495" i="12"/>
  <c r="L493" i="12"/>
  <c r="O493" i="12" s="1"/>
  <c r="T728" i="12"/>
  <c r="P141" i="9"/>
  <c r="L303" i="10"/>
  <c r="O303" i="10" s="1"/>
  <c r="M186" i="11"/>
  <c r="P186" i="11" s="1"/>
  <c r="T119" i="11"/>
  <c r="L117" i="12"/>
  <c r="O117" i="12" s="1"/>
  <c r="O186" i="12"/>
  <c r="O268" i="12"/>
  <c r="L413" i="12"/>
  <c r="O413" i="12" s="1"/>
  <c r="U728" i="12"/>
  <c r="Q303" i="12"/>
  <c r="T303" i="12" s="1"/>
  <c r="P339" i="12"/>
  <c r="Q72" i="12"/>
  <c r="T72" i="12" s="1"/>
  <c r="R157" i="7"/>
  <c r="U157" i="7" s="1"/>
  <c r="T186" i="8"/>
  <c r="O333" i="11"/>
  <c r="U731" i="11"/>
  <c r="U117" i="12"/>
  <c r="M303" i="12"/>
  <c r="P303" i="12" s="1"/>
  <c r="P186" i="12"/>
  <c r="P358" i="12"/>
  <c r="T618" i="12"/>
  <c r="T730" i="12"/>
  <c r="Q599" i="12"/>
  <c r="T599" i="12" s="1"/>
  <c r="R157" i="8"/>
  <c r="U157" i="8" s="1"/>
  <c r="K701" i="9"/>
  <c r="Q266" i="11"/>
  <c r="T266" i="11" s="1"/>
  <c r="M117" i="11"/>
  <c r="P117" i="11" s="1"/>
  <c r="U119" i="12"/>
  <c r="T142" i="12"/>
  <c r="P189" i="12"/>
  <c r="M413" i="12"/>
  <c r="P413" i="12" s="1"/>
  <c r="M356" i="12"/>
  <c r="P356" i="12" s="1"/>
  <c r="Q493" i="12"/>
  <c r="T493" i="12" s="1"/>
  <c r="M534" i="12"/>
  <c r="P534" i="12" s="1"/>
  <c r="M173" i="12"/>
  <c r="P173" i="12" s="1"/>
  <c r="P175" i="12"/>
  <c r="N40" i="12"/>
  <c r="P173" i="10"/>
  <c r="T19" i="12"/>
  <c r="O44" i="12"/>
  <c r="O159" i="12"/>
  <c r="L157" i="12"/>
  <c r="O157" i="12" s="1"/>
  <c r="R616" i="12"/>
  <c r="U616" i="12" s="1"/>
  <c r="U618" i="12"/>
  <c r="R303" i="6"/>
  <c r="U303" i="6" s="1"/>
  <c r="M157" i="9"/>
  <c r="P157" i="9" s="1"/>
  <c r="P61" i="10"/>
  <c r="P175" i="10"/>
  <c r="M576" i="10"/>
  <c r="P576" i="10" s="1"/>
  <c r="R24" i="11"/>
  <c r="U24" i="11" s="1"/>
  <c r="S303" i="11"/>
  <c r="U303" i="11" s="1"/>
  <c r="M94" i="11"/>
  <c r="P94" i="11" s="1"/>
  <c r="L576" i="11"/>
  <c r="O576" i="11" s="1"/>
  <c r="T693" i="11"/>
  <c r="M72" i="12"/>
  <c r="P72" i="12" s="1"/>
  <c r="P74" i="12"/>
  <c r="P23" i="12"/>
  <c r="M20" i="12"/>
  <c r="M18" i="12" s="1"/>
  <c r="T141" i="12"/>
  <c r="O46" i="12"/>
  <c r="R173" i="12"/>
  <c r="U173" i="12" s="1"/>
  <c r="P268" i="12"/>
  <c r="M266" i="12"/>
  <c r="P266" i="12" s="1"/>
  <c r="K701" i="12"/>
  <c r="M59" i="12"/>
  <c r="P59" i="12" s="1"/>
  <c r="P61" i="12"/>
  <c r="R24" i="12"/>
  <c r="U24" i="12" s="1"/>
  <c r="U26" i="12"/>
  <c r="U74" i="7"/>
  <c r="U495" i="9"/>
  <c r="O189" i="10"/>
  <c r="N59" i="11"/>
  <c r="P59" i="11" s="1"/>
  <c r="Q20" i="12"/>
  <c r="T23" i="12"/>
  <c r="Q21" i="12"/>
  <c r="T21" i="12" s="1"/>
  <c r="S20" i="12"/>
  <c r="S18" i="12" s="1"/>
  <c r="M24" i="12"/>
  <c r="P24" i="12" s="1"/>
  <c r="L94" i="12"/>
  <c r="O94" i="12" s="1"/>
  <c r="P19" i="12"/>
  <c r="L24" i="12"/>
  <c r="O24" i="12" s="1"/>
  <c r="O26" i="12"/>
  <c r="P188" i="12"/>
  <c r="R690" i="12"/>
  <c r="U690" i="12" s="1"/>
  <c r="L513" i="12"/>
  <c r="O513" i="12" s="1"/>
  <c r="Q642" i="12"/>
  <c r="T642" i="12" s="1"/>
  <c r="T644" i="12"/>
  <c r="L576" i="12"/>
  <c r="O576" i="12" s="1"/>
  <c r="O578" i="12"/>
  <c r="T731" i="6"/>
  <c r="T416" i="6"/>
  <c r="U415" i="11"/>
  <c r="T413" i="11"/>
  <c r="L21" i="12"/>
  <c r="L20" i="12"/>
  <c r="O23" i="12"/>
  <c r="K82" i="12"/>
  <c r="I70" i="12"/>
  <c r="K70" i="12" s="1"/>
  <c r="L232" i="12"/>
  <c r="O243" i="12"/>
  <c r="K242" i="12"/>
  <c r="I231" i="12"/>
  <c r="U188" i="12"/>
  <c r="S186" i="12"/>
  <c r="T186" i="12" s="1"/>
  <c r="O536" i="12"/>
  <c r="L534" i="12"/>
  <c r="O534" i="12" s="1"/>
  <c r="R157" i="12"/>
  <c r="U157" i="12" s="1"/>
  <c r="K332" i="10"/>
  <c r="L320" i="11"/>
  <c r="O320" i="11" s="1"/>
  <c r="P188" i="10"/>
  <c r="R21" i="12"/>
  <c r="U21" i="12" s="1"/>
  <c r="R20" i="12"/>
  <c r="U23" i="12"/>
  <c r="Q94" i="12"/>
  <c r="T94" i="12" s="1"/>
  <c r="T96" i="12"/>
  <c r="M21" i="12"/>
  <c r="L139" i="12"/>
  <c r="O139" i="12" s="1"/>
  <c r="O141" i="12"/>
  <c r="Q139" i="12"/>
  <c r="T139" i="12" s="1"/>
  <c r="R94" i="12"/>
  <c r="U94" i="12" s="1"/>
  <c r="T26" i="12"/>
  <c r="Q24" i="12"/>
  <c r="T24" i="12" s="1"/>
  <c r="P335" i="12"/>
  <c r="M333" i="12"/>
  <c r="P333" i="12" s="1"/>
  <c r="L333" i="12"/>
  <c r="O333" i="12" s="1"/>
  <c r="L599" i="12"/>
  <c r="O599" i="12" s="1"/>
  <c r="O601" i="12"/>
  <c r="L320" i="12"/>
  <c r="O320" i="12" s="1"/>
  <c r="L356" i="12"/>
  <c r="O356" i="12" s="1"/>
  <c r="R413" i="12"/>
  <c r="U413" i="12" s="1"/>
  <c r="T619" i="5"/>
  <c r="L72" i="10"/>
  <c r="O72" i="10" s="1"/>
  <c r="M513" i="10"/>
  <c r="P513" i="10" s="1"/>
  <c r="O176" i="11"/>
  <c r="L186" i="11"/>
  <c r="O186" i="11" s="1"/>
  <c r="O266" i="11"/>
  <c r="U188" i="11"/>
  <c r="M44" i="12"/>
  <c r="P46" i="12"/>
  <c r="Q117" i="12"/>
  <c r="T117" i="12" s="1"/>
  <c r="T119" i="12"/>
  <c r="N21" i="12"/>
  <c r="N20" i="12"/>
  <c r="N18" i="12" s="1"/>
  <c r="Q173" i="12"/>
  <c r="T173" i="12" s="1"/>
  <c r="T175" i="12"/>
  <c r="U141" i="12"/>
  <c r="O188" i="12"/>
  <c r="O284" i="12"/>
  <c r="L282" i="12"/>
  <c r="O282" i="12" s="1"/>
  <c r="L173" i="12"/>
  <c r="O173" i="12" s="1"/>
  <c r="Q266" i="12"/>
  <c r="T266" i="12" s="1"/>
  <c r="T268" i="12"/>
  <c r="M375" i="12"/>
  <c r="P375" i="12" s="1"/>
  <c r="I412" i="12"/>
  <c r="K412" i="12" s="1"/>
  <c r="K423" i="12"/>
  <c r="R599" i="12"/>
  <c r="U599" i="12" s="1"/>
  <c r="U601" i="12"/>
  <c r="T762" i="12"/>
  <c r="S760" i="12"/>
  <c r="L599" i="8"/>
  <c r="O599" i="8" s="1"/>
  <c r="L94" i="9"/>
  <c r="O94" i="9" s="1"/>
  <c r="P188" i="9"/>
  <c r="Q94" i="10"/>
  <c r="T94" i="10" s="1"/>
  <c r="P62" i="10"/>
  <c r="P119" i="10"/>
  <c r="L413" i="10"/>
  <c r="O413" i="10" s="1"/>
  <c r="P189" i="10"/>
  <c r="K374" i="10"/>
  <c r="K242" i="10"/>
  <c r="U119" i="9"/>
  <c r="P46" i="11"/>
  <c r="O415" i="11"/>
  <c r="T378" i="11"/>
  <c r="T26" i="11"/>
  <c r="T74" i="11"/>
  <c r="Q72" i="11"/>
  <c r="T72" i="11" s="1"/>
  <c r="U378" i="10"/>
  <c r="L375" i="11"/>
  <c r="O375" i="11" s="1"/>
  <c r="O377" i="11"/>
  <c r="R413" i="11"/>
  <c r="U413" i="11" s="1"/>
  <c r="M599" i="11"/>
  <c r="P599" i="11" s="1"/>
  <c r="L24" i="11"/>
  <c r="O24" i="11" s="1"/>
  <c r="L139" i="11"/>
  <c r="O139" i="11" s="1"/>
  <c r="P322" i="11"/>
  <c r="M320" i="11"/>
  <c r="P320" i="11" s="1"/>
  <c r="Q24" i="10"/>
  <c r="T24" i="10" s="1"/>
  <c r="O358" i="10"/>
  <c r="R616" i="10"/>
  <c r="U616" i="10" s="1"/>
  <c r="P269" i="10"/>
  <c r="M139" i="11"/>
  <c r="P139" i="11" s="1"/>
  <c r="L513" i="11"/>
  <c r="O513" i="11" s="1"/>
  <c r="R375" i="11"/>
  <c r="U375" i="11" s="1"/>
  <c r="U377" i="11"/>
  <c r="Q139" i="11"/>
  <c r="T139" i="11" s="1"/>
  <c r="T141" i="11"/>
  <c r="R392" i="11"/>
  <c r="U392" i="11" s="1"/>
  <c r="Q616" i="11"/>
  <c r="T616" i="11" s="1"/>
  <c r="Q94" i="9"/>
  <c r="T94" i="9" s="1"/>
  <c r="R413" i="10"/>
  <c r="U413" i="10" s="1"/>
  <c r="P336" i="10"/>
  <c r="Q642" i="10"/>
  <c r="T642" i="10" s="1"/>
  <c r="M186" i="10"/>
  <c r="P186" i="10" s="1"/>
  <c r="P358" i="11"/>
  <c r="U305" i="11"/>
  <c r="O358" i="11"/>
  <c r="M375" i="11"/>
  <c r="P375" i="11" s="1"/>
  <c r="M493" i="11"/>
  <c r="P493" i="11" s="1"/>
  <c r="T415" i="11"/>
  <c r="O74" i="11"/>
  <c r="L72" i="11"/>
  <c r="O72" i="11" s="1"/>
  <c r="O268" i="11"/>
  <c r="L20" i="11"/>
  <c r="O23" i="11"/>
  <c r="P415" i="11"/>
  <c r="M413" i="11"/>
  <c r="P413" i="11" s="1"/>
  <c r="L21" i="11"/>
  <c r="O21" i="11" s="1"/>
  <c r="T117" i="11"/>
  <c r="P268" i="11"/>
  <c r="M266" i="11"/>
  <c r="P266" i="11" s="1"/>
  <c r="P175" i="11"/>
  <c r="R493" i="11"/>
  <c r="U493" i="11" s="1"/>
  <c r="U495" i="11"/>
  <c r="L555" i="11"/>
  <c r="O555" i="11" s="1"/>
  <c r="O557" i="11"/>
  <c r="U416" i="8"/>
  <c r="U117" i="9"/>
  <c r="O305" i="9"/>
  <c r="U188" i="9"/>
  <c r="Q72" i="10"/>
  <c r="T72" i="10" s="1"/>
  <c r="T377" i="10"/>
  <c r="L555" i="10"/>
  <c r="O555" i="10" s="1"/>
  <c r="O335" i="10"/>
  <c r="P305" i="10"/>
  <c r="P335" i="10"/>
  <c r="S20" i="11"/>
  <c r="S18" i="11" s="1"/>
  <c r="N20" i="11"/>
  <c r="N18" i="11" s="1"/>
  <c r="O46" i="11"/>
  <c r="L44" i="11"/>
  <c r="R94" i="11"/>
  <c r="U94" i="11" s="1"/>
  <c r="Q157" i="11"/>
  <c r="T157" i="11" s="1"/>
  <c r="M303" i="11"/>
  <c r="P303" i="11" s="1"/>
  <c r="R157" i="11"/>
  <c r="U157" i="11" s="1"/>
  <c r="T495" i="11"/>
  <c r="Q493" i="11"/>
  <c r="T493" i="11" s="1"/>
  <c r="N356" i="11"/>
  <c r="P356" i="11" s="1"/>
  <c r="R760" i="11"/>
  <c r="U760" i="11" s="1"/>
  <c r="U762" i="11"/>
  <c r="M534" i="11"/>
  <c r="P534" i="11" s="1"/>
  <c r="L534" i="11"/>
  <c r="O534" i="11" s="1"/>
  <c r="P266" i="10"/>
  <c r="P23" i="11"/>
  <c r="M20" i="11"/>
  <c r="O335" i="11"/>
  <c r="O375" i="8"/>
  <c r="U416" i="9"/>
  <c r="U692" i="9"/>
  <c r="T618" i="10"/>
  <c r="U119" i="11"/>
  <c r="I71" i="11"/>
  <c r="K71" i="11" s="1"/>
  <c r="K83" i="11"/>
  <c r="L59" i="11"/>
  <c r="O61" i="11"/>
  <c r="L94" i="11"/>
  <c r="O94" i="11" s="1"/>
  <c r="M44" i="11"/>
  <c r="L157" i="11"/>
  <c r="O157" i="11" s="1"/>
  <c r="U186" i="11"/>
  <c r="L599" i="11"/>
  <c r="O599" i="11" s="1"/>
  <c r="R728" i="11"/>
  <c r="U728" i="11" s="1"/>
  <c r="M576" i="11"/>
  <c r="P576" i="11" s="1"/>
  <c r="T19" i="11"/>
  <c r="P335" i="11"/>
  <c r="M333" i="11"/>
  <c r="P333" i="11" s="1"/>
  <c r="Q728" i="11"/>
  <c r="T728" i="11" s="1"/>
  <c r="T730" i="11"/>
  <c r="O142" i="9"/>
  <c r="L282" i="10"/>
  <c r="O282" i="10" s="1"/>
  <c r="R20" i="11"/>
  <c r="U23" i="11"/>
  <c r="O175" i="11"/>
  <c r="R616" i="11"/>
  <c r="U616" i="11" s="1"/>
  <c r="U618" i="11"/>
  <c r="L282" i="7"/>
  <c r="O282" i="7" s="1"/>
  <c r="M303" i="7"/>
  <c r="P303" i="7" s="1"/>
  <c r="L94" i="10"/>
  <c r="O94" i="10" s="1"/>
  <c r="L232" i="10"/>
  <c r="U117" i="11"/>
  <c r="O243" i="11"/>
  <c r="L232" i="11"/>
  <c r="Q173" i="11"/>
  <c r="T173" i="11" s="1"/>
  <c r="U19" i="11"/>
  <c r="L493" i="11"/>
  <c r="O493" i="11" s="1"/>
  <c r="O495" i="11"/>
  <c r="Q186" i="11"/>
  <c r="T186" i="11" s="1"/>
  <c r="R599" i="11"/>
  <c r="U599" i="11" s="1"/>
  <c r="Q690" i="11"/>
  <c r="T690" i="11" s="1"/>
  <c r="T692" i="11"/>
  <c r="T377" i="11"/>
  <c r="Q375" i="11"/>
  <c r="T375" i="11" s="1"/>
  <c r="Q642" i="11"/>
  <c r="T642" i="11" s="1"/>
  <c r="T644" i="11"/>
  <c r="P157" i="8"/>
  <c r="O141" i="9"/>
  <c r="Q20" i="11"/>
  <c r="T23" i="11"/>
  <c r="Q21" i="11"/>
  <c r="M24" i="11"/>
  <c r="P24" i="11" s="1"/>
  <c r="U186" i="8"/>
  <c r="T730" i="9"/>
  <c r="P268" i="10"/>
  <c r="M21" i="11"/>
  <c r="P21" i="11" s="1"/>
  <c r="R139" i="11"/>
  <c r="U139" i="11" s="1"/>
  <c r="O173" i="11"/>
  <c r="P173" i="11"/>
  <c r="L117" i="11"/>
  <c r="O117" i="11" s="1"/>
  <c r="S21" i="11"/>
  <c r="U21" i="11" s="1"/>
  <c r="T616" i="10"/>
  <c r="U760" i="10"/>
  <c r="L266" i="10"/>
  <c r="O266" i="10" s="1"/>
  <c r="O268" i="10"/>
  <c r="Q392" i="10"/>
  <c r="T392" i="10" s="1"/>
  <c r="T394" i="10"/>
  <c r="T306" i="4"/>
  <c r="O46" i="5"/>
  <c r="O175" i="7"/>
  <c r="R413" i="9"/>
  <c r="U413" i="9" s="1"/>
  <c r="P415" i="9"/>
  <c r="T618" i="9"/>
  <c r="U690" i="9"/>
  <c r="P375" i="10"/>
  <c r="O269" i="10"/>
  <c r="Q690" i="10"/>
  <c r="T690" i="10" s="1"/>
  <c r="O377" i="10"/>
  <c r="T728" i="10"/>
  <c r="P377" i="10"/>
  <c r="M157" i="10"/>
  <c r="P157" i="10" s="1"/>
  <c r="M413" i="10"/>
  <c r="P413" i="10" s="1"/>
  <c r="T269" i="5"/>
  <c r="L534" i="8"/>
  <c r="O534" i="8" s="1"/>
  <c r="P159" i="8"/>
  <c r="M493" i="9"/>
  <c r="P493" i="9" s="1"/>
  <c r="R599" i="9"/>
  <c r="U599" i="9" s="1"/>
  <c r="Q186" i="10"/>
  <c r="T186" i="10" s="1"/>
  <c r="P601" i="10"/>
  <c r="O375" i="10"/>
  <c r="T730" i="10"/>
  <c r="O46" i="8"/>
  <c r="M117" i="8"/>
  <c r="P117" i="8" s="1"/>
  <c r="K423" i="8"/>
  <c r="P46" i="9"/>
  <c r="U120" i="9"/>
  <c r="O415" i="9"/>
  <c r="I70" i="10"/>
  <c r="K70" i="10" s="1"/>
  <c r="T378" i="10"/>
  <c r="M320" i="10"/>
  <c r="P320" i="10" s="1"/>
  <c r="U119" i="3"/>
  <c r="L493" i="6"/>
  <c r="O493" i="6" s="1"/>
  <c r="U728" i="7"/>
  <c r="O186" i="8"/>
  <c r="P579" i="9"/>
  <c r="P47" i="9"/>
  <c r="P578" i="9"/>
  <c r="N139" i="9"/>
  <c r="P139" i="9" s="1"/>
  <c r="U21" i="10"/>
  <c r="O24" i="10"/>
  <c r="U117" i="10"/>
  <c r="I185" i="10"/>
  <c r="K185" i="10" s="1"/>
  <c r="S375" i="10"/>
  <c r="U375" i="10" s="1"/>
  <c r="T760" i="10"/>
  <c r="O188" i="10"/>
  <c r="R493" i="10"/>
  <c r="U493" i="10" s="1"/>
  <c r="S760" i="4"/>
  <c r="U760" i="4" s="1"/>
  <c r="K374" i="7"/>
  <c r="O578" i="9"/>
  <c r="U119" i="10"/>
  <c r="M555" i="10"/>
  <c r="P555" i="10" s="1"/>
  <c r="U619" i="10"/>
  <c r="O186" i="10"/>
  <c r="U644" i="7"/>
  <c r="P97" i="8"/>
  <c r="M59" i="9"/>
  <c r="P59" i="9" s="1"/>
  <c r="L117" i="9"/>
  <c r="O117" i="9" s="1"/>
  <c r="T306" i="9"/>
  <c r="L282" i="9"/>
  <c r="O282" i="9" s="1"/>
  <c r="L375" i="9"/>
  <c r="O375" i="9" s="1"/>
  <c r="O188" i="9"/>
  <c r="P23" i="10"/>
  <c r="M20" i="10"/>
  <c r="M21" i="10"/>
  <c r="L59" i="10"/>
  <c r="O59" i="10" s="1"/>
  <c r="O61" i="10"/>
  <c r="M59" i="10"/>
  <c r="P59" i="10" s="1"/>
  <c r="P26" i="10"/>
  <c r="S20" i="10"/>
  <c r="S18" i="10" s="1"/>
  <c r="L173" i="10"/>
  <c r="O173" i="10" s="1"/>
  <c r="L599" i="10"/>
  <c r="O599" i="10" s="1"/>
  <c r="O601" i="10"/>
  <c r="O333" i="10"/>
  <c r="L513" i="10"/>
  <c r="O513" i="10" s="1"/>
  <c r="T762" i="10"/>
  <c r="U762" i="10"/>
  <c r="O175" i="8"/>
  <c r="L555" i="8"/>
  <c r="O555" i="8" s="1"/>
  <c r="T413" i="8"/>
  <c r="S760" i="9"/>
  <c r="T760" i="9" s="1"/>
  <c r="T762" i="9"/>
  <c r="T19" i="10"/>
  <c r="M44" i="10"/>
  <c r="N44" i="10"/>
  <c r="N40" i="10" s="1"/>
  <c r="N21" i="10"/>
  <c r="O21" i="10" s="1"/>
  <c r="N20" i="10"/>
  <c r="N18" i="10" s="1"/>
  <c r="P358" i="10"/>
  <c r="M356" i="10"/>
  <c r="P356" i="10" s="1"/>
  <c r="R599" i="10"/>
  <c r="U599" i="10" s="1"/>
  <c r="U601" i="10"/>
  <c r="O578" i="10"/>
  <c r="L576" i="10"/>
  <c r="O576" i="10" s="1"/>
  <c r="O26" i="10"/>
  <c r="K332" i="6"/>
  <c r="R760" i="6"/>
  <c r="U760" i="6" s="1"/>
  <c r="L576" i="8"/>
  <c r="O576" i="8" s="1"/>
  <c r="U97" i="9"/>
  <c r="R392" i="9"/>
  <c r="U392" i="9" s="1"/>
  <c r="M375" i="9"/>
  <c r="P375" i="9" s="1"/>
  <c r="O335" i="9"/>
  <c r="Q20" i="10"/>
  <c r="Q18" i="10" s="1"/>
  <c r="T23" i="10"/>
  <c r="Q21" i="10"/>
  <c r="T21" i="10" s="1"/>
  <c r="U305" i="10"/>
  <c r="R303" i="10"/>
  <c r="U303" i="10" s="1"/>
  <c r="M282" i="10"/>
  <c r="P282" i="10" s="1"/>
  <c r="P284" i="10"/>
  <c r="P536" i="10"/>
  <c r="M534" i="10"/>
  <c r="P534" i="10" s="1"/>
  <c r="P333" i="10"/>
  <c r="Q139" i="10"/>
  <c r="T139" i="10" s="1"/>
  <c r="T141" i="10"/>
  <c r="Q117" i="10"/>
  <c r="T117" i="10" s="1"/>
  <c r="M534" i="5"/>
  <c r="P534" i="5" s="1"/>
  <c r="M303" i="8"/>
  <c r="P303" i="8" s="1"/>
  <c r="P335" i="9"/>
  <c r="M576" i="9"/>
  <c r="P576" i="9" s="1"/>
  <c r="L20" i="10"/>
  <c r="O23" i="10"/>
  <c r="Q157" i="10"/>
  <c r="T157" i="10" s="1"/>
  <c r="R94" i="10"/>
  <c r="U94" i="10" s="1"/>
  <c r="I71" i="10"/>
  <c r="K71" i="10" s="1"/>
  <c r="K83" i="10"/>
  <c r="L18" i="10"/>
  <c r="O19" i="10"/>
  <c r="Q173" i="10"/>
  <c r="T173" i="10" s="1"/>
  <c r="R173" i="10"/>
  <c r="U173" i="10" s="1"/>
  <c r="U268" i="10"/>
  <c r="R266" i="10"/>
  <c r="U266" i="10" s="1"/>
  <c r="M72" i="10"/>
  <c r="P72" i="10" s="1"/>
  <c r="Q303" i="10"/>
  <c r="T303" i="10" s="1"/>
  <c r="L356" i="10"/>
  <c r="O356" i="10" s="1"/>
  <c r="L493" i="10"/>
  <c r="O493" i="10" s="1"/>
  <c r="O24" i="8"/>
  <c r="K374" i="8"/>
  <c r="U306" i="8"/>
  <c r="T141" i="9"/>
  <c r="S139" i="9"/>
  <c r="U139" i="9" s="1"/>
  <c r="O268" i="9"/>
  <c r="L513" i="9"/>
  <c r="O513" i="9" s="1"/>
  <c r="T692" i="9"/>
  <c r="O576" i="9"/>
  <c r="R20" i="10"/>
  <c r="U23" i="10"/>
  <c r="P24" i="10"/>
  <c r="L117" i="10"/>
  <c r="O117" i="10" s="1"/>
  <c r="R139" i="10"/>
  <c r="U139" i="10" s="1"/>
  <c r="R24" i="10"/>
  <c r="U24" i="10" s="1"/>
  <c r="L139" i="10"/>
  <c r="O139" i="10" s="1"/>
  <c r="U19" i="10"/>
  <c r="T268" i="10"/>
  <c r="Q266" i="10"/>
  <c r="T266" i="10" s="1"/>
  <c r="R728" i="10"/>
  <c r="U728" i="10" s="1"/>
  <c r="U730" i="10"/>
  <c r="O536" i="10"/>
  <c r="L534" i="10"/>
  <c r="O534" i="10" s="1"/>
  <c r="M599" i="10"/>
  <c r="P599" i="10" s="1"/>
  <c r="U763" i="4"/>
  <c r="O601" i="9"/>
  <c r="L599" i="9"/>
  <c r="O599" i="9" s="1"/>
  <c r="U416" i="5"/>
  <c r="O358" i="5"/>
  <c r="U119" i="6"/>
  <c r="P186" i="7"/>
  <c r="P268" i="7"/>
  <c r="P175" i="8"/>
  <c r="U21" i="8"/>
  <c r="U97" i="8"/>
  <c r="M493" i="8"/>
  <c r="P493" i="8" s="1"/>
  <c r="T618" i="8"/>
  <c r="M117" i="9"/>
  <c r="P117" i="9" s="1"/>
  <c r="U142" i="9"/>
  <c r="P416" i="9"/>
  <c r="T120" i="9"/>
  <c r="R186" i="9"/>
  <c r="U186" i="9" s="1"/>
  <c r="M555" i="9"/>
  <c r="P555" i="9" s="1"/>
  <c r="T303" i="9"/>
  <c r="T268" i="9"/>
  <c r="M534" i="9"/>
  <c r="P534" i="9" s="1"/>
  <c r="P62" i="9"/>
  <c r="R173" i="9"/>
  <c r="U173" i="9" s="1"/>
  <c r="Q493" i="9"/>
  <c r="T493" i="9" s="1"/>
  <c r="P269" i="7"/>
  <c r="O74" i="9"/>
  <c r="M24" i="9"/>
  <c r="P24" i="9" s="1"/>
  <c r="L186" i="9"/>
  <c r="S266" i="9"/>
  <c r="T266" i="9" s="1"/>
  <c r="T188" i="9"/>
  <c r="Q186" i="9"/>
  <c r="T186" i="9" s="1"/>
  <c r="O72" i="9"/>
  <c r="T189" i="9"/>
  <c r="Q303" i="6"/>
  <c r="T303" i="6" s="1"/>
  <c r="T377" i="8"/>
  <c r="S375" i="8"/>
  <c r="U375" i="8" s="1"/>
  <c r="Q392" i="8"/>
  <c r="T392" i="8" s="1"/>
  <c r="L24" i="9"/>
  <c r="O24" i="9" s="1"/>
  <c r="T159" i="9"/>
  <c r="L139" i="9"/>
  <c r="U306" i="9"/>
  <c r="S728" i="9"/>
  <c r="U728" i="9" s="1"/>
  <c r="L157" i="8"/>
  <c r="O157" i="8" s="1"/>
  <c r="U618" i="8"/>
  <c r="T616" i="8"/>
  <c r="R493" i="8"/>
  <c r="U493" i="8" s="1"/>
  <c r="P74" i="9"/>
  <c r="O557" i="9"/>
  <c r="L555" i="9"/>
  <c r="O555" i="9" s="1"/>
  <c r="I412" i="9"/>
  <c r="K412" i="9" s="1"/>
  <c r="K423" i="9"/>
  <c r="I71" i="9"/>
  <c r="K71" i="9" s="1"/>
  <c r="K83" i="9"/>
  <c r="M94" i="4"/>
  <c r="P94" i="4" s="1"/>
  <c r="T377" i="5"/>
  <c r="R616" i="8"/>
  <c r="U616" i="8" s="1"/>
  <c r="M576" i="8"/>
  <c r="P576" i="8" s="1"/>
  <c r="R642" i="8"/>
  <c r="U642" i="8" s="1"/>
  <c r="P415" i="8"/>
  <c r="L413" i="9"/>
  <c r="O413" i="9" s="1"/>
  <c r="N186" i="9"/>
  <c r="P186" i="9" s="1"/>
  <c r="N266" i="9"/>
  <c r="O266" i="9" s="1"/>
  <c r="P268" i="9"/>
  <c r="R375" i="9"/>
  <c r="U375" i="9" s="1"/>
  <c r="P305" i="9"/>
  <c r="U730" i="9"/>
  <c r="U24" i="9"/>
  <c r="O358" i="8"/>
  <c r="P359" i="8"/>
  <c r="Q599" i="8"/>
  <c r="T599" i="8" s="1"/>
  <c r="U730" i="8"/>
  <c r="Q20" i="9"/>
  <c r="T23" i="9"/>
  <c r="Q21" i="9"/>
  <c r="T21" i="9" s="1"/>
  <c r="L232" i="9"/>
  <c r="O243" i="9"/>
  <c r="T119" i="9"/>
  <c r="Q117" i="9"/>
  <c r="T117" i="9" s="1"/>
  <c r="J456" i="9"/>
  <c r="K456" i="9" s="1"/>
  <c r="K457" i="9"/>
  <c r="Q599" i="9"/>
  <c r="T599" i="9" s="1"/>
  <c r="M320" i="9"/>
  <c r="P320" i="9" s="1"/>
  <c r="P358" i="4"/>
  <c r="R599" i="6"/>
  <c r="U599" i="6" s="1"/>
  <c r="M534" i="8"/>
  <c r="P534" i="8" s="1"/>
  <c r="T730" i="8"/>
  <c r="U120" i="8"/>
  <c r="P46" i="8"/>
  <c r="P416" i="8"/>
  <c r="L20" i="9"/>
  <c r="O23" i="9"/>
  <c r="U19" i="9"/>
  <c r="M282" i="9"/>
  <c r="P282" i="9" s="1"/>
  <c r="L173" i="9"/>
  <c r="O173" i="9" s="1"/>
  <c r="L534" i="9"/>
  <c r="O534" i="9" s="1"/>
  <c r="O536" i="9"/>
  <c r="P358" i="7"/>
  <c r="O601" i="6"/>
  <c r="T644" i="7"/>
  <c r="T188" i="8"/>
  <c r="T763" i="8"/>
  <c r="U728" i="8"/>
  <c r="R20" i="9"/>
  <c r="U23" i="9"/>
  <c r="L59" i="9"/>
  <c r="O59" i="9" s="1"/>
  <c r="O61" i="9"/>
  <c r="S72" i="9"/>
  <c r="U72" i="9" s="1"/>
  <c r="M72" i="9"/>
  <c r="P72" i="9" s="1"/>
  <c r="O358" i="9"/>
  <c r="L356" i="9"/>
  <c r="O356" i="9" s="1"/>
  <c r="M356" i="9"/>
  <c r="P356" i="9" s="1"/>
  <c r="P358" i="9"/>
  <c r="U26" i="9"/>
  <c r="U188" i="8"/>
  <c r="P189" i="8"/>
  <c r="Q139" i="8"/>
  <c r="T139" i="8" s="1"/>
  <c r="P23" i="9"/>
  <c r="M20" i="9"/>
  <c r="N21" i="9"/>
  <c r="O21" i="9" s="1"/>
  <c r="N20" i="9"/>
  <c r="N18" i="9" s="1"/>
  <c r="K82" i="9"/>
  <c r="I70" i="9"/>
  <c r="K70" i="9" s="1"/>
  <c r="U74" i="9"/>
  <c r="R21" i="9"/>
  <c r="U21" i="9" s="1"/>
  <c r="Q24" i="9"/>
  <c r="T24" i="9" s="1"/>
  <c r="T26" i="9"/>
  <c r="L157" i="9"/>
  <c r="O157" i="9" s="1"/>
  <c r="K253" i="9"/>
  <c r="I231" i="9"/>
  <c r="M599" i="9"/>
  <c r="P599" i="9" s="1"/>
  <c r="P601" i="9"/>
  <c r="Q690" i="9"/>
  <c r="T690" i="9" s="1"/>
  <c r="U644" i="9"/>
  <c r="R642" i="9"/>
  <c r="U642" i="9" s="1"/>
  <c r="Q72" i="7"/>
  <c r="T72" i="7" s="1"/>
  <c r="L94" i="8"/>
  <c r="O94" i="8" s="1"/>
  <c r="P356" i="8"/>
  <c r="O416" i="8"/>
  <c r="S20" i="9"/>
  <c r="S18" i="9" s="1"/>
  <c r="T97" i="9"/>
  <c r="L44" i="9"/>
  <c r="O46" i="9"/>
  <c r="P96" i="9"/>
  <c r="M94" i="9"/>
  <c r="P94" i="9" s="1"/>
  <c r="L333" i="9"/>
  <c r="O333" i="9" s="1"/>
  <c r="M333" i="9"/>
  <c r="P333" i="9" s="1"/>
  <c r="M44" i="9"/>
  <c r="N303" i="9"/>
  <c r="O303" i="9" s="1"/>
  <c r="R157" i="9"/>
  <c r="U157" i="9" s="1"/>
  <c r="M413" i="9"/>
  <c r="P413" i="9" s="1"/>
  <c r="O495" i="9"/>
  <c r="L493" i="9"/>
  <c r="O493" i="9" s="1"/>
  <c r="P175" i="9"/>
  <c r="M173" i="9"/>
  <c r="P173" i="9" s="1"/>
  <c r="P515" i="9"/>
  <c r="M513" i="9"/>
  <c r="P513" i="9" s="1"/>
  <c r="U616" i="9"/>
  <c r="T616" i="9"/>
  <c r="Q173" i="8"/>
  <c r="T173" i="8" s="1"/>
  <c r="P268" i="8"/>
  <c r="L303" i="7"/>
  <c r="O303" i="7" s="1"/>
  <c r="U618" i="7"/>
  <c r="I231" i="8"/>
  <c r="K231" i="8" s="1"/>
  <c r="R599" i="3"/>
  <c r="U599" i="3" s="1"/>
  <c r="M356" i="4"/>
  <c r="P356" i="4" s="1"/>
  <c r="R94" i="5"/>
  <c r="U94" i="5" s="1"/>
  <c r="P175" i="5"/>
  <c r="O335" i="6"/>
  <c r="O305" i="6"/>
  <c r="U120" i="7"/>
  <c r="O119" i="7"/>
  <c r="P26" i="7"/>
  <c r="Q94" i="7"/>
  <c r="T94" i="7" s="1"/>
  <c r="I70" i="7"/>
  <c r="K70" i="7" s="1"/>
  <c r="T269" i="7"/>
  <c r="U269" i="7"/>
  <c r="P356" i="7"/>
  <c r="M534" i="7"/>
  <c r="P534" i="7" s="1"/>
  <c r="O358" i="7"/>
  <c r="Q392" i="7"/>
  <c r="T392" i="7" s="1"/>
  <c r="R599" i="7"/>
  <c r="U599" i="7" s="1"/>
  <c r="T189" i="8"/>
  <c r="U269" i="8"/>
  <c r="M555" i="8"/>
  <c r="P555" i="8" s="1"/>
  <c r="M320" i="8"/>
  <c r="P320" i="8" s="1"/>
  <c r="P61" i="8"/>
  <c r="T616" i="7"/>
  <c r="T97" i="8"/>
  <c r="P46" i="3"/>
  <c r="T618" i="7"/>
  <c r="L117" i="8"/>
  <c r="O117" i="8" s="1"/>
  <c r="R173" i="8"/>
  <c r="U173" i="8" s="1"/>
  <c r="M282" i="8"/>
  <c r="P282" i="8" s="1"/>
  <c r="O189" i="8"/>
  <c r="S555" i="1"/>
  <c r="Q173" i="1"/>
  <c r="T173" i="1" s="1"/>
  <c r="K83" i="7"/>
  <c r="M72" i="7"/>
  <c r="P72" i="7" s="1"/>
  <c r="U117" i="8"/>
  <c r="L282" i="8"/>
  <c r="O282" i="8" s="1"/>
  <c r="R139" i="8"/>
  <c r="U139" i="8" s="1"/>
  <c r="O335" i="8"/>
  <c r="O377" i="8"/>
  <c r="Q728" i="8"/>
  <c r="T728" i="8" s="1"/>
  <c r="R690" i="8"/>
  <c r="U690" i="8" s="1"/>
  <c r="U119" i="8"/>
  <c r="P413" i="8"/>
  <c r="Q20" i="8"/>
  <c r="T23" i="8"/>
  <c r="Q21" i="8"/>
  <c r="T21" i="8" s="1"/>
  <c r="O44" i="8"/>
  <c r="L413" i="8"/>
  <c r="O413" i="8" s="1"/>
  <c r="O415" i="8"/>
  <c r="Q72" i="5"/>
  <c r="T72" i="5" s="1"/>
  <c r="M375" i="6"/>
  <c r="P375" i="6" s="1"/>
  <c r="P322" i="6"/>
  <c r="P335" i="6"/>
  <c r="L72" i="7"/>
  <c r="O72" i="7" s="1"/>
  <c r="O377" i="7"/>
  <c r="O269" i="7"/>
  <c r="U730" i="7"/>
  <c r="M139" i="8"/>
  <c r="P139" i="8" s="1"/>
  <c r="P186" i="8"/>
  <c r="N333" i="8"/>
  <c r="O333" i="8" s="1"/>
  <c r="M599" i="8"/>
  <c r="P599" i="8" s="1"/>
  <c r="P515" i="8"/>
  <c r="M513" i="8"/>
  <c r="P513" i="8" s="1"/>
  <c r="R303" i="8"/>
  <c r="U303" i="8" s="1"/>
  <c r="U305" i="8"/>
  <c r="R760" i="8"/>
  <c r="U760" i="8" s="1"/>
  <c r="O141" i="8"/>
  <c r="L139" i="8"/>
  <c r="O139" i="8" s="1"/>
  <c r="U19" i="8"/>
  <c r="T496" i="3"/>
  <c r="T415" i="4"/>
  <c r="O415" i="4"/>
  <c r="L333" i="6"/>
  <c r="O333" i="6" s="1"/>
  <c r="P413" i="6"/>
  <c r="L513" i="7"/>
  <c r="O513" i="7" s="1"/>
  <c r="M513" i="7"/>
  <c r="P513" i="7" s="1"/>
  <c r="P23" i="8"/>
  <c r="M20" i="8"/>
  <c r="P59" i="8"/>
  <c r="T268" i="8"/>
  <c r="M72" i="8"/>
  <c r="P72" i="8" s="1"/>
  <c r="P26" i="8"/>
  <c r="O188" i="8"/>
  <c r="S266" i="8"/>
  <c r="U266" i="8" s="1"/>
  <c r="U96" i="8"/>
  <c r="T96" i="8"/>
  <c r="P188" i="8"/>
  <c r="L356" i="8"/>
  <c r="O356" i="8" s="1"/>
  <c r="P269" i="8"/>
  <c r="P375" i="8"/>
  <c r="R24" i="8"/>
  <c r="U24" i="8" s="1"/>
  <c r="M266" i="8"/>
  <c r="P266" i="8" s="1"/>
  <c r="Q173" i="7"/>
  <c r="T173" i="7" s="1"/>
  <c r="O189" i="7"/>
  <c r="L599" i="7"/>
  <c r="O599" i="7" s="1"/>
  <c r="O59" i="8"/>
  <c r="L173" i="8"/>
  <c r="O173" i="8" s="1"/>
  <c r="R599" i="8"/>
  <c r="U599" i="8" s="1"/>
  <c r="U601" i="8"/>
  <c r="I70" i="8"/>
  <c r="K70" i="8" s="1"/>
  <c r="K82" i="8"/>
  <c r="Q642" i="8"/>
  <c r="T642" i="8" s="1"/>
  <c r="P496" i="3"/>
  <c r="T415" i="2"/>
  <c r="T305" i="5"/>
  <c r="P579" i="5"/>
  <c r="Q139" i="6"/>
  <c r="T139" i="6" s="1"/>
  <c r="L513" i="6"/>
  <c r="O513" i="6" s="1"/>
  <c r="Q303" i="7"/>
  <c r="T303" i="7" s="1"/>
  <c r="P335" i="7"/>
  <c r="T119" i="7"/>
  <c r="P188" i="7"/>
  <c r="O378" i="7"/>
  <c r="Q186" i="7"/>
  <c r="T186" i="7" s="1"/>
  <c r="S642" i="7"/>
  <c r="U642" i="7" s="1"/>
  <c r="N356" i="6"/>
  <c r="O356" i="6" s="1"/>
  <c r="M576" i="7"/>
  <c r="P576" i="7" s="1"/>
  <c r="P173" i="7"/>
  <c r="P44" i="8"/>
  <c r="N21" i="8"/>
  <c r="O21" i="8" s="1"/>
  <c r="N20" i="8"/>
  <c r="N18" i="8" s="1"/>
  <c r="O61" i="8"/>
  <c r="R72" i="8"/>
  <c r="U72" i="8" s="1"/>
  <c r="U74" i="8"/>
  <c r="L72" i="8"/>
  <c r="O72" i="8" s="1"/>
  <c r="O74" i="8"/>
  <c r="T119" i="8"/>
  <c r="Q117" i="8"/>
  <c r="T117" i="8" s="1"/>
  <c r="L513" i="8"/>
  <c r="O513" i="8" s="1"/>
  <c r="M94" i="8"/>
  <c r="P94" i="8" s="1"/>
  <c r="P96" i="8"/>
  <c r="P377" i="8"/>
  <c r="Q690" i="8"/>
  <c r="T690" i="8" s="1"/>
  <c r="T692" i="8"/>
  <c r="P335" i="8"/>
  <c r="M333" i="8"/>
  <c r="P358" i="8"/>
  <c r="R413" i="8"/>
  <c r="U413" i="8" s="1"/>
  <c r="U415" i="8"/>
  <c r="U141" i="1"/>
  <c r="O176" i="7"/>
  <c r="T119" i="6"/>
  <c r="U762" i="3"/>
  <c r="L513" i="4"/>
  <c r="O513" i="4" s="1"/>
  <c r="K374" i="5"/>
  <c r="T762" i="7"/>
  <c r="L20" i="8"/>
  <c r="O23" i="8"/>
  <c r="Q24" i="8"/>
  <c r="T24" i="8" s="1"/>
  <c r="T26" i="8"/>
  <c r="O26" i="8"/>
  <c r="P19" i="8"/>
  <c r="Q266" i="8"/>
  <c r="R20" i="8"/>
  <c r="U23" i="8"/>
  <c r="M173" i="8"/>
  <c r="P173" i="8" s="1"/>
  <c r="S20" i="8"/>
  <c r="S18" i="8" s="1"/>
  <c r="S94" i="8"/>
  <c r="O243" i="8"/>
  <c r="L232" i="8"/>
  <c r="I71" i="8"/>
  <c r="K71" i="8" s="1"/>
  <c r="K83" i="8"/>
  <c r="O268" i="8"/>
  <c r="L266" i="8"/>
  <c r="O266" i="8" s="1"/>
  <c r="Q760" i="8"/>
  <c r="T760" i="8" s="1"/>
  <c r="O269" i="8"/>
  <c r="L303" i="8"/>
  <c r="O303" i="8" s="1"/>
  <c r="O305" i="8"/>
  <c r="U21" i="7"/>
  <c r="U120" i="3"/>
  <c r="T692" i="4"/>
  <c r="O61" i="5"/>
  <c r="U306" i="5"/>
  <c r="Q599" i="5"/>
  <c r="T599" i="5" s="1"/>
  <c r="P61" i="6"/>
  <c r="M493" i="6"/>
  <c r="P493" i="6" s="1"/>
  <c r="M576" i="6"/>
  <c r="P576" i="6" s="1"/>
  <c r="R728" i="6"/>
  <c r="U728" i="6" s="1"/>
  <c r="L173" i="7"/>
  <c r="O173" i="7" s="1"/>
  <c r="L413" i="7"/>
  <c r="O413" i="7" s="1"/>
  <c r="M599" i="7"/>
  <c r="P599" i="7" s="1"/>
  <c r="S413" i="6"/>
  <c r="U413" i="6" s="1"/>
  <c r="P175" i="7"/>
  <c r="S760" i="7"/>
  <c r="T760" i="7" s="1"/>
  <c r="R728" i="2"/>
  <c r="U728" i="2" s="1"/>
  <c r="P61" i="3"/>
  <c r="T120" i="3"/>
  <c r="R173" i="5"/>
  <c r="U173" i="5" s="1"/>
  <c r="R642" i="5"/>
  <c r="U642" i="5" s="1"/>
  <c r="U97" i="6"/>
  <c r="O189" i="6"/>
  <c r="M534" i="6"/>
  <c r="P534" i="6" s="1"/>
  <c r="L139" i="7"/>
  <c r="O139" i="7" s="1"/>
  <c r="P59" i="7"/>
  <c r="L576" i="7"/>
  <c r="O576" i="7" s="1"/>
  <c r="O359" i="7"/>
  <c r="U762" i="7"/>
  <c r="U619" i="1"/>
  <c r="U762" i="2"/>
  <c r="P323" i="1"/>
  <c r="U690" i="2"/>
  <c r="U415" i="2"/>
  <c r="P74" i="3"/>
  <c r="M493" i="4"/>
  <c r="P493" i="4" s="1"/>
  <c r="O47" i="4"/>
  <c r="P336" i="5"/>
  <c r="P97" i="6"/>
  <c r="U269" i="6"/>
  <c r="P189" i="6"/>
  <c r="P336" i="6"/>
  <c r="L157" i="7"/>
  <c r="O157" i="7" s="1"/>
  <c r="P46" i="7"/>
  <c r="P359" i="7"/>
  <c r="P284" i="7"/>
  <c r="R760" i="7"/>
  <c r="U693" i="5"/>
  <c r="R139" i="7"/>
  <c r="U139" i="7" s="1"/>
  <c r="O557" i="7"/>
  <c r="L555" i="7"/>
  <c r="O555" i="7" s="1"/>
  <c r="M266" i="7"/>
  <c r="P266" i="7" s="1"/>
  <c r="O141" i="5"/>
  <c r="P61" i="5"/>
  <c r="S413" i="4"/>
  <c r="U413" i="4" s="1"/>
  <c r="Q690" i="5"/>
  <c r="T690" i="5" s="1"/>
  <c r="U119" i="7"/>
  <c r="T269" i="6"/>
  <c r="L375" i="7"/>
  <c r="O375" i="7" s="1"/>
  <c r="R690" i="7"/>
  <c r="U690" i="7" s="1"/>
  <c r="U188" i="7"/>
  <c r="R186" i="7"/>
  <c r="U186" i="7" s="1"/>
  <c r="P44" i="7"/>
  <c r="P119" i="7"/>
  <c r="M117" i="7"/>
  <c r="P117" i="7" s="1"/>
  <c r="P495" i="7"/>
  <c r="M493" i="7"/>
  <c r="P493" i="7" s="1"/>
  <c r="L320" i="7"/>
  <c r="O320" i="7" s="1"/>
  <c r="R173" i="4"/>
  <c r="U173" i="4" s="1"/>
  <c r="T416" i="4"/>
  <c r="U416" i="4"/>
  <c r="N40" i="7"/>
  <c r="L94" i="7"/>
  <c r="O94" i="7" s="1"/>
  <c r="P19" i="7"/>
  <c r="R266" i="7"/>
  <c r="U266" i="7" s="1"/>
  <c r="U268" i="7"/>
  <c r="L266" i="7"/>
  <c r="O266" i="7" s="1"/>
  <c r="O268" i="7"/>
  <c r="M24" i="7"/>
  <c r="P24" i="7" s="1"/>
  <c r="T730" i="7"/>
  <c r="U186" i="4"/>
  <c r="T763" i="4"/>
  <c r="T762" i="4"/>
  <c r="L375" i="5"/>
  <c r="O375" i="5" s="1"/>
  <c r="R599" i="5"/>
  <c r="U599" i="5" s="1"/>
  <c r="T96" i="6"/>
  <c r="P599" i="6"/>
  <c r="M555" i="6"/>
  <c r="P555" i="6" s="1"/>
  <c r="U731" i="6"/>
  <c r="Q20" i="7"/>
  <c r="T23" i="7"/>
  <c r="Q21" i="7"/>
  <c r="T21" i="7" s="1"/>
  <c r="O19" i="7"/>
  <c r="O46" i="7"/>
  <c r="L44" i="7"/>
  <c r="S20" i="7"/>
  <c r="S18" i="7" s="1"/>
  <c r="L117" i="7"/>
  <c r="O117" i="7" s="1"/>
  <c r="P159" i="7"/>
  <c r="M157" i="7"/>
  <c r="P157" i="7" s="1"/>
  <c r="P96" i="7"/>
  <c r="M94" i="7"/>
  <c r="P94" i="7" s="1"/>
  <c r="T120" i="7"/>
  <c r="L232" i="7"/>
  <c r="O243" i="7"/>
  <c r="O536" i="7"/>
  <c r="L534" i="7"/>
  <c r="O534" i="7" s="1"/>
  <c r="L493" i="7"/>
  <c r="O493" i="7" s="1"/>
  <c r="Q157" i="7"/>
  <c r="T157" i="7" s="1"/>
  <c r="Q690" i="7"/>
  <c r="T690" i="7" s="1"/>
  <c r="R616" i="7"/>
  <c r="U616" i="7" s="1"/>
  <c r="Q392" i="4"/>
  <c r="T392" i="4" s="1"/>
  <c r="L534" i="4"/>
  <c r="O534" i="4" s="1"/>
  <c r="O269" i="5"/>
  <c r="Q72" i="6"/>
  <c r="T72" i="6" s="1"/>
  <c r="Q117" i="6"/>
  <c r="T117" i="6" s="1"/>
  <c r="Q599" i="6"/>
  <c r="T599" i="6" s="1"/>
  <c r="M333" i="6"/>
  <c r="P333" i="6" s="1"/>
  <c r="U19" i="7"/>
  <c r="L59" i="7"/>
  <c r="O59" i="7" s="1"/>
  <c r="O61" i="7"/>
  <c r="P61" i="7"/>
  <c r="Q117" i="7"/>
  <c r="T117" i="7" s="1"/>
  <c r="R117" i="7"/>
  <c r="U117" i="7" s="1"/>
  <c r="L333" i="7"/>
  <c r="O333" i="7" s="1"/>
  <c r="O335" i="7"/>
  <c r="L356" i="7"/>
  <c r="O356" i="7" s="1"/>
  <c r="Q599" i="7"/>
  <c r="T599" i="7" s="1"/>
  <c r="R94" i="7"/>
  <c r="U94" i="7" s="1"/>
  <c r="M333" i="7"/>
  <c r="P333" i="7" s="1"/>
  <c r="Q642" i="7"/>
  <c r="M117" i="4"/>
  <c r="P117" i="4" s="1"/>
  <c r="L117" i="4"/>
  <c r="O117" i="4" s="1"/>
  <c r="P579" i="1"/>
  <c r="O359" i="1"/>
  <c r="O214" i="1"/>
  <c r="P96" i="3"/>
  <c r="T616" i="5"/>
  <c r="P576" i="5"/>
  <c r="U416" i="6"/>
  <c r="Q413" i="6"/>
  <c r="U690" i="5"/>
  <c r="N20" i="7"/>
  <c r="N18" i="7" s="1"/>
  <c r="N21" i="7"/>
  <c r="P23" i="7"/>
  <c r="M20" i="7"/>
  <c r="M21" i="7"/>
  <c r="L21" i="7"/>
  <c r="L20" i="7"/>
  <c r="O23" i="7"/>
  <c r="L24" i="7"/>
  <c r="O24" i="7" s="1"/>
  <c r="K242" i="7"/>
  <c r="I231" i="7"/>
  <c r="Q375" i="7"/>
  <c r="T375" i="7" s="1"/>
  <c r="T377" i="7"/>
  <c r="O188" i="7"/>
  <c r="L186" i="7"/>
  <c r="O186" i="7" s="1"/>
  <c r="P377" i="7"/>
  <c r="M375" i="7"/>
  <c r="P375" i="7" s="1"/>
  <c r="M139" i="7"/>
  <c r="P139" i="7" s="1"/>
  <c r="R493" i="7"/>
  <c r="U493" i="7" s="1"/>
  <c r="T306" i="7"/>
  <c r="Q493" i="7"/>
  <c r="T493" i="7" s="1"/>
  <c r="T495" i="7"/>
  <c r="I412" i="7"/>
  <c r="K412" i="7" s="1"/>
  <c r="K423" i="7"/>
  <c r="T26" i="7"/>
  <c r="Q24" i="7"/>
  <c r="T24" i="7" s="1"/>
  <c r="O579" i="1"/>
  <c r="O61" i="2"/>
  <c r="P377" i="3"/>
  <c r="U96" i="6"/>
  <c r="M24" i="6"/>
  <c r="P24" i="6" s="1"/>
  <c r="U117" i="6"/>
  <c r="P266" i="6"/>
  <c r="P415" i="6"/>
  <c r="T728" i="6"/>
  <c r="O599" i="6"/>
  <c r="R24" i="7"/>
  <c r="U24" i="7" s="1"/>
  <c r="P176" i="7"/>
  <c r="M413" i="7"/>
  <c r="P413" i="7" s="1"/>
  <c r="P415" i="7"/>
  <c r="T268" i="7"/>
  <c r="Q266" i="7"/>
  <c r="T266" i="7" s="1"/>
  <c r="P322" i="7"/>
  <c r="M320" i="7"/>
  <c r="P320" i="7" s="1"/>
  <c r="U23" i="7"/>
  <c r="R20" i="7"/>
  <c r="R375" i="7"/>
  <c r="U375" i="7" s="1"/>
  <c r="T728" i="7"/>
  <c r="Q173" i="6"/>
  <c r="T173" i="6" s="1"/>
  <c r="R72" i="6"/>
  <c r="U72" i="6" s="1"/>
  <c r="U74" i="6"/>
  <c r="P61" i="2"/>
  <c r="S534" i="1"/>
  <c r="S20" i="5"/>
  <c r="S18" i="5" s="1"/>
  <c r="T730" i="5"/>
  <c r="P186" i="5"/>
  <c r="P65" i="5"/>
  <c r="L513" i="5"/>
  <c r="O513" i="5" s="1"/>
  <c r="U266" i="6"/>
  <c r="P119" i="6"/>
  <c r="M117" i="6"/>
  <c r="P117" i="6" s="1"/>
  <c r="L534" i="6"/>
  <c r="O534" i="6" s="1"/>
  <c r="O176" i="6"/>
  <c r="O74" i="6"/>
  <c r="L72" i="6"/>
  <c r="O72" i="6" s="1"/>
  <c r="U375" i="6"/>
  <c r="T618" i="3"/>
  <c r="Q24" i="4"/>
  <c r="T24" i="4" s="1"/>
  <c r="U141" i="5"/>
  <c r="O335" i="5"/>
  <c r="O415" i="5"/>
  <c r="T731" i="5"/>
  <c r="L303" i="5"/>
  <c r="O303" i="5" s="1"/>
  <c r="O579" i="5"/>
  <c r="T416" i="5"/>
  <c r="L24" i="6"/>
  <c r="O24" i="6" s="1"/>
  <c r="Q94" i="6"/>
  <c r="T94" i="6" s="1"/>
  <c r="R24" i="6"/>
  <c r="U24" i="6" s="1"/>
  <c r="P141" i="6"/>
  <c r="P159" i="6"/>
  <c r="O284" i="6"/>
  <c r="U268" i="6"/>
  <c r="O415" i="6"/>
  <c r="P601" i="6"/>
  <c r="T266" i="3"/>
  <c r="U692" i="5"/>
  <c r="N555" i="1"/>
  <c r="U97" i="3"/>
  <c r="L117" i="3"/>
  <c r="O117" i="3" s="1"/>
  <c r="T141" i="5"/>
  <c r="R616" i="5"/>
  <c r="U616" i="5" s="1"/>
  <c r="K701" i="5"/>
  <c r="M186" i="6"/>
  <c r="P186" i="6" s="1"/>
  <c r="P188" i="6"/>
  <c r="L576" i="6"/>
  <c r="O576" i="6" s="1"/>
  <c r="T268" i="6"/>
  <c r="U616" i="4"/>
  <c r="M555" i="5"/>
  <c r="P555" i="5" s="1"/>
  <c r="L534" i="3"/>
  <c r="O534" i="3" s="1"/>
  <c r="I70" i="4"/>
  <c r="K70" i="4" s="1"/>
  <c r="L94" i="5"/>
  <c r="O94" i="5" s="1"/>
  <c r="U495" i="5"/>
  <c r="S20" i="6"/>
  <c r="S18" i="6" s="1"/>
  <c r="L320" i="6"/>
  <c r="O320" i="6" s="1"/>
  <c r="T377" i="6"/>
  <c r="R642" i="6"/>
  <c r="U642" i="6" s="1"/>
  <c r="T266" i="6"/>
  <c r="Q157" i="2"/>
  <c r="T157" i="2" s="1"/>
  <c r="U74" i="3"/>
  <c r="P416" i="3"/>
  <c r="O72" i="3"/>
  <c r="O173" i="4"/>
  <c r="U619" i="4"/>
  <c r="N413" i="4"/>
  <c r="P413" i="4" s="1"/>
  <c r="O26" i="5"/>
  <c r="P26" i="5"/>
  <c r="O189" i="5"/>
  <c r="L493" i="5"/>
  <c r="O493" i="5" s="1"/>
  <c r="O601" i="5"/>
  <c r="P188" i="5"/>
  <c r="N356" i="5"/>
  <c r="O356" i="5" s="1"/>
  <c r="L20" i="6"/>
  <c r="O23" i="6"/>
  <c r="O61" i="6"/>
  <c r="L59" i="6"/>
  <c r="O59" i="6" s="1"/>
  <c r="O119" i="6"/>
  <c r="L117" i="6"/>
  <c r="O117" i="6" s="1"/>
  <c r="T188" i="6"/>
  <c r="Q186" i="6"/>
  <c r="T186" i="6" s="1"/>
  <c r="S21" i="6"/>
  <c r="U21" i="6" s="1"/>
  <c r="P175" i="6"/>
  <c r="M173" i="6"/>
  <c r="P173" i="6" s="1"/>
  <c r="O141" i="6"/>
  <c r="L139" i="6"/>
  <c r="O139" i="6" s="1"/>
  <c r="O268" i="6"/>
  <c r="L375" i="6"/>
  <c r="O375" i="6" s="1"/>
  <c r="O377" i="6"/>
  <c r="K423" i="6"/>
  <c r="J412" i="6"/>
  <c r="K412" i="6" s="1"/>
  <c r="T159" i="6"/>
  <c r="Q157" i="6"/>
  <c r="T157" i="6" s="1"/>
  <c r="P159" i="3"/>
  <c r="L59" i="2"/>
  <c r="O59" i="2" s="1"/>
  <c r="O378" i="2"/>
  <c r="P142" i="3"/>
  <c r="M117" i="3"/>
  <c r="P117" i="3" s="1"/>
  <c r="Q157" i="4"/>
  <c r="T157" i="4" s="1"/>
  <c r="L72" i="5"/>
  <c r="O72" i="5" s="1"/>
  <c r="P578" i="5"/>
  <c r="R20" i="6"/>
  <c r="U23" i="6"/>
  <c r="T19" i="6"/>
  <c r="R94" i="6"/>
  <c r="U94" i="6" s="1"/>
  <c r="I71" i="6"/>
  <c r="K71" i="6" s="1"/>
  <c r="K83" i="6"/>
  <c r="R173" i="6"/>
  <c r="U173" i="6" s="1"/>
  <c r="U175" i="6"/>
  <c r="T375" i="6"/>
  <c r="Q642" i="6"/>
  <c r="T642" i="6" s="1"/>
  <c r="P44" i="6"/>
  <c r="U141" i="6"/>
  <c r="R139" i="6"/>
  <c r="U139" i="6" s="1"/>
  <c r="P496" i="1"/>
  <c r="L303" i="4"/>
  <c r="O303" i="4" s="1"/>
  <c r="Q642" i="4"/>
  <c r="T642" i="4" s="1"/>
  <c r="T117" i="3"/>
  <c r="O62" i="5"/>
  <c r="P305" i="5"/>
  <c r="M282" i="5"/>
  <c r="P282" i="5" s="1"/>
  <c r="P46" i="6"/>
  <c r="P23" i="6"/>
  <c r="M20" i="6"/>
  <c r="O46" i="6"/>
  <c r="L44" i="6"/>
  <c r="O188" i="6"/>
  <c r="L186" i="6"/>
  <c r="O186" i="6" s="1"/>
  <c r="U188" i="6"/>
  <c r="R186" i="6"/>
  <c r="U186" i="6" s="1"/>
  <c r="L413" i="6"/>
  <c r="O413" i="6" s="1"/>
  <c r="M282" i="6"/>
  <c r="P282" i="6" s="1"/>
  <c r="P284" i="6"/>
  <c r="L555" i="6"/>
  <c r="O555" i="6" s="1"/>
  <c r="U616" i="6"/>
  <c r="L232" i="6"/>
  <c r="O243" i="6"/>
  <c r="U377" i="6"/>
  <c r="R493" i="6"/>
  <c r="U493" i="6" s="1"/>
  <c r="Q690" i="6"/>
  <c r="T690" i="6" s="1"/>
  <c r="R690" i="6"/>
  <c r="U690" i="6" s="1"/>
  <c r="Q20" i="6"/>
  <c r="T23" i="6"/>
  <c r="Q21" i="6"/>
  <c r="P601" i="5"/>
  <c r="K82" i="6"/>
  <c r="I70" i="6"/>
  <c r="K70" i="6" s="1"/>
  <c r="L94" i="6"/>
  <c r="O94" i="6" s="1"/>
  <c r="U19" i="6"/>
  <c r="M72" i="6"/>
  <c r="P72" i="6" s="1"/>
  <c r="R157" i="6"/>
  <c r="U157" i="6" s="1"/>
  <c r="U159" i="6"/>
  <c r="L266" i="6"/>
  <c r="O266" i="6" s="1"/>
  <c r="I185" i="6"/>
  <c r="K185" i="6" s="1"/>
  <c r="K231" i="6"/>
  <c r="U618" i="6"/>
  <c r="Q760" i="6"/>
  <c r="T760" i="6" s="1"/>
  <c r="O74" i="3"/>
  <c r="L94" i="3"/>
  <c r="O94" i="3" s="1"/>
  <c r="O416" i="3"/>
  <c r="T378" i="4"/>
  <c r="Q616" i="4"/>
  <c r="T616" i="4" s="1"/>
  <c r="T119" i="4"/>
  <c r="R72" i="4"/>
  <c r="U72" i="4" s="1"/>
  <c r="N20" i="5"/>
  <c r="N18" i="5" s="1"/>
  <c r="L157" i="5"/>
  <c r="O157" i="5" s="1"/>
  <c r="T26" i="6"/>
  <c r="Q24" i="6"/>
  <c r="T24" i="6" s="1"/>
  <c r="M59" i="6"/>
  <c r="P59" i="6" s="1"/>
  <c r="P96" i="6"/>
  <c r="M94" i="6"/>
  <c r="P94" i="6" s="1"/>
  <c r="N21" i="6"/>
  <c r="O21" i="6" s="1"/>
  <c r="N20" i="6"/>
  <c r="N18" i="6" s="1"/>
  <c r="L157" i="6"/>
  <c r="O157" i="6" s="1"/>
  <c r="O159" i="6"/>
  <c r="L173" i="6"/>
  <c r="O173" i="6" s="1"/>
  <c r="O175" i="6"/>
  <c r="M303" i="6"/>
  <c r="P303" i="6" s="1"/>
  <c r="P305" i="6"/>
  <c r="P268" i="6"/>
  <c r="M356" i="6"/>
  <c r="P358" i="6"/>
  <c r="M513" i="6"/>
  <c r="P513" i="6" s="1"/>
  <c r="P515" i="6"/>
  <c r="T693" i="5"/>
  <c r="Q616" i="6"/>
  <c r="T616" i="6" s="1"/>
  <c r="T618" i="6"/>
  <c r="N44" i="5"/>
  <c r="O44" i="5" s="1"/>
  <c r="L139" i="5"/>
  <c r="O139" i="5" s="1"/>
  <c r="O576" i="5"/>
  <c r="M493" i="5"/>
  <c r="P493" i="5" s="1"/>
  <c r="U762" i="5"/>
  <c r="R760" i="5"/>
  <c r="U760" i="5" s="1"/>
  <c r="O515" i="2"/>
  <c r="U268" i="1"/>
  <c r="N616" i="1"/>
  <c r="M157" i="1"/>
  <c r="L173" i="3"/>
  <c r="O173" i="3" s="1"/>
  <c r="U188" i="2"/>
  <c r="M117" i="1"/>
  <c r="O579" i="3"/>
  <c r="M157" i="4"/>
  <c r="P157" i="4" s="1"/>
  <c r="P61" i="4"/>
  <c r="O358" i="4"/>
  <c r="R24" i="5"/>
  <c r="U24" i="5" s="1"/>
  <c r="S266" i="5"/>
  <c r="T266" i="5" s="1"/>
  <c r="U268" i="5"/>
  <c r="T306" i="5"/>
  <c r="U269" i="5"/>
  <c r="P415" i="5"/>
  <c r="N413" i="5"/>
  <c r="P413" i="5" s="1"/>
  <c r="O160" i="1"/>
  <c r="U730" i="1"/>
  <c r="P119" i="1"/>
  <c r="O513" i="2"/>
  <c r="T495" i="1"/>
  <c r="P141" i="3"/>
  <c r="M117" i="5"/>
  <c r="P117" i="5" s="1"/>
  <c r="M320" i="5"/>
  <c r="P320" i="5" s="1"/>
  <c r="Q642" i="5"/>
  <c r="T642" i="5" s="1"/>
  <c r="L413" i="5"/>
  <c r="P599" i="5"/>
  <c r="L555" i="5"/>
  <c r="O555" i="5" s="1"/>
  <c r="O377" i="2"/>
  <c r="T693" i="2"/>
  <c r="M139" i="3"/>
  <c r="P139" i="3" s="1"/>
  <c r="O333" i="3"/>
  <c r="P47" i="4"/>
  <c r="M173" i="5"/>
  <c r="P173" i="5" s="1"/>
  <c r="L59" i="5"/>
  <c r="O59" i="5" s="1"/>
  <c r="O268" i="5"/>
  <c r="Q760" i="5"/>
  <c r="T760" i="5" s="1"/>
  <c r="P62" i="5"/>
  <c r="T495" i="5"/>
  <c r="Q493" i="5"/>
  <c r="T493" i="5" s="1"/>
  <c r="T306" i="1"/>
  <c r="L282" i="2"/>
  <c r="O282" i="2" s="1"/>
  <c r="L555" i="3"/>
  <c r="O555" i="3" s="1"/>
  <c r="O377" i="3"/>
  <c r="O46" i="3"/>
  <c r="T690" i="4"/>
  <c r="O578" i="5"/>
  <c r="S375" i="5"/>
  <c r="T375" i="5" s="1"/>
  <c r="Q599" i="4"/>
  <c r="T599" i="4" s="1"/>
  <c r="N333" i="5"/>
  <c r="O333" i="5" s="1"/>
  <c r="Q392" i="5"/>
  <c r="T392" i="5" s="1"/>
  <c r="T394" i="5"/>
  <c r="O339" i="1"/>
  <c r="O119" i="1"/>
  <c r="S20" i="3"/>
  <c r="S18" i="3" s="1"/>
  <c r="N44" i="4"/>
  <c r="O44" i="4" s="1"/>
  <c r="P336" i="4"/>
  <c r="L356" i="4"/>
  <c r="O356" i="4" s="1"/>
  <c r="M576" i="4"/>
  <c r="P576" i="4" s="1"/>
  <c r="L375" i="4"/>
  <c r="O375" i="4" s="1"/>
  <c r="O62" i="4"/>
  <c r="T305" i="4"/>
  <c r="K701" i="4"/>
  <c r="T188" i="4"/>
  <c r="T119" i="5"/>
  <c r="M24" i="5"/>
  <c r="P24" i="5" s="1"/>
  <c r="P46" i="5"/>
  <c r="I71" i="5"/>
  <c r="K71" i="5" s="1"/>
  <c r="K83" i="5"/>
  <c r="Q139" i="5"/>
  <c r="T139" i="5" s="1"/>
  <c r="O175" i="5"/>
  <c r="L173" i="5"/>
  <c r="O173" i="5" s="1"/>
  <c r="Q24" i="5"/>
  <c r="T24" i="5" s="1"/>
  <c r="R139" i="5"/>
  <c r="U139" i="5" s="1"/>
  <c r="T188" i="5"/>
  <c r="Q186" i="5"/>
  <c r="T186" i="5" s="1"/>
  <c r="O284" i="5"/>
  <c r="L282" i="5"/>
  <c r="O282" i="5" s="1"/>
  <c r="M375" i="5"/>
  <c r="P375" i="5" s="1"/>
  <c r="M356" i="5"/>
  <c r="P358" i="5"/>
  <c r="U119" i="5"/>
  <c r="R72" i="5"/>
  <c r="U72" i="5" s="1"/>
  <c r="U730" i="5"/>
  <c r="R728" i="5"/>
  <c r="U142" i="1"/>
  <c r="O175" i="1"/>
  <c r="U760" i="2"/>
  <c r="L576" i="4"/>
  <c r="O576" i="4" s="1"/>
  <c r="M157" i="5"/>
  <c r="P157" i="5" s="1"/>
  <c r="P159" i="5"/>
  <c r="S616" i="1"/>
  <c r="T268" i="1"/>
  <c r="U730" i="3"/>
  <c r="P46" i="4"/>
  <c r="T186" i="4"/>
  <c r="T268" i="4"/>
  <c r="O62" i="3"/>
  <c r="N21" i="5"/>
  <c r="P21" i="5" s="1"/>
  <c r="M72" i="5"/>
  <c r="P72" i="5" s="1"/>
  <c r="Q94" i="5"/>
  <c r="T94" i="5" s="1"/>
  <c r="U117" i="5"/>
  <c r="T19" i="5"/>
  <c r="M59" i="5"/>
  <c r="P59" i="5" s="1"/>
  <c r="L232" i="5"/>
  <c r="O243" i="5"/>
  <c r="U377" i="5"/>
  <c r="O188" i="5"/>
  <c r="L186" i="5"/>
  <c r="O186" i="5" s="1"/>
  <c r="Q20" i="5"/>
  <c r="T23" i="5"/>
  <c r="Q21" i="5"/>
  <c r="S728" i="5"/>
  <c r="T728" i="5" s="1"/>
  <c r="S690" i="1"/>
  <c r="O415" i="1"/>
  <c r="U97" i="1"/>
  <c r="R117" i="3"/>
  <c r="U117" i="3" s="1"/>
  <c r="S413" i="2"/>
  <c r="T413" i="2" s="1"/>
  <c r="U306" i="1"/>
  <c r="N20" i="4"/>
  <c r="N18" i="4" s="1"/>
  <c r="O141" i="4"/>
  <c r="U303" i="4"/>
  <c r="O74" i="4"/>
  <c r="L599" i="4"/>
  <c r="O599" i="4" s="1"/>
  <c r="P415" i="4"/>
  <c r="P335" i="4"/>
  <c r="P23" i="5"/>
  <c r="M20" i="5"/>
  <c r="R20" i="5"/>
  <c r="R18" i="5" s="1"/>
  <c r="U23" i="5"/>
  <c r="P268" i="5"/>
  <c r="Q117" i="5"/>
  <c r="T117" i="5" s="1"/>
  <c r="N266" i="5"/>
  <c r="O266" i="5" s="1"/>
  <c r="P335" i="5"/>
  <c r="U19" i="5"/>
  <c r="R413" i="5"/>
  <c r="U413" i="5" s="1"/>
  <c r="P515" i="5"/>
  <c r="M513" i="5"/>
  <c r="P513" i="5" s="1"/>
  <c r="K242" i="5"/>
  <c r="I231" i="5"/>
  <c r="Q413" i="5"/>
  <c r="T413" i="5" s="1"/>
  <c r="T415" i="5"/>
  <c r="L20" i="5"/>
  <c r="O23" i="5"/>
  <c r="L21" i="5"/>
  <c r="S24" i="1"/>
  <c r="P339" i="1"/>
  <c r="U75" i="1"/>
  <c r="S266" i="1"/>
  <c r="P175" i="1"/>
  <c r="O323" i="1"/>
  <c r="P495" i="3"/>
  <c r="K374" i="2"/>
  <c r="T303" i="4"/>
  <c r="U305" i="4"/>
  <c r="M513" i="4"/>
  <c r="P513" i="4" s="1"/>
  <c r="S21" i="5"/>
  <c r="U21" i="5" s="1"/>
  <c r="P141" i="5"/>
  <c r="M139" i="5"/>
  <c r="P139" i="5" s="1"/>
  <c r="I70" i="5"/>
  <c r="K70" i="5" s="1"/>
  <c r="K82" i="5"/>
  <c r="O119" i="5"/>
  <c r="L117" i="5"/>
  <c r="O117" i="5" s="1"/>
  <c r="R157" i="5"/>
  <c r="U157" i="5" s="1"/>
  <c r="Q157" i="5"/>
  <c r="T157" i="5" s="1"/>
  <c r="L24" i="5"/>
  <c r="O24" i="5" s="1"/>
  <c r="M94" i="5"/>
  <c r="P94" i="5" s="1"/>
  <c r="L320" i="5"/>
  <c r="O320" i="5" s="1"/>
  <c r="U188" i="5"/>
  <c r="R186" i="5"/>
  <c r="U186" i="5" s="1"/>
  <c r="Q173" i="5"/>
  <c r="T173" i="5" s="1"/>
  <c r="M59" i="4"/>
  <c r="P59" i="4" s="1"/>
  <c r="O306" i="1"/>
  <c r="N72" i="1"/>
  <c r="P160" i="1"/>
  <c r="O601" i="1"/>
  <c r="M266" i="1"/>
  <c r="T305" i="3"/>
  <c r="P268" i="3"/>
  <c r="K701" i="3"/>
  <c r="O496" i="3"/>
  <c r="J457" i="1"/>
  <c r="J456" i="1" s="1"/>
  <c r="K456" i="1" s="1"/>
  <c r="T120" i="4"/>
  <c r="L24" i="4"/>
  <c r="O24" i="4" s="1"/>
  <c r="L94" i="4"/>
  <c r="O94" i="4" s="1"/>
  <c r="M375" i="4"/>
  <c r="P375" i="4" s="1"/>
  <c r="R266" i="4"/>
  <c r="U266" i="4" s="1"/>
  <c r="U268" i="4"/>
  <c r="R320" i="1"/>
  <c r="U320" i="1" s="1"/>
  <c r="O285" i="1"/>
  <c r="I231" i="2"/>
  <c r="K231" i="2" s="1"/>
  <c r="N728" i="1"/>
  <c r="N44" i="3"/>
  <c r="O44" i="3" s="1"/>
  <c r="O142" i="3"/>
  <c r="P335" i="3"/>
  <c r="K374" i="3"/>
  <c r="T762" i="3"/>
  <c r="P579" i="3"/>
  <c r="R157" i="4"/>
  <c r="U157" i="4" s="1"/>
  <c r="Q266" i="4"/>
  <c r="T266" i="4" s="1"/>
  <c r="R375" i="4"/>
  <c r="U375" i="4" s="1"/>
  <c r="U377" i="4"/>
  <c r="L117" i="1"/>
  <c r="U692" i="2"/>
  <c r="N493" i="1"/>
  <c r="N599" i="1"/>
  <c r="T119" i="1"/>
  <c r="O322" i="3"/>
  <c r="L375" i="3"/>
  <c r="O375" i="3" s="1"/>
  <c r="U416" i="3"/>
  <c r="M356" i="1"/>
  <c r="T26" i="3"/>
  <c r="O75" i="3"/>
  <c r="M72" i="4"/>
  <c r="P72" i="4" s="1"/>
  <c r="U306" i="4"/>
  <c r="O189" i="4"/>
  <c r="O416" i="4"/>
  <c r="L320" i="4"/>
  <c r="O320" i="4" s="1"/>
  <c r="R599" i="4"/>
  <c r="U599" i="4" s="1"/>
  <c r="S21" i="1"/>
  <c r="U731" i="1"/>
  <c r="P336" i="1"/>
  <c r="L139" i="1"/>
  <c r="O139" i="1" s="1"/>
  <c r="P97" i="1"/>
  <c r="M282" i="3"/>
  <c r="P282" i="3" s="1"/>
  <c r="T413" i="3"/>
  <c r="T495" i="3"/>
  <c r="M44" i="4"/>
  <c r="R24" i="4"/>
  <c r="U24" i="4" s="1"/>
  <c r="M333" i="4"/>
  <c r="P333" i="4" s="1"/>
  <c r="P416" i="4"/>
  <c r="U188" i="4"/>
  <c r="Q72" i="4"/>
  <c r="T72" i="4" s="1"/>
  <c r="T139" i="3"/>
  <c r="U139" i="4"/>
  <c r="T139" i="4"/>
  <c r="O557" i="4"/>
  <c r="L555" i="4"/>
  <c r="O555" i="4" s="1"/>
  <c r="K632" i="1"/>
  <c r="T189" i="2"/>
  <c r="O268" i="3"/>
  <c r="T141" i="3"/>
  <c r="S616" i="3"/>
  <c r="T616" i="3" s="1"/>
  <c r="O189" i="3"/>
  <c r="L20" i="4"/>
  <c r="O23" i="4"/>
  <c r="L21" i="4"/>
  <c r="O21" i="4" s="1"/>
  <c r="L59" i="4"/>
  <c r="O59" i="4" s="1"/>
  <c r="O61" i="4"/>
  <c r="O188" i="4"/>
  <c r="L186" i="4"/>
  <c r="O186" i="4" s="1"/>
  <c r="P322" i="4"/>
  <c r="M320" i="4"/>
  <c r="P320" i="4" s="1"/>
  <c r="M282" i="4"/>
  <c r="P282" i="4" s="1"/>
  <c r="P284" i="4"/>
  <c r="L232" i="4"/>
  <c r="O243" i="4"/>
  <c r="K242" i="4"/>
  <c r="I231" i="4"/>
  <c r="O284" i="4"/>
  <c r="L282" i="4"/>
  <c r="O282" i="4" s="1"/>
  <c r="O336" i="4"/>
  <c r="K701" i="1"/>
  <c r="U189" i="1"/>
  <c r="T26" i="1"/>
  <c r="U119" i="2"/>
  <c r="P62" i="2"/>
  <c r="T692" i="2"/>
  <c r="P159" i="1"/>
  <c r="O157" i="3"/>
  <c r="R173" i="3"/>
  <c r="U173" i="3" s="1"/>
  <c r="L282" i="3"/>
  <c r="O282" i="3" s="1"/>
  <c r="K242" i="3"/>
  <c r="O159" i="3"/>
  <c r="O415" i="3"/>
  <c r="R20" i="4"/>
  <c r="U23" i="4"/>
  <c r="R21" i="4"/>
  <c r="U21" i="4" s="1"/>
  <c r="P189" i="4"/>
  <c r="L266" i="4"/>
  <c r="O266" i="4" s="1"/>
  <c r="O268" i="4"/>
  <c r="Q413" i="4"/>
  <c r="U730" i="4"/>
  <c r="R728" i="4"/>
  <c r="U728" i="4" s="1"/>
  <c r="M534" i="4"/>
  <c r="P534" i="4" s="1"/>
  <c r="R392" i="4"/>
  <c r="U392" i="4" s="1"/>
  <c r="U394" i="4"/>
  <c r="L320" i="1"/>
  <c r="O320" i="1" s="1"/>
  <c r="M186" i="1"/>
  <c r="R513" i="1"/>
  <c r="U513" i="1" s="1"/>
  <c r="S333" i="1"/>
  <c r="L72" i="2"/>
  <c r="O72" i="2" s="1"/>
  <c r="S356" i="1"/>
  <c r="P21" i="4"/>
  <c r="M24" i="4"/>
  <c r="P24" i="4" s="1"/>
  <c r="L333" i="4"/>
  <c r="O333" i="4" s="1"/>
  <c r="O335" i="4"/>
  <c r="K626" i="1"/>
  <c r="R642" i="1"/>
  <c r="U642" i="1" s="1"/>
  <c r="L94" i="1"/>
  <c r="O94" i="1" s="1"/>
  <c r="N59" i="1"/>
  <c r="T97" i="1"/>
  <c r="R728" i="1"/>
  <c r="M534" i="2"/>
  <c r="P534" i="2" s="1"/>
  <c r="Q72" i="2"/>
  <c r="T72" i="2" s="1"/>
  <c r="T762" i="2"/>
  <c r="S392" i="1"/>
  <c r="R266" i="1"/>
  <c r="K332" i="2"/>
  <c r="M59" i="3"/>
  <c r="P59" i="3" s="1"/>
  <c r="P157" i="3"/>
  <c r="M303" i="3"/>
  <c r="P303" i="3" s="1"/>
  <c r="P359" i="3"/>
  <c r="T693" i="3"/>
  <c r="P23" i="4"/>
  <c r="M20" i="4"/>
  <c r="P141" i="4"/>
  <c r="I71" i="4"/>
  <c r="K71" i="4" s="1"/>
  <c r="K83" i="4"/>
  <c r="U19" i="4"/>
  <c r="M599" i="4"/>
  <c r="P599" i="4" s="1"/>
  <c r="U644" i="4"/>
  <c r="R642" i="4"/>
  <c r="U642" i="4" s="1"/>
  <c r="K374" i="4"/>
  <c r="O175" i="4"/>
  <c r="P268" i="4"/>
  <c r="M266" i="4"/>
  <c r="P266" i="4" s="1"/>
  <c r="S20" i="1"/>
  <c r="P158" i="1"/>
  <c r="N94" i="3"/>
  <c r="P94" i="3" s="1"/>
  <c r="P188" i="3"/>
  <c r="K332" i="3"/>
  <c r="M186" i="4"/>
  <c r="P186" i="4" s="1"/>
  <c r="P188" i="4"/>
  <c r="T730" i="4"/>
  <c r="Q728" i="4"/>
  <c r="T728" i="4" s="1"/>
  <c r="Q534" i="1"/>
  <c r="T534" i="1" s="1"/>
  <c r="U26" i="1"/>
  <c r="Q493" i="1"/>
  <c r="U120" i="1"/>
  <c r="P358" i="1"/>
  <c r="R139" i="2"/>
  <c r="U139" i="2" s="1"/>
  <c r="L94" i="2"/>
  <c r="O94" i="2" s="1"/>
  <c r="T692" i="1"/>
  <c r="O495" i="2"/>
  <c r="O62" i="1"/>
  <c r="N714" i="1"/>
  <c r="P359" i="1"/>
  <c r="O61" i="1"/>
  <c r="O415" i="2"/>
  <c r="T97" i="3"/>
  <c r="O413" i="3"/>
  <c r="T416" i="3"/>
  <c r="T377" i="3"/>
  <c r="P515" i="3"/>
  <c r="U693" i="3"/>
  <c r="O578" i="3"/>
  <c r="O320" i="3"/>
  <c r="P47" i="3"/>
  <c r="Q20" i="4"/>
  <c r="T23" i="4"/>
  <c r="Q21" i="4"/>
  <c r="T21" i="4" s="1"/>
  <c r="S20" i="4"/>
  <c r="S18" i="4" s="1"/>
  <c r="T141" i="4"/>
  <c r="U141" i="4"/>
  <c r="U119" i="4"/>
  <c r="P175" i="4"/>
  <c r="S117" i="4"/>
  <c r="T117" i="4" s="1"/>
  <c r="N139" i="4"/>
  <c r="O139" i="4" s="1"/>
  <c r="M173" i="4"/>
  <c r="P173" i="4" s="1"/>
  <c r="T377" i="4"/>
  <c r="Q375" i="4"/>
  <c r="T375" i="4" s="1"/>
  <c r="U692" i="4"/>
  <c r="R690" i="4"/>
  <c r="U690" i="4" s="1"/>
  <c r="P305" i="4"/>
  <c r="M303" i="4"/>
  <c r="P303" i="4" s="1"/>
  <c r="M555" i="4"/>
  <c r="P555" i="4" s="1"/>
  <c r="P557" i="4"/>
  <c r="P266" i="3"/>
  <c r="T415" i="1"/>
  <c r="Q186" i="1"/>
  <c r="T186" i="1" s="1"/>
  <c r="P320" i="2"/>
  <c r="U618" i="1"/>
  <c r="Q760" i="2"/>
  <c r="T760" i="2" s="1"/>
  <c r="U119" i="1"/>
  <c r="O173" i="2"/>
  <c r="O160" i="3"/>
  <c r="U96" i="3"/>
  <c r="M173" i="3"/>
  <c r="P173" i="3" s="1"/>
  <c r="T119" i="3"/>
  <c r="R24" i="3"/>
  <c r="U24" i="3" s="1"/>
  <c r="L303" i="3"/>
  <c r="O303" i="3" s="1"/>
  <c r="T375" i="3"/>
  <c r="Q599" i="3"/>
  <c r="T599" i="3" s="1"/>
  <c r="P378" i="3"/>
  <c r="U305" i="3"/>
  <c r="O377" i="1"/>
  <c r="P285" i="1"/>
  <c r="S117" i="1"/>
  <c r="U375" i="3"/>
  <c r="T730" i="3"/>
  <c r="L266" i="3"/>
  <c r="O266" i="3" s="1"/>
  <c r="R690" i="3"/>
  <c r="U690" i="3" s="1"/>
  <c r="O188" i="3"/>
  <c r="T730" i="1"/>
  <c r="R413" i="1"/>
  <c r="U413" i="1" s="1"/>
  <c r="K83" i="1"/>
  <c r="N356" i="1"/>
  <c r="M94" i="2"/>
  <c r="P94" i="2" s="1"/>
  <c r="O322" i="2"/>
  <c r="T375" i="2"/>
  <c r="N157" i="1"/>
  <c r="T731" i="2"/>
  <c r="O335" i="3"/>
  <c r="R186" i="2"/>
  <c r="U186" i="2" s="1"/>
  <c r="P557" i="3"/>
  <c r="M555" i="3"/>
  <c r="P555" i="3" s="1"/>
  <c r="S728" i="3"/>
  <c r="U728" i="3" s="1"/>
  <c r="O326" i="3"/>
  <c r="U378" i="3"/>
  <c r="L690" i="1"/>
  <c r="O690" i="1" s="1"/>
  <c r="P578" i="1"/>
  <c r="O519" i="1"/>
  <c r="O188" i="2"/>
  <c r="K71" i="1"/>
  <c r="S375" i="1"/>
  <c r="N186" i="1"/>
  <c r="P61" i="1"/>
  <c r="N576" i="1"/>
  <c r="T74" i="3"/>
  <c r="O186" i="3"/>
  <c r="S21" i="3"/>
  <c r="P269" i="3"/>
  <c r="T378" i="3"/>
  <c r="U416" i="1"/>
  <c r="P305" i="1"/>
  <c r="O268" i="2"/>
  <c r="P24" i="3"/>
  <c r="S72" i="3"/>
  <c r="U72" i="3" s="1"/>
  <c r="P415" i="3"/>
  <c r="M413" i="3"/>
  <c r="P413" i="3" s="1"/>
  <c r="P536" i="3"/>
  <c r="M534" i="3"/>
  <c r="P534" i="3" s="1"/>
  <c r="N576" i="3"/>
  <c r="O576" i="3" s="1"/>
  <c r="R760" i="3"/>
  <c r="U760" i="3" s="1"/>
  <c r="Q642" i="3"/>
  <c r="T642" i="3" s="1"/>
  <c r="T644" i="3"/>
  <c r="S303" i="3"/>
  <c r="T303" i="3" s="1"/>
  <c r="T269" i="3"/>
  <c r="R642" i="3"/>
  <c r="U642" i="3" s="1"/>
  <c r="Q728" i="3"/>
  <c r="I71" i="3"/>
  <c r="K71" i="3" s="1"/>
  <c r="K83" i="3"/>
  <c r="U619" i="3"/>
  <c r="R117" i="2"/>
  <c r="U117" i="2" s="1"/>
  <c r="O305" i="1"/>
  <c r="Q20" i="3"/>
  <c r="T23" i="3"/>
  <c r="Q21" i="3"/>
  <c r="L599" i="1"/>
  <c r="L392" i="1"/>
  <c r="O392" i="1" s="1"/>
  <c r="M139" i="1"/>
  <c r="P139" i="1" s="1"/>
  <c r="O26" i="1"/>
  <c r="R72" i="1"/>
  <c r="U72" i="1" s="1"/>
  <c r="R186" i="1"/>
  <c r="U186" i="1" s="1"/>
  <c r="O44" i="2"/>
  <c r="T377" i="2"/>
  <c r="T728" i="2"/>
  <c r="U189" i="2"/>
  <c r="P322" i="2"/>
  <c r="L20" i="3"/>
  <c r="O23" i="3"/>
  <c r="N21" i="3"/>
  <c r="O21" i="3" s="1"/>
  <c r="N20" i="3"/>
  <c r="N18" i="3" s="1"/>
  <c r="O141" i="3"/>
  <c r="L139" i="3"/>
  <c r="O139" i="3" s="1"/>
  <c r="M186" i="3"/>
  <c r="P186" i="3" s="1"/>
  <c r="R303" i="3"/>
  <c r="M72" i="3"/>
  <c r="P72" i="3" s="1"/>
  <c r="R413" i="3"/>
  <c r="U413" i="3" s="1"/>
  <c r="M375" i="3"/>
  <c r="P375" i="3" s="1"/>
  <c r="U496" i="3"/>
  <c r="L599" i="3"/>
  <c r="O599" i="3" s="1"/>
  <c r="T493" i="3"/>
  <c r="M493" i="3"/>
  <c r="P493" i="3" s="1"/>
  <c r="M599" i="3"/>
  <c r="P599" i="3" s="1"/>
  <c r="Q760" i="3"/>
  <c r="T760" i="3" s="1"/>
  <c r="P23" i="3"/>
  <c r="M20" i="3"/>
  <c r="L59" i="3"/>
  <c r="O59" i="3" s="1"/>
  <c r="O61" i="3"/>
  <c r="K82" i="3"/>
  <c r="I70" i="3"/>
  <c r="K70" i="3" s="1"/>
  <c r="O26" i="3"/>
  <c r="U618" i="3"/>
  <c r="R616" i="3"/>
  <c r="Q690" i="3"/>
  <c r="T690" i="3" s="1"/>
  <c r="T692" i="3"/>
  <c r="P601" i="1"/>
  <c r="N333" i="1"/>
  <c r="M576" i="1"/>
  <c r="N303" i="1"/>
  <c r="O336" i="1"/>
  <c r="M139" i="2"/>
  <c r="P139" i="2" s="1"/>
  <c r="Q714" i="1"/>
  <c r="T714" i="1" s="1"/>
  <c r="U375" i="2"/>
  <c r="N413" i="1"/>
  <c r="U495" i="2"/>
  <c r="O496" i="1"/>
  <c r="S139" i="1"/>
  <c r="T139" i="1" s="1"/>
  <c r="Q375" i="1"/>
  <c r="Q266" i="1"/>
  <c r="J458" i="1"/>
  <c r="L24" i="3"/>
  <c r="O24" i="3" s="1"/>
  <c r="M44" i="3"/>
  <c r="N356" i="3"/>
  <c r="P356" i="3" s="1"/>
  <c r="U19" i="3"/>
  <c r="U141" i="3"/>
  <c r="R139" i="3"/>
  <c r="U139" i="3" s="1"/>
  <c r="O358" i="3"/>
  <c r="L513" i="3"/>
  <c r="O513" i="3" s="1"/>
  <c r="O515" i="3"/>
  <c r="L232" i="3"/>
  <c r="O243" i="3"/>
  <c r="U495" i="3"/>
  <c r="R493" i="3"/>
  <c r="U493" i="3" s="1"/>
  <c r="P578" i="3"/>
  <c r="T619" i="1"/>
  <c r="R20" i="3"/>
  <c r="U23" i="3"/>
  <c r="T731" i="1"/>
  <c r="P519" i="1"/>
  <c r="P268" i="1"/>
  <c r="Q555" i="1"/>
  <c r="T555" i="1" s="1"/>
  <c r="N20" i="1"/>
  <c r="O46" i="2"/>
  <c r="U377" i="2"/>
  <c r="T493" i="2"/>
  <c r="U619" i="2"/>
  <c r="Q94" i="3"/>
  <c r="T94" i="3" s="1"/>
  <c r="T188" i="3"/>
  <c r="U188" i="3"/>
  <c r="R266" i="3"/>
  <c r="U266" i="3" s="1"/>
  <c r="R21" i="3"/>
  <c r="T159" i="3"/>
  <c r="Q157" i="3"/>
  <c r="T157" i="3" s="1"/>
  <c r="S186" i="3"/>
  <c r="T186" i="3" s="1"/>
  <c r="M333" i="3"/>
  <c r="P333" i="3" s="1"/>
  <c r="R392" i="3"/>
  <c r="U392" i="3" s="1"/>
  <c r="U142" i="3"/>
  <c r="P322" i="3"/>
  <c r="M320" i="3"/>
  <c r="P320" i="3" s="1"/>
  <c r="I185" i="3"/>
  <c r="K185" i="3" s="1"/>
  <c r="P26" i="3"/>
  <c r="L493" i="3"/>
  <c r="O493" i="3" s="1"/>
  <c r="O495" i="3"/>
  <c r="T416" i="1"/>
  <c r="U377" i="1"/>
  <c r="S282" i="1"/>
  <c r="P75" i="1"/>
  <c r="P62" i="1"/>
  <c r="P268" i="2"/>
  <c r="L320" i="2"/>
  <c r="O320" i="2" s="1"/>
  <c r="L157" i="2"/>
  <c r="O157" i="2" s="1"/>
  <c r="N186" i="2"/>
  <c r="O186" i="2" s="1"/>
  <c r="M555" i="2"/>
  <c r="P555" i="2" s="1"/>
  <c r="T495" i="2"/>
  <c r="P578" i="2"/>
  <c r="L714" i="1"/>
  <c r="O714" i="1" s="1"/>
  <c r="U496" i="1"/>
  <c r="K701" i="2"/>
  <c r="U96" i="1"/>
  <c r="U692" i="1"/>
  <c r="Q690" i="2"/>
  <c r="T690" i="2" s="1"/>
  <c r="T763" i="1"/>
  <c r="O358" i="1"/>
  <c r="T377" i="1"/>
  <c r="N24" i="1"/>
  <c r="L139" i="2"/>
  <c r="O139" i="2" s="1"/>
  <c r="K503" i="2"/>
  <c r="M760" i="1"/>
  <c r="P760" i="1" s="1"/>
  <c r="R599" i="2"/>
  <c r="U599" i="2" s="1"/>
  <c r="N94" i="1"/>
  <c r="N413" i="2"/>
  <c r="P413" i="2" s="1"/>
  <c r="U493" i="2"/>
  <c r="O188" i="1"/>
  <c r="O176" i="1"/>
  <c r="M303" i="2"/>
  <c r="P303" i="2" s="1"/>
  <c r="R392" i="2"/>
  <c r="U392" i="2" s="1"/>
  <c r="R303" i="1"/>
  <c r="U303" i="1" s="1"/>
  <c r="S493" i="1"/>
  <c r="O269" i="2"/>
  <c r="L599" i="2"/>
  <c r="O599" i="2" s="1"/>
  <c r="L555" i="2"/>
  <c r="O555" i="2" s="1"/>
  <c r="R72" i="2"/>
  <c r="U72" i="2" s="1"/>
  <c r="Q576" i="1"/>
  <c r="T576" i="1" s="1"/>
  <c r="M690" i="1"/>
  <c r="P690" i="1" s="1"/>
  <c r="S728" i="1"/>
  <c r="O495" i="1"/>
  <c r="T141" i="1"/>
  <c r="P26" i="1"/>
  <c r="Q24" i="2"/>
  <c r="T24" i="2" s="1"/>
  <c r="Q303" i="2"/>
  <c r="T303" i="2" s="1"/>
  <c r="R413" i="2"/>
  <c r="K492" i="2"/>
  <c r="Q642" i="2"/>
  <c r="T642" i="2" s="1"/>
  <c r="P142" i="1"/>
  <c r="P415" i="2"/>
  <c r="O305" i="2"/>
  <c r="L303" i="2"/>
  <c r="O303" i="2" s="1"/>
  <c r="Q139" i="2"/>
  <c r="T139" i="2" s="1"/>
  <c r="S20" i="2"/>
  <c r="S18" i="2" s="1"/>
  <c r="O142" i="1"/>
  <c r="K423" i="2"/>
  <c r="I412" i="2"/>
  <c r="K412" i="2" s="1"/>
  <c r="N21" i="2"/>
  <c r="N20" i="2"/>
  <c r="N18" i="2" s="1"/>
  <c r="Q392" i="2"/>
  <c r="T392" i="2" s="1"/>
  <c r="T394" i="2"/>
  <c r="P495" i="2"/>
  <c r="M493" i="2"/>
  <c r="P493" i="2" s="1"/>
  <c r="R690" i="1"/>
  <c r="T693" i="1"/>
  <c r="P65" i="1"/>
  <c r="S19" i="1"/>
  <c r="R24" i="2"/>
  <c r="U24" i="2" s="1"/>
  <c r="U26" i="2"/>
  <c r="P65" i="2"/>
  <c r="M282" i="2"/>
  <c r="P282" i="2" s="1"/>
  <c r="P284" i="2"/>
  <c r="O335" i="2"/>
  <c r="L333" i="2"/>
  <c r="O333" i="2" s="1"/>
  <c r="R714" i="1"/>
  <c r="U714" i="1" s="1"/>
  <c r="U715" i="1"/>
  <c r="Q599" i="2"/>
  <c r="T599" i="2" s="1"/>
  <c r="P602" i="1"/>
  <c r="S576" i="1"/>
  <c r="L356" i="1"/>
  <c r="N375" i="1"/>
  <c r="T75" i="1"/>
  <c r="T96" i="1"/>
  <c r="T189" i="1"/>
  <c r="N117" i="1"/>
  <c r="O75" i="1"/>
  <c r="R356" i="1"/>
  <c r="U356" i="1" s="1"/>
  <c r="P175" i="2"/>
  <c r="M173" i="2"/>
  <c r="P173" i="2" s="1"/>
  <c r="Q173" i="2"/>
  <c r="T173" i="2" s="1"/>
  <c r="P26" i="2"/>
  <c r="Q94" i="2"/>
  <c r="T94" i="2" s="1"/>
  <c r="T96" i="2"/>
  <c r="O175" i="2"/>
  <c r="M24" i="2"/>
  <c r="P24" i="2" s="1"/>
  <c r="S266" i="2"/>
  <c r="U266" i="2" s="1"/>
  <c r="T268" i="2"/>
  <c r="L356" i="2"/>
  <c r="O356" i="2" s="1"/>
  <c r="O358" i="2"/>
  <c r="K82" i="2"/>
  <c r="I70" i="2"/>
  <c r="K70" i="2" s="1"/>
  <c r="P377" i="2"/>
  <c r="M375" i="2"/>
  <c r="P375" i="2" s="1"/>
  <c r="L19" i="1"/>
  <c r="O19" i="1" s="1"/>
  <c r="O304" i="1"/>
  <c r="L303" i="1"/>
  <c r="L493" i="2"/>
  <c r="O493" i="2" s="1"/>
  <c r="K332" i="1"/>
  <c r="L760" i="1"/>
  <c r="O760" i="1" s="1"/>
  <c r="P535" i="1"/>
  <c r="M534" i="1"/>
  <c r="P534" i="1" s="1"/>
  <c r="M72" i="2"/>
  <c r="P72" i="2" s="1"/>
  <c r="P74" i="2"/>
  <c r="P23" i="2"/>
  <c r="M20" i="2"/>
  <c r="M18" i="2" s="1"/>
  <c r="U693" i="1"/>
  <c r="P159" i="2"/>
  <c r="M157" i="2"/>
  <c r="P157" i="2" s="1"/>
  <c r="K83" i="2"/>
  <c r="I71" i="2"/>
  <c r="K71" i="2" s="1"/>
  <c r="M21" i="2"/>
  <c r="R760" i="1"/>
  <c r="U760" i="1" s="1"/>
  <c r="U761" i="1"/>
  <c r="P601" i="2"/>
  <c r="M599" i="2"/>
  <c r="P599" i="2" s="1"/>
  <c r="L555" i="1"/>
  <c r="O555" i="1" s="1"/>
  <c r="R94" i="1"/>
  <c r="U94" i="1" s="1"/>
  <c r="L24" i="2"/>
  <c r="O24" i="2" s="1"/>
  <c r="O26" i="2"/>
  <c r="O47" i="2"/>
  <c r="M173" i="1"/>
  <c r="P173" i="1" s="1"/>
  <c r="P174" i="1"/>
  <c r="L576" i="2"/>
  <c r="O576" i="2" s="1"/>
  <c r="O578" i="2"/>
  <c r="T120" i="1"/>
  <c r="T73" i="1"/>
  <c r="Q72" i="1"/>
  <c r="T72" i="1" s="1"/>
  <c r="M493" i="1"/>
  <c r="P494" i="1"/>
  <c r="R157" i="1"/>
  <c r="U157" i="1" s="1"/>
  <c r="U158" i="1"/>
  <c r="P335" i="2"/>
  <c r="Q117" i="1"/>
  <c r="T118" i="1"/>
  <c r="L728" i="1"/>
  <c r="O728" i="1" s="1"/>
  <c r="O729" i="1"/>
  <c r="P188" i="1"/>
  <c r="Q157" i="1"/>
  <c r="T157" i="1" s="1"/>
  <c r="T158" i="1"/>
  <c r="P188" i="2"/>
  <c r="M576" i="2"/>
  <c r="P576" i="2" s="1"/>
  <c r="P495" i="1"/>
  <c r="L21" i="2"/>
  <c r="L20" i="2"/>
  <c r="O23" i="2"/>
  <c r="L375" i="2"/>
  <c r="O375" i="2" s="1"/>
  <c r="Q20" i="2"/>
  <c r="T23" i="2"/>
  <c r="Q21" i="2"/>
  <c r="T21" i="2" s="1"/>
  <c r="R21" i="2"/>
  <c r="U21" i="2" s="1"/>
  <c r="R20" i="2"/>
  <c r="U23" i="2"/>
  <c r="P119" i="2"/>
  <c r="M117" i="2"/>
  <c r="P117" i="2" s="1"/>
  <c r="Q117" i="2"/>
  <c r="T117" i="2" s="1"/>
  <c r="T119" i="2"/>
  <c r="P333" i="2"/>
  <c r="P515" i="2"/>
  <c r="M513" i="2"/>
  <c r="P513" i="2" s="1"/>
  <c r="P358" i="2"/>
  <c r="M356" i="2"/>
  <c r="P356" i="2" s="1"/>
  <c r="R642" i="2"/>
  <c r="U642" i="2" s="1"/>
  <c r="U644" i="2"/>
  <c r="R616" i="1"/>
  <c r="U617" i="1"/>
  <c r="T60" i="1"/>
  <c r="Q59" i="1"/>
  <c r="T59" i="1" s="1"/>
  <c r="L232" i="2"/>
  <c r="S616" i="2"/>
  <c r="U616" i="2" s="1"/>
  <c r="T618" i="2"/>
  <c r="L493" i="1"/>
  <c r="P269" i="1"/>
  <c r="L24" i="1"/>
  <c r="O269" i="1"/>
  <c r="M44" i="2"/>
  <c r="P46" i="2"/>
  <c r="L117" i="2"/>
  <c r="O117" i="2" s="1"/>
  <c r="M59" i="2"/>
  <c r="P59" i="2" s="1"/>
  <c r="R173" i="2"/>
  <c r="U173" i="2" s="1"/>
  <c r="T188" i="2"/>
  <c r="Q186" i="2"/>
  <c r="T186" i="2" s="1"/>
  <c r="P19" i="2"/>
  <c r="M266" i="2"/>
  <c r="P266" i="2" s="1"/>
  <c r="U763" i="1"/>
  <c r="L534" i="2"/>
  <c r="O534" i="2" s="1"/>
  <c r="O536" i="2"/>
  <c r="O266" i="2"/>
  <c r="O602" i="1"/>
  <c r="R44" i="1"/>
  <c r="U44" i="1" s="1"/>
  <c r="U46" i="1"/>
  <c r="T46" i="1"/>
  <c r="Q44" i="1"/>
  <c r="T44" i="1" s="1"/>
  <c r="P515" i="1"/>
  <c r="U25" i="1"/>
  <c r="R24" i="1"/>
  <c r="M20" i="1"/>
  <c r="P23" i="1"/>
  <c r="R333" i="1"/>
  <c r="U333" i="1" s="1"/>
  <c r="U334" i="1"/>
  <c r="T729" i="1"/>
  <c r="Q728" i="1"/>
  <c r="U283" i="1"/>
  <c r="R282" i="1"/>
  <c r="U282" i="1" s="1"/>
  <c r="R19" i="1"/>
  <c r="U22" i="1"/>
  <c r="R21" i="1"/>
  <c r="L186" i="1"/>
  <c r="U60" i="1"/>
  <c r="R59" i="1"/>
  <c r="U59" i="1" s="1"/>
  <c r="P335" i="1"/>
  <c r="T269" i="1"/>
  <c r="L20" i="1"/>
  <c r="O23" i="1"/>
  <c r="O123" i="1"/>
  <c r="O414" i="1"/>
  <c r="L413" i="1"/>
  <c r="R375" i="1"/>
  <c r="U376" i="1"/>
  <c r="P729" i="1"/>
  <c r="M728" i="1"/>
  <c r="P728" i="1" s="1"/>
  <c r="Q599" i="1"/>
  <c r="T599" i="1" s="1"/>
  <c r="T600" i="1"/>
  <c r="K440" i="1"/>
  <c r="O618" i="1"/>
  <c r="L616" i="1"/>
  <c r="O616" i="1" s="1"/>
  <c r="P715" i="1"/>
  <c r="M714" i="1"/>
  <c r="P714" i="1" s="1"/>
  <c r="N266" i="1"/>
  <c r="O268" i="1"/>
  <c r="T142" i="1"/>
  <c r="O376" i="1"/>
  <c r="L375" i="1"/>
  <c r="T358" i="1"/>
  <c r="Q356" i="1"/>
  <c r="T356" i="1" s="1"/>
  <c r="T618" i="1"/>
  <c r="R20" i="1"/>
  <c r="U23" i="1"/>
  <c r="O65" i="1"/>
  <c r="Q21" i="1"/>
  <c r="Q19" i="1"/>
  <c r="T22" i="1"/>
  <c r="U495" i="1"/>
  <c r="R493" i="1"/>
  <c r="P123" i="1"/>
  <c r="O74" i="1"/>
  <c r="P74" i="1"/>
  <c r="P377" i="1"/>
  <c r="M375" i="1"/>
  <c r="O73" i="1"/>
  <c r="L72" i="1"/>
  <c r="M282" i="1"/>
  <c r="P282" i="1" s="1"/>
  <c r="P283" i="1"/>
  <c r="Q392" i="1"/>
  <c r="T392" i="1" s="1"/>
  <c r="T393" i="1"/>
  <c r="L333" i="1"/>
  <c r="O334" i="1"/>
  <c r="O174" i="1"/>
  <c r="L173" i="1"/>
  <c r="O173" i="1" s="1"/>
  <c r="U118" i="1"/>
  <c r="R117" i="1"/>
  <c r="O159" i="1"/>
  <c r="L157" i="1"/>
  <c r="Q20" i="1"/>
  <c r="T23" i="1"/>
  <c r="P25" i="1"/>
  <c r="M24" i="1"/>
  <c r="R139" i="1"/>
  <c r="P60" i="1"/>
  <c r="M59" i="1"/>
  <c r="U578" i="1"/>
  <c r="R576" i="1"/>
  <c r="U576" i="1" s="1"/>
  <c r="T691" i="1"/>
  <c r="Q690" i="1"/>
  <c r="O514" i="1"/>
  <c r="L513" i="1"/>
  <c r="O513" i="1" s="1"/>
  <c r="O536" i="1"/>
  <c r="L534" i="1"/>
  <c r="O534" i="1" s="1"/>
  <c r="M513" i="1"/>
  <c r="P513" i="1" s="1"/>
  <c r="Q413" i="1"/>
  <c r="T413" i="1" s="1"/>
  <c r="T414" i="1"/>
  <c r="O335" i="1"/>
  <c r="R599" i="1"/>
  <c r="U599" i="1" s="1"/>
  <c r="T321" i="1"/>
  <c r="Q320" i="1"/>
  <c r="T320" i="1" s="1"/>
  <c r="P46" i="1"/>
  <c r="O46" i="1"/>
  <c r="P96" i="1"/>
  <c r="M94" i="1"/>
  <c r="L21" i="1"/>
  <c r="P22" i="1"/>
  <c r="M21" i="1"/>
  <c r="M19" i="1"/>
  <c r="T305" i="1"/>
  <c r="Q303" i="1"/>
  <c r="T303" i="1" s="1"/>
  <c r="O515" i="1"/>
  <c r="Q24" i="1"/>
  <c r="R173" i="1"/>
  <c r="U173" i="1" s="1"/>
  <c r="U536" i="1"/>
  <c r="R534" i="1"/>
  <c r="U534" i="1" s="1"/>
  <c r="N21" i="1"/>
  <c r="N19" i="1"/>
  <c r="R392" i="1"/>
  <c r="U392" i="1" s="1"/>
  <c r="U393" i="1"/>
  <c r="L282" i="1"/>
  <c r="O282" i="1" s="1"/>
  <c r="O283" i="1"/>
  <c r="K82" i="1"/>
  <c r="I70" i="1"/>
  <c r="K70" i="1" s="1"/>
  <c r="T643" i="1"/>
  <c r="Q642" i="1"/>
  <c r="T642" i="1" s="1"/>
  <c r="U556" i="1"/>
  <c r="R555" i="1"/>
  <c r="U555" i="1" s="1"/>
  <c r="M333" i="1"/>
  <c r="P334" i="1"/>
  <c r="T334" i="1"/>
  <c r="Q333" i="1"/>
  <c r="T333" i="1" s="1"/>
  <c r="I169" i="1"/>
  <c r="K169" i="1" s="1"/>
  <c r="K168" i="1"/>
  <c r="M642" i="1"/>
  <c r="P642" i="1" s="1"/>
  <c r="Q616" i="1"/>
  <c r="T617" i="1"/>
  <c r="K423" i="1"/>
  <c r="M555" i="1"/>
  <c r="P555" i="1" s="1"/>
  <c r="P557" i="1"/>
  <c r="P73" i="1"/>
  <c r="M72" i="1"/>
  <c r="O378" i="1"/>
  <c r="P322" i="1"/>
  <c r="M320" i="1"/>
  <c r="P320" i="1" s="1"/>
  <c r="U415" i="1"/>
  <c r="P304" i="1"/>
  <c r="M303" i="1"/>
  <c r="U269" i="1"/>
  <c r="T761" i="1"/>
  <c r="Q760" i="1"/>
  <c r="T760" i="1" s="1"/>
  <c r="L642" i="1"/>
  <c r="O642" i="1" s="1"/>
  <c r="P618" i="1"/>
  <c r="M616" i="1"/>
  <c r="P616" i="1" s="1"/>
  <c r="L576" i="1"/>
  <c r="O578" i="1"/>
  <c r="M392" i="1"/>
  <c r="P392" i="1" s="1"/>
  <c r="M413" i="1"/>
  <c r="P415" i="1"/>
  <c r="T283" i="1"/>
  <c r="Q282" i="1"/>
  <c r="T282" i="1" s="1"/>
  <c r="T95" i="1"/>
  <c r="Q94" i="1"/>
  <c r="T94" i="1" s="1"/>
  <c r="O60" i="1"/>
  <c r="L59" i="1"/>
  <c r="P306" i="1"/>
  <c r="N44" i="1"/>
  <c r="O44" i="1" s="1"/>
  <c r="M599" i="1"/>
  <c r="T94" i="15" l="1"/>
  <c r="U20" i="15"/>
  <c r="N40" i="14"/>
  <c r="T21" i="13"/>
  <c r="O186" i="15"/>
  <c r="O186" i="14"/>
  <c r="I185" i="11"/>
  <c r="K185" i="11" s="1"/>
  <c r="K231" i="15"/>
  <c r="I185" i="15"/>
  <c r="K185" i="15" s="1"/>
  <c r="M40" i="15"/>
  <c r="P44" i="15"/>
  <c r="T21" i="15"/>
  <c r="T139" i="15"/>
  <c r="T375" i="8"/>
  <c r="T303" i="14"/>
  <c r="O356" i="15"/>
  <c r="L40" i="15"/>
  <c r="O44" i="15"/>
  <c r="T20" i="15"/>
  <c r="Q18" i="15"/>
  <c r="T18" i="15" s="1"/>
  <c r="O173" i="13"/>
  <c r="U20" i="13"/>
  <c r="T20" i="13"/>
  <c r="T616" i="14"/>
  <c r="R18" i="15"/>
  <c r="U18" i="15" s="1"/>
  <c r="O20" i="15"/>
  <c r="L18" i="15"/>
  <c r="O18" i="15" s="1"/>
  <c r="P20" i="15"/>
  <c r="M18" i="15"/>
  <c r="P18" i="15" s="1"/>
  <c r="P72" i="15"/>
  <c r="N40" i="15"/>
  <c r="T18" i="14"/>
  <c r="O20" i="14"/>
  <c r="L18" i="14"/>
  <c r="O18" i="14" s="1"/>
  <c r="O266" i="14"/>
  <c r="K231" i="14"/>
  <c r="I185" i="14"/>
  <c r="K185" i="14" s="1"/>
  <c r="K231" i="13"/>
  <c r="I185" i="13"/>
  <c r="K185" i="13" s="1"/>
  <c r="M40" i="14"/>
  <c r="U266" i="14"/>
  <c r="U20" i="14"/>
  <c r="T20" i="14"/>
  <c r="L40" i="14"/>
  <c r="O44" i="14"/>
  <c r="P20" i="14"/>
  <c r="M18" i="14"/>
  <c r="P18" i="14" s="1"/>
  <c r="O21" i="14"/>
  <c r="P266" i="14"/>
  <c r="U18" i="14"/>
  <c r="P21" i="8"/>
  <c r="U20" i="6"/>
  <c r="T690" i="1"/>
  <c r="T20" i="12"/>
  <c r="O139" i="9"/>
  <c r="L40" i="13"/>
  <c r="O44" i="13"/>
  <c r="M40" i="13"/>
  <c r="P44" i="13"/>
  <c r="O20" i="13"/>
  <c r="L18" i="13"/>
  <c r="O18" i="13" s="1"/>
  <c r="N40" i="13"/>
  <c r="U18" i="13"/>
  <c r="Q18" i="13"/>
  <c r="T18" i="13" s="1"/>
  <c r="P20" i="13"/>
  <c r="M18" i="13"/>
  <c r="P18" i="13" s="1"/>
  <c r="T303" i="11"/>
  <c r="P18" i="12"/>
  <c r="U616" i="1"/>
  <c r="T760" i="4"/>
  <c r="U20" i="10"/>
  <c r="T18" i="10"/>
  <c r="M40" i="12"/>
  <c r="P40" i="12" s="1"/>
  <c r="P44" i="12"/>
  <c r="U186" i="12"/>
  <c r="P20" i="12"/>
  <c r="O59" i="11"/>
  <c r="K231" i="12"/>
  <c r="I185" i="12"/>
  <c r="K185" i="12" s="1"/>
  <c r="L40" i="12"/>
  <c r="O40" i="12" s="1"/>
  <c r="U760" i="12"/>
  <c r="T760" i="12"/>
  <c r="Q18" i="12"/>
  <c r="T18" i="12" s="1"/>
  <c r="U20" i="12"/>
  <c r="R18" i="12"/>
  <c r="U18" i="12" s="1"/>
  <c r="O20" i="12"/>
  <c r="L18" i="12"/>
  <c r="O18" i="12" s="1"/>
  <c r="O21" i="12"/>
  <c r="P21" i="12"/>
  <c r="O356" i="11"/>
  <c r="T21" i="11"/>
  <c r="U266" i="9"/>
  <c r="T139" i="9"/>
  <c r="U20" i="11"/>
  <c r="P333" i="8"/>
  <c r="N40" i="11"/>
  <c r="T20" i="11"/>
  <c r="T20" i="5"/>
  <c r="L40" i="11"/>
  <c r="O44" i="11"/>
  <c r="T375" i="10"/>
  <c r="Q18" i="11"/>
  <c r="T18" i="11" s="1"/>
  <c r="R18" i="11"/>
  <c r="U18" i="11" s="1"/>
  <c r="M40" i="11"/>
  <c r="P44" i="11"/>
  <c r="P20" i="11"/>
  <c r="M18" i="11"/>
  <c r="P18" i="11" s="1"/>
  <c r="O20" i="11"/>
  <c r="L18" i="11"/>
  <c r="O18" i="11" s="1"/>
  <c r="U760" i="9"/>
  <c r="O44" i="10"/>
  <c r="O186" i="9"/>
  <c r="T20" i="10"/>
  <c r="O18" i="10"/>
  <c r="O20" i="10"/>
  <c r="P21" i="10"/>
  <c r="I185" i="2"/>
  <c r="K185" i="2" s="1"/>
  <c r="P20" i="10"/>
  <c r="M18" i="10"/>
  <c r="P18" i="10" s="1"/>
  <c r="P266" i="9"/>
  <c r="L40" i="10"/>
  <c r="O40" i="10" s="1"/>
  <c r="M40" i="10"/>
  <c r="P40" i="10" s="1"/>
  <c r="P44" i="10"/>
  <c r="P356" i="6"/>
  <c r="N40" i="6"/>
  <c r="T728" i="9"/>
  <c r="R18" i="10"/>
  <c r="U18" i="10" s="1"/>
  <c r="P21" i="9"/>
  <c r="N40" i="9"/>
  <c r="Q18" i="9"/>
  <c r="T18" i="9" s="1"/>
  <c r="T20" i="9"/>
  <c r="I185" i="8"/>
  <c r="K185" i="8" s="1"/>
  <c r="T72" i="9"/>
  <c r="T642" i="7"/>
  <c r="O20" i="9"/>
  <c r="L18" i="9"/>
  <c r="O18" i="9" s="1"/>
  <c r="T616" i="1"/>
  <c r="T413" i="4"/>
  <c r="T413" i="6"/>
  <c r="P20" i="8"/>
  <c r="M40" i="9"/>
  <c r="P44" i="9"/>
  <c r="L40" i="9"/>
  <c r="O44" i="9"/>
  <c r="K231" i="9"/>
  <c r="I185" i="9"/>
  <c r="K185" i="9" s="1"/>
  <c r="P303" i="9"/>
  <c r="U20" i="9"/>
  <c r="R18" i="9"/>
  <c r="U18" i="9" s="1"/>
  <c r="P20" i="9"/>
  <c r="M18" i="9"/>
  <c r="P18" i="9" s="1"/>
  <c r="O20" i="7"/>
  <c r="U20" i="7"/>
  <c r="P20" i="7"/>
  <c r="N40" i="8"/>
  <c r="U24" i="1"/>
  <c r="O413" i="4"/>
  <c r="M18" i="8"/>
  <c r="P18" i="8" s="1"/>
  <c r="U760" i="7"/>
  <c r="M40" i="8"/>
  <c r="L40" i="8"/>
  <c r="O40" i="8" s="1"/>
  <c r="U690" i="1"/>
  <c r="U20" i="8"/>
  <c r="T20" i="8"/>
  <c r="Q18" i="8"/>
  <c r="T18" i="8" s="1"/>
  <c r="O20" i="8"/>
  <c r="L18" i="8"/>
  <c r="O18" i="8" s="1"/>
  <c r="U94" i="8"/>
  <c r="T94" i="8"/>
  <c r="T266" i="8"/>
  <c r="R18" i="8"/>
  <c r="U18" i="8" s="1"/>
  <c r="P21" i="6"/>
  <c r="U375" i="5"/>
  <c r="P266" i="1"/>
  <c r="T20" i="6"/>
  <c r="O21" i="7"/>
  <c r="M18" i="7"/>
  <c r="P18" i="7" s="1"/>
  <c r="Q18" i="6"/>
  <c r="I185" i="7"/>
  <c r="K185" i="7" s="1"/>
  <c r="K231" i="7"/>
  <c r="P21" i="7"/>
  <c r="R18" i="7"/>
  <c r="U18" i="7" s="1"/>
  <c r="L40" i="7"/>
  <c r="O40" i="7" s="1"/>
  <c r="O44" i="7"/>
  <c r="T20" i="7"/>
  <c r="Q18" i="7"/>
  <c r="T18" i="7" s="1"/>
  <c r="M40" i="7"/>
  <c r="P40" i="7" s="1"/>
  <c r="U616" i="3"/>
  <c r="L18" i="7"/>
  <c r="O18" i="7" s="1"/>
  <c r="T21" i="6"/>
  <c r="P94" i="1"/>
  <c r="O413" i="1"/>
  <c r="P356" i="5"/>
  <c r="P413" i="1"/>
  <c r="U20" i="5"/>
  <c r="O356" i="1"/>
  <c r="P44" i="5"/>
  <c r="L40" i="6"/>
  <c r="O44" i="6"/>
  <c r="P18" i="2"/>
  <c r="P117" i="1"/>
  <c r="P44" i="4"/>
  <c r="U266" i="5"/>
  <c r="U266" i="1"/>
  <c r="M40" i="5"/>
  <c r="O20" i="6"/>
  <c r="L18" i="6"/>
  <c r="O18" i="6" s="1"/>
  <c r="T18" i="6"/>
  <c r="P356" i="1"/>
  <c r="O413" i="5"/>
  <c r="P20" i="6"/>
  <c r="M18" i="6"/>
  <c r="P18" i="6" s="1"/>
  <c r="T728" i="3"/>
  <c r="P186" i="1"/>
  <c r="M40" i="6"/>
  <c r="P40" i="6" s="1"/>
  <c r="U413" i="2"/>
  <c r="L40" i="5"/>
  <c r="R18" i="6"/>
  <c r="U18" i="6" s="1"/>
  <c r="U20" i="1"/>
  <c r="O493" i="1"/>
  <c r="T728" i="1"/>
  <c r="P493" i="1"/>
  <c r="P21" i="2"/>
  <c r="S18" i="1"/>
  <c r="K457" i="1"/>
  <c r="P599" i="1"/>
  <c r="O21" i="5"/>
  <c r="T20" i="1"/>
  <c r="U20" i="3"/>
  <c r="P157" i="1"/>
  <c r="U18" i="5"/>
  <c r="O576" i="1"/>
  <c r="T24" i="1"/>
  <c r="T493" i="1"/>
  <c r="U20" i="4"/>
  <c r="T21" i="5"/>
  <c r="P333" i="5"/>
  <c r="K231" i="5"/>
  <c r="I185" i="5"/>
  <c r="K185" i="5" s="1"/>
  <c r="P20" i="5"/>
  <c r="M18" i="5"/>
  <c r="P18" i="5" s="1"/>
  <c r="O21" i="2"/>
  <c r="T266" i="1"/>
  <c r="O599" i="1"/>
  <c r="O20" i="5"/>
  <c r="L18" i="5"/>
  <c r="O18" i="5" s="1"/>
  <c r="Q18" i="5"/>
  <c r="T18" i="5" s="1"/>
  <c r="N40" i="5"/>
  <c r="U728" i="5"/>
  <c r="P266" i="5"/>
  <c r="P59" i="1"/>
  <c r="T375" i="1"/>
  <c r="U117" i="1"/>
  <c r="P24" i="1"/>
  <c r="U21" i="1"/>
  <c r="P303" i="1"/>
  <c r="P72" i="1"/>
  <c r="U375" i="1"/>
  <c r="T21" i="1"/>
  <c r="O72" i="1"/>
  <c r="Q18" i="4"/>
  <c r="T18" i="4" s="1"/>
  <c r="T20" i="4"/>
  <c r="P20" i="4"/>
  <c r="M18" i="4"/>
  <c r="P18" i="4" s="1"/>
  <c r="K231" i="4"/>
  <c r="I185" i="4"/>
  <c r="K185" i="4" s="1"/>
  <c r="O59" i="1"/>
  <c r="P333" i="1"/>
  <c r="T117" i="1"/>
  <c r="R18" i="4"/>
  <c r="U18" i="4" s="1"/>
  <c r="O20" i="4"/>
  <c r="L18" i="4"/>
  <c r="O18" i="4" s="1"/>
  <c r="M40" i="4"/>
  <c r="U117" i="4"/>
  <c r="O24" i="1"/>
  <c r="L40" i="4"/>
  <c r="U139" i="1"/>
  <c r="O303" i="1"/>
  <c r="U728" i="1"/>
  <c r="P576" i="1"/>
  <c r="U303" i="3"/>
  <c r="P139" i="4"/>
  <c r="N40" i="4"/>
  <c r="P20" i="1"/>
  <c r="O413" i="2"/>
  <c r="U21" i="3"/>
  <c r="R18" i="3"/>
  <c r="U18" i="3" s="1"/>
  <c r="O157" i="1"/>
  <c r="O333" i="1"/>
  <c r="O186" i="1"/>
  <c r="P576" i="3"/>
  <c r="T21" i="3"/>
  <c r="N18" i="1"/>
  <c r="M40" i="3"/>
  <c r="P44" i="3"/>
  <c r="O20" i="3"/>
  <c r="L18" i="3"/>
  <c r="O18" i="3" s="1"/>
  <c r="P21" i="3"/>
  <c r="L40" i="3"/>
  <c r="P20" i="3"/>
  <c r="M18" i="3"/>
  <c r="P18" i="3" s="1"/>
  <c r="T72" i="3"/>
  <c r="N40" i="2"/>
  <c r="T20" i="3"/>
  <c r="Q18" i="3"/>
  <c r="T18" i="3" s="1"/>
  <c r="U186" i="3"/>
  <c r="N40" i="3"/>
  <c r="O356" i="3"/>
  <c r="O117" i="1"/>
  <c r="P186" i="2"/>
  <c r="U493" i="1"/>
  <c r="O375" i="1"/>
  <c r="L40" i="2"/>
  <c r="M40" i="2"/>
  <c r="P44" i="2"/>
  <c r="U20" i="2"/>
  <c r="R18" i="2"/>
  <c r="U18" i="2" s="1"/>
  <c r="P375" i="1"/>
  <c r="O20" i="2"/>
  <c r="L18" i="2"/>
  <c r="O18" i="2" s="1"/>
  <c r="T266" i="2"/>
  <c r="T20" i="2"/>
  <c r="Q18" i="2"/>
  <c r="T18" i="2" s="1"/>
  <c r="P20" i="2"/>
  <c r="T616" i="2"/>
  <c r="U19" i="1"/>
  <c r="R18" i="1"/>
  <c r="O266" i="1"/>
  <c r="P44" i="1"/>
  <c r="O21" i="1"/>
  <c r="P19" i="1"/>
  <c r="M18" i="1"/>
  <c r="O20" i="1"/>
  <c r="L18" i="1"/>
  <c r="P21" i="1"/>
  <c r="Q18" i="1"/>
  <c r="T19" i="1"/>
  <c r="P40" i="14" l="1"/>
  <c r="O40" i="14"/>
  <c r="P40" i="9"/>
  <c r="P40" i="15"/>
  <c r="O40" i="15"/>
  <c r="P40" i="13"/>
  <c r="O40" i="13"/>
  <c r="P40" i="11"/>
  <c r="O40" i="11"/>
  <c r="O40" i="9"/>
  <c r="O40" i="6"/>
  <c r="U18" i="1"/>
  <c r="P40" i="8"/>
  <c r="T18" i="1"/>
  <c r="O40" i="5"/>
  <c r="P40" i="5"/>
  <c r="O18" i="1"/>
  <c r="O40" i="4"/>
  <c r="P18" i="1"/>
  <c r="P40" i="4"/>
  <c r="O40" i="2"/>
  <c r="P40" i="2"/>
  <c r="O40" i="3"/>
  <c r="P40" i="3"/>
</calcChain>
</file>

<file path=xl/sharedStrings.xml><?xml version="1.0" encoding="utf-8"?>
<sst xmlns="http://schemas.openxmlformats.org/spreadsheetml/2006/main" count="19735" uniqueCount="333">
  <si>
    <t>รายละเอียดแผนงาน/โครงการ ผลผลิต/กิจกรรม ปีงบประมาณ พ.ศ. 2567</t>
  </si>
  <si>
    <t>รวมภาคใต้</t>
  </si>
  <si>
    <t>งบประมาณตาม พ.ร.บ.</t>
  </si>
  <si>
    <t>งบประมาณกองทุน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</si>
  <si>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</si>
  <si>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</si>
  <si>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</si>
  <si>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</si>
  <si>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</si>
  <si>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</si>
  <si>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</si>
  <si>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</si>
  <si>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</si>
  <si>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</si>
  <si>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</si>
  <si>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</si>
  <si>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</si>
  <si>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</si>
  <si>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</si>
  <si>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</si>
  <si>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</si>
  <si>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</si>
  <si>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</si>
  <si>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</si>
  <si>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</si>
  <si>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</si>
  <si>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</si>
  <si>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</si>
  <si>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</si>
  <si>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</si>
  <si>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</si>
  <si>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</si>
  <si>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</si>
  <si>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</si>
  <si>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</si>
  <si>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</si>
  <si>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</si>
  <si>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</si>
  <si>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</si>
  <si>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</si>
  <si>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</si>
  <si>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</si>
  <si>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</si>
  <si>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</si>
  <si>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</si>
  <si>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</si>
  <si>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</si>
  <si>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</si>
  <si>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</si>
  <si>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</si>
  <si>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</si>
  <si>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</si>
  <si>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</si>
  <si>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</si>
  <si>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</si>
  <si>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</si>
  <si>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</si>
  <si>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</si>
  <si>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</si>
  <si>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</si>
  <si>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</si>
  <si>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</si>
  <si>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</si>
  <si>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</si>
  <si>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</si>
  <si>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</si>
  <si>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</si>
  <si>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</si>
  <si>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</si>
  <si>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</si>
  <si>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</si>
  <si>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</si>
  <si>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</si>
  <si>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</si>
  <si>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</si>
  <si>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</si>
  <si>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</si>
  <si>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</si>
  <si>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</si>
  <si>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</si>
  <si>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</si>
  <si>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</si>
  <si>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</si>
  <si>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</si>
  <si>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</si>
  <si>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</si>
  <si>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</si>
  <si>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</si>
  <si>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</si>
  <si>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</si>
  <si>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</si>
  <si>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</si>
  <si>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</si>
  <si>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</si>
  <si>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</si>
  <si>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</si>
  <si>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</si>
  <si>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</si>
  <si>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</si>
  <si>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</si>
  <si>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</si>
  <si>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</si>
  <si>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</si>
  <si>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</si>
  <si>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</si>
  <si>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</si>
  <si>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</si>
  <si>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</si>
  <si>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</si>
  <si>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</si>
  <si>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</si>
  <si>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</si>
  <si>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</si>
  <si>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</si>
  <si>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</si>
  <si>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</si>
  <si>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</si>
  <si>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</si>
  <si>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</si>
  <si>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</si>
  <si>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</si>
  <si>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</si>
  <si>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</si>
  <si>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</si>
  <si>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</si>
  <si>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</si>
  <si>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</si>
  <si>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</si>
  <si>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</si>
  <si>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</si>
  <si>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</si>
  <si>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</si>
  <si>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</si>
  <si>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</si>
  <si>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</si>
  <si>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</si>
  <si>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</si>
  <si>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</si>
  <si>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</si>
  <si>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</si>
  <si>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</si>
  <si>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</si>
  <si>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</si>
  <si>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</si>
  <si>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</si>
  <si>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</si>
  <si>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</si>
  <si>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</si>
  <si>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</si>
  <si>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</si>
  <si>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</si>
  <si>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</si>
  <si>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</si>
  <si>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</si>
  <si>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</si>
  <si>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</si>
  <si>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</si>
  <si>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</si>
  <si>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</si>
  <si>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</si>
  <si>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</si>
  <si>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</si>
  <si>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</si>
  <si>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</si>
  <si>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</si>
  <si>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</si>
  <si>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</si>
  <si>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</si>
  <si>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</si>
  <si>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</si>
  <si>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</si>
  <si>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</si>
  <si>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</si>
  <si>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</si>
  <si>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</si>
  <si>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</si>
  <si>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</si>
  <si>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</si>
  <si>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</si>
  <si>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</si>
  <si>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</si>
  <si>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</si>
  <si>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</si>
  <si>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</si>
  <si>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</si>
  <si>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</si>
  <si>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</si>
  <si>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</si>
  <si>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</si>
  <si>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</si>
  <si>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</si>
  <si>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</si>
  <si>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</si>
  <si>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</si>
  <si>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</si>
  <si>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</si>
  <si>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</si>
  <si>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</si>
  <si>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</si>
  <si>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</si>
  <si>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</si>
  <si>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</si>
  <si>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</si>
  <si>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</si>
  <si>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</si>
  <si>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</si>
  <si>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</si>
  <si>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</si>
  <si>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</si>
  <si>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</si>
  <si>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</si>
  <si>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</si>
  <si>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 xml:space="preserve"> </t>
  </si>
  <si>
    <t>กิจกรรมฝายชะลอน้ำแบบชั่วคราวสำหรับการเพิ่มประสิทธิภาพของแหล่งน้ำ</t>
  </si>
  <si>
    <t>- อบรม</t>
  </si>
  <si>
    <t>- ก่อสร้างฝายชะลอน้ำแบบชั่วคราว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</si>
  <si>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</si>
  <si>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</si>
  <si>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</si>
  <si>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</si>
  <si>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</si>
  <si>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</si>
  <si>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</si>
  <si>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</si>
  <si>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</si>
  <si>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</si>
  <si>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</si>
  <si>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</si>
  <si>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</si>
  <si>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</si>
  <si>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</si>
  <si>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</si>
  <si>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</si>
  <si>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</si>
  <si>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</si>
  <si>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</si>
  <si>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</si>
  <si>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</si>
  <si>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</si>
  <si>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</si>
  <si>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</si>
  <si>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</si>
  <si>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</si>
  <si>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</si>
  <si>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</si>
  <si>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</si>
  <si>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</si>
  <si>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</si>
  <si>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</si>
  <si>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</si>
  <si>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</si>
  <si>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</si>
  <si>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</si>
  <si>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</si>
  <si>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</si>
  <si>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</si>
  <si>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</si>
  <si>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</si>
  <si>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</si>
  <si>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</si>
  <si>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</si>
  <si>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</si>
  <si>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</si>
  <si>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</si>
  <si>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</si>
  <si>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</si>
  <si>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</si>
  <si>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</si>
  <si>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</si>
  <si>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</si>
  <si>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</si>
  <si>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</si>
  <si>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</si>
  <si>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</si>
  <si>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</si>
  <si>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</si>
  <si>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</si>
  <si>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</si>
  <si>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</si>
  <si>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</si>
  <si>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</si>
  <si>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</si>
  <si>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</si>
  <si>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</si>
  <si>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</si>
  <si>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</si>
  <si>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</si>
  <si>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</si>
  <si>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</si>
  <si>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</si>
  <si>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</si>
  <si>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</si>
  <si>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</si>
  <si>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</si>
  <si>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</si>
  <si>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</si>
  <si>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</si>
  <si>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</si>
  <si>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</si>
  <si>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:</t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</si>
  <si>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</si>
  <si>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</si>
  <si>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</si>
  <si>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</si>
  <si>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</si>
  <si>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</si>
  <si>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</si>
  <si>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</si>
  <si>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</si>
  <si>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</si>
  <si>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t>- ค่าจ้างเหมาบริการ</t>
  </si>
  <si>
    <t>- ค่าใช้จ่ายในการบริหารงาน</t>
  </si>
  <si>
    <t>- งบบริหารโครงการ</t>
  </si>
  <si>
    <t>สำนักงานการปฏิรูปที่ดินจังหวัด กระบี่</t>
  </si>
  <si>
    <t>สำนักงานการปฏิรูปที่ดินจังหวัด ชุมพร</t>
  </si>
  <si>
    <t>สำนักงานการปฏิรูปที่ดินจังหวัด ตรัง</t>
  </si>
  <si>
    <t>(5) โครงการพัฒนาพื้นที่ลุ่มน้ำปากพนัง</t>
  </si>
  <si>
    <t>สำนักงานการปฏิรูปที่ดินจังหวัด นครศรีธรรมราช</t>
  </si>
  <si>
    <t>- แล้วเสร็จ</t>
  </si>
  <si>
    <t>สำนักงานการปฏิรูปที่ดินจังหวัด นราธิวาส</t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</si>
  <si>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</si>
  <si>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</si>
  <si>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</si>
  <si>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t>สำนักงานการปฏิรูปที่ดินจังหวัด ภูเก็ต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</si>
  <si>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</si>
  <si>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</si>
  <si>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</si>
  <si>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r>
      <rPr>
        <sz val="15"/>
        <color rgb="FF000000"/>
        <rFont val="Arial"/>
      </rPr>
      <t xml:space="preserve">- เกษตรกร </t>
    </r>
    <r>
      <rPr>
        <b/>
        <sz val="15"/>
        <color rgb="FF000000"/>
        <rFont val="Arial"/>
      </rPr>
      <t>เฉพาะ</t>
    </r>
    <r>
      <rPr>
        <sz val="15"/>
        <color rgb="FF000000"/>
        <rFont val="Arial"/>
      </rPr>
      <t xml:space="preserve"> ที่ได้รับการอบรม</t>
    </r>
  </si>
  <si>
    <r>
      <rPr>
        <sz val="15"/>
        <color rgb="FF000000"/>
        <rFont val="Arial"/>
      </rPr>
      <t xml:space="preserve">- เกษตรกรที่เข้าร่วมโครงการ </t>
    </r>
    <r>
      <rPr>
        <b/>
        <sz val="15"/>
        <color rgb="FF000000"/>
        <rFont val="Arial"/>
      </rPr>
      <t>ทั้งหมด</t>
    </r>
  </si>
  <si>
    <r>
      <rPr>
        <b/>
        <sz val="15"/>
        <color rgb="FF000000"/>
        <rFont val="Arial"/>
      </rPr>
      <t xml:space="preserve">หลักสูตร </t>
    </r>
    <r>
      <rPr>
        <sz val="15"/>
        <color rgb="FF000000"/>
        <rFont val="Arial"/>
      </rPr>
      <t>แนวทางการเฝ้าระวังการเผาไหม้ฯ</t>
    </r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</si>
  <si>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</si>
  <si>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</si>
  <si>
    <t>ข้อมูล ณ วันที่ 31 พ.ค.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</si>
</sst>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"/>
    <numFmt numFmtId="165" formatCode="_-* #,##0_-;\-* #,##0_-;_-* &quot;-&quot;??_-;_-@"/>
    <numFmt numFmtId="166" formatCode="_-* #,##0.00_-;\-* #,##0.00_-;_-* &quot;-&quot;??_-;_-@"/>
    <numFmt numFmtId="167" formatCode="_(* #,##0_);_(* \(#,##0\);_(* &quot;-&quot;??_);_(@_)"/>
    <numFmt numFmtId="168" formatCode="_-* #,##0.0_-;\-* #,##0.0_-;_-* &quot;-&quot;_-;_-@"/>
    <numFmt numFmtId="169" formatCode="_-* #,##0.00_-;\-* #,##0.00_-;_-* &quot;-&quot;????_-;_-@"/>
    <numFmt numFmtId="170" formatCode="_-* #,##0.00_-;\-* #,##0.00_-;_-* &quot;-&quot;_-;_-@"/>
  </numFmts>
  <fonts count="48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theme="1"/>
      <name val="Arial"/>
    </font>
    <font>
      <b/>
      <sz val="15"/>
      <color rgb="FFFFFFFF"/>
      <name val="Arial"/>
    </font>
    <font>
      <sz val="10"/>
      <name val="Arial"/>
    </font>
    <font>
      <b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sz val="15"/>
      <color rgb="FFFF0000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u/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1"/>
      <color theme="1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sz val="10"/>
      <color rgb="FFFF0000"/>
      <name val="Arial"/>
    </font>
    <font>
      <u/>
      <sz val="15"/>
      <color rgb="FF000000"/>
      <name val="Arial"/>
    </font>
    <font>
      <sz val="10"/>
      <color theme="1"/>
      <name val="Arial"/>
      <scheme val="minor"/>
    </font>
    <font>
      <u/>
      <sz val="15"/>
      <color rgb="FFFF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2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899">
    <xf numFmtId="0" fontId="0" fillId="0" borderId="0" xfId="0"/>
    <xf numFmtId="0" fontId="2" fillId="2" borderId="1" xfId="0" applyFont="1" applyFill="1" applyBorder="1"/>
    <xf numFmtId="164" fontId="2" fillId="2" borderId="1" xfId="0" applyNumberFormat="1" applyFont="1" applyFill="1" applyBorder="1" applyAlignment="1">
      <alignment horizontal="right"/>
    </xf>
    <xf numFmtId="165" fontId="2" fillId="2" borderId="1" xfId="0" applyNumberFormat="1" applyFont="1" applyFill="1" applyBorder="1"/>
    <xf numFmtId="166" fontId="2" fillId="2" borderId="2" xfId="0" applyNumberFormat="1" applyFont="1" applyFill="1" applyBorder="1"/>
    <xf numFmtId="0" fontId="5" fillId="5" borderId="6" xfId="0" applyFont="1" applyFill="1" applyBorder="1" applyAlignment="1">
      <alignment horizontal="center"/>
    </xf>
    <xf numFmtId="0" fontId="2" fillId="5" borderId="2" xfId="0" applyFont="1" applyFill="1" applyBorder="1"/>
    <xf numFmtId="166" fontId="5" fillId="6" borderId="2" xfId="0" applyNumberFormat="1" applyFont="1" applyFill="1" applyBorder="1" applyAlignment="1">
      <alignment horizontal="center"/>
    </xf>
    <xf numFmtId="165" fontId="5" fillId="6" borderId="2" xfId="0" applyNumberFormat="1" applyFont="1" applyFill="1" applyBorder="1" applyAlignment="1">
      <alignment horizontal="center" wrapText="1"/>
    </xf>
    <xf numFmtId="166" fontId="5" fillId="7" borderId="2" xfId="0" applyNumberFormat="1" applyFont="1" applyFill="1" applyBorder="1" applyAlignment="1">
      <alignment horizontal="center" wrapText="1"/>
    </xf>
    <xf numFmtId="166" fontId="5" fillId="9" borderId="2" xfId="0" applyNumberFormat="1" applyFont="1" applyFill="1" applyBorder="1" applyAlignment="1">
      <alignment horizontal="center" wrapText="1"/>
    </xf>
    <xf numFmtId="166" fontId="5" fillId="8" borderId="2" xfId="0" applyNumberFormat="1" applyFont="1" applyFill="1" applyBorder="1" applyAlignment="1">
      <alignment horizontal="center"/>
    </xf>
    <xf numFmtId="166" fontId="5" fillId="7" borderId="2" xfId="0" applyNumberFormat="1" applyFont="1" applyFill="1" applyBorder="1" applyAlignment="1">
      <alignment horizontal="center"/>
    </xf>
    <xf numFmtId="166" fontId="5" fillId="9" borderId="2" xfId="0" applyNumberFormat="1" applyFont="1" applyFill="1" applyBorder="1" applyAlignment="1">
      <alignment horizontal="center"/>
    </xf>
    <xf numFmtId="0" fontId="2" fillId="10" borderId="7" xfId="0" applyFont="1" applyFill="1" applyBorder="1"/>
    <xf numFmtId="0" fontId="2" fillId="10" borderId="2" xfId="0" applyFont="1" applyFill="1" applyBorder="1"/>
    <xf numFmtId="164" fontId="2" fillId="10" borderId="2" xfId="0" applyNumberFormat="1" applyFont="1" applyFill="1" applyBorder="1"/>
    <xf numFmtId="166" fontId="2" fillId="10" borderId="2" xfId="0" applyNumberFormat="1" applyFont="1" applyFill="1" applyBorder="1"/>
    <xf numFmtId="0" fontId="2" fillId="10" borderId="8" xfId="0" applyFont="1" applyFill="1" applyBorder="1"/>
    <xf numFmtId="0" fontId="2" fillId="10" borderId="9" xfId="0" applyFont="1" applyFill="1" applyBorder="1"/>
    <xf numFmtId="0" fontId="2" fillId="10" borderId="10" xfId="0" applyFont="1" applyFill="1" applyBorder="1"/>
    <xf numFmtId="164" fontId="2" fillId="10" borderId="10" xfId="0" applyNumberFormat="1" applyFont="1" applyFill="1" applyBorder="1"/>
    <xf numFmtId="166" fontId="2" fillId="10" borderId="10" xfId="0" applyNumberFormat="1" applyFont="1" applyFill="1" applyBorder="1"/>
    <xf numFmtId="0" fontId="2" fillId="10" borderId="1" xfId="0" applyFont="1" applyFill="1" applyBorder="1"/>
    <xf numFmtId="0" fontId="2" fillId="11" borderId="2" xfId="0" applyFont="1" applyFill="1" applyBorder="1"/>
    <xf numFmtId="164" fontId="2" fillId="11" borderId="2" xfId="0" applyNumberFormat="1" applyFont="1" applyFill="1" applyBorder="1"/>
    <xf numFmtId="166" fontId="2" fillId="11" borderId="2" xfId="0" applyNumberFormat="1" applyFont="1" applyFill="1" applyBorder="1"/>
    <xf numFmtId="0" fontId="2" fillId="12" borderId="8" xfId="0" applyFont="1" applyFill="1" applyBorder="1"/>
    <xf numFmtId="0" fontId="2" fillId="12" borderId="9" xfId="0" applyFont="1" applyFill="1" applyBorder="1"/>
    <xf numFmtId="0" fontId="5" fillId="12" borderId="9" xfId="0" applyFont="1" applyFill="1" applyBorder="1"/>
    <xf numFmtId="0" fontId="6" fillId="12" borderId="9" xfId="0" applyFont="1" applyFill="1" applyBorder="1"/>
    <xf numFmtId="0" fontId="2" fillId="12" borderId="10" xfId="0" applyFont="1" applyFill="1" applyBorder="1"/>
    <xf numFmtId="0" fontId="5" fillId="12" borderId="10" xfId="0" applyFont="1" applyFill="1" applyBorder="1" applyAlignment="1">
      <alignment horizontal="center"/>
    </xf>
    <xf numFmtId="164" fontId="2" fillId="12" borderId="10" xfId="0" applyNumberFormat="1" applyFont="1" applyFill="1" applyBorder="1"/>
    <xf numFmtId="166" fontId="2" fillId="12" borderId="10" xfId="0" applyNumberFormat="1" applyFont="1" applyFill="1" applyBorder="1"/>
    <xf numFmtId="166" fontId="5" fillId="12" borderId="10" xfId="0" applyNumberFormat="1" applyFont="1" applyFill="1" applyBorder="1" applyAlignment="1">
      <alignment horizontal="right"/>
    </xf>
    <xf numFmtId="0" fontId="7" fillId="12" borderId="9" xfId="0" applyFont="1" applyFill="1" applyBorder="1"/>
    <xf numFmtId="0" fontId="7" fillId="12" borderId="10" xfId="0" applyFont="1" applyFill="1" applyBorder="1" applyAlignment="1">
      <alignment horizontal="center"/>
    </xf>
    <xf numFmtId="166" fontId="8" fillId="12" borderId="10" xfId="0" applyNumberFormat="1" applyFont="1" applyFill="1" applyBorder="1" applyAlignment="1">
      <alignment horizontal="right"/>
    </xf>
    <xf numFmtId="166" fontId="7" fillId="12" borderId="10" xfId="0" applyNumberFormat="1" applyFont="1" applyFill="1" applyBorder="1" applyAlignment="1">
      <alignment horizontal="right"/>
    </xf>
    <xf numFmtId="0" fontId="2" fillId="2" borderId="8" xfId="0" applyFont="1" applyFill="1" applyBorder="1"/>
    <xf numFmtId="0" fontId="2" fillId="2" borderId="9" xfId="0" applyFont="1" applyFill="1" applyBorder="1"/>
    <xf numFmtId="0" fontId="9" fillId="2" borderId="9" xfId="0" applyFont="1" applyFill="1" applyBorder="1"/>
    <xf numFmtId="0" fontId="2" fillId="2" borderId="10" xfId="0" applyFont="1" applyFill="1" applyBorder="1"/>
    <xf numFmtId="0" fontId="7" fillId="2" borderId="10" xfId="0" applyFont="1" applyFill="1" applyBorder="1" applyAlignment="1">
      <alignment horizontal="center"/>
    </xf>
    <xf numFmtId="164" fontId="2" fillId="2" borderId="10" xfId="0" applyNumberFormat="1" applyFont="1" applyFill="1" applyBorder="1"/>
    <xf numFmtId="166" fontId="2" fillId="2" borderId="10" xfId="0" applyNumberFormat="1" applyFont="1" applyFill="1" applyBorder="1"/>
    <xf numFmtId="166" fontId="7" fillId="2" borderId="10" xfId="0" applyNumberFormat="1" applyFont="1" applyFill="1" applyBorder="1" applyAlignment="1">
      <alignment horizontal="right"/>
    </xf>
    <xf numFmtId="0" fontId="7" fillId="2" borderId="9" xfId="0" applyFont="1" applyFill="1" applyBorder="1"/>
    <xf numFmtId="166" fontId="8" fillId="2" borderId="10" xfId="0" applyNumberFormat="1" applyFont="1" applyFill="1" applyBorder="1" applyAlignment="1">
      <alignment horizontal="right"/>
    </xf>
    <xf numFmtId="0" fontId="10" fillId="2" borderId="9" xfId="0" applyFont="1" applyFill="1" applyBorder="1"/>
    <xf numFmtId="0" fontId="2" fillId="2" borderId="7" xfId="0" applyFont="1" applyFill="1" applyBorder="1"/>
    <xf numFmtId="0" fontId="7" fillId="2" borderId="1" xfId="0" applyFont="1" applyFill="1" applyBorder="1"/>
    <xf numFmtId="0" fontId="2" fillId="2" borderId="2" xfId="0" applyFont="1" applyFill="1" applyBorder="1"/>
    <xf numFmtId="0" fontId="7" fillId="2" borderId="2" xfId="0" applyFont="1" applyFill="1" applyBorder="1" applyAlignment="1">
      <alignment horizontal="center"/>
    </xf>
    <xf numFmtId="164" fontId="2" fillId="2" borderId="2" xfId="0" applyNumberFormat="1" applyFont="1" applyFill="1" applyBorder="1"/>
    <xf numFmtId="0" fontId="5" fillId="13" borderId="7" xfId="0" applyFont="1" applyFill="1" applyBorder="1"/>
    <xf numFmtId="0" fontId="2" fillId="13" borderId="1" xfId="0" applyFont="1" applyFill="1" applyBorder="1"/>
    <xf numFmtId="0" fontId="2" fillId="13" borderId="2" xfId="0" applyFont="1" applyFill="1" applyBorder="1"/>
    <xf numFmtId="164" fontId="2" fillId="13" borderId="2" xfId="0" applyNumberFormat="1" applyFont="1" applyFill="1" applyBorder="1"/>
    <xf numFmtId="166" fontId="2" fillId="13" borderId="2" xfId="0" applyNumberFormat="1" applyFont="1" applyFill="1" applyBorder="1"/>
    <xf numFmtId="0" fontId="5" fillId="14" borderId="7" xfId="0" applyFont="1" applyFill="1" applyBorder="1"/>
    <xf numFmtId="0" fontId="2" fillId="14" borderId="1" xfId="0" applyFont="1" applyFill="1" applyBorder="1"/>
    <xf numFmtId="164" fontId="2" fillId="14" borderId="1" xfId="0" applyNumberFormat="1" applyFont="1" applyFill="1" applyBorder="1"/>
    <xf numFmtId="166" fontId="2" fillId="14" borderId="1" xfId="0" applyNumberFormat="1" applyFont="1" applyFill="1" applyBorder="1"/>
    <xf numFmtId="166" fontId="2" fillId="14" borderId="2" xfId="0" applyNumberFormat="1" applyFont="1" applyFill="1" applyBorder="1"/>
    <xf numFmtId="0" fontId="2" fillId="15" borderId="9" xfId="0" applyFont="1" applyFill="1" applyBorder="1"/>
    <xf numFmtId="0" fontId="5" fillId="15" borderId="9" xfId="0" applyFont="1" applyFill="1" applyBorder="1"/>
    <xf numFmtId="0" fontId="2" fillId="15" borderId="10" xfId="0" applyFont="1" applyFill="1" applyBorder="1"/>
    <xf numFmtId="164" fontId="2" fillId="15" borderId="10" xfId="0" applyNumberFormat="1" applyFont="1" applyFill="1" applyBorder="1"/>
    <xf numFmtId="166" fontId="2" fillId="15" borderId="10" xfId="0" applyNumberFormat="1" applyFont="1" applyFill="1" applyBorder="1"/>
    <xf numFmtId="0" fontId="2" fillId="16" borderId="8" xfId="0" applyFont="1" applyFill="1" applyBorder="1"/>
    <xf numFmtId="0" fontId="2" fillId="16" borderId="9" xfId="0" applyFont="1" applyFill="1" applyBorder="1"/>
    <xf numFmtId="0" fontId="5" fillId="16" borderId="9" xfId="0" applyFont="1" applyFill="1" applyBorder="1"/>
    <xf numFmtId="0" fontId="11" fillId="16" borderId="9" xfId="0" applyFont="1" applyFill="1" applyBorder="1"/>
    <xf numFmtId="0" fontId="2" fillId="16" borderId="10" xfId="0" applyFont="1" applyFill="1" applyBorder="1"/>
    <xf numFmtId="0" fontId="5" fillId="16" borderId="10" xfId="0" applyFont="1" applyFill="1" applyBorder="1" applyAlignment="1">
      <alignment horizontal="center"/>
    </xf>
    <xf numFmtId="164" fontId="2" fillId="16" borderId="10" xfId="0" applyNumberFormat="1" applyFont="1" applyFill="1" applyBorder="1"/>
    <xf numFmtId="166" fontId="2" fillId="16" borderId="10" xfId="0" applyNumberFormat="1" applyFont="1" applyFill="1" applyBorder="1"/>
    <xf numFmtId="166" fontId="5" fillId="16" borderId="10" xfId="0" applyNumberFormat="1" applyFont="1" applyFill="1" applyBorder="1" applyAlignment="1">
      <alignment horizontal="right"/>
    </xf>
    <xf numFmtId="0" fontId="7" fillId="16" borderId="9" xfId="0" applyFont="1" applyFill="1" applyBorder="1"/>
    <xf numFmtId="0" fontId="7" fillId="16" borderId="10" xfId="0" applyFont="1" applyFill="1" applyBorder="1" applyAlignment="1">
      <alignment horizontal="center"/>
    </xf>
    <xf numFmtId="166" fontId="8" fillId="16" borderId="10" xfId="0" applyNumberFormat="1" applyFont="1" applyFill="1" applyBorder="1" applyAlignment="1">
      <alignment horizontal="right"/>
    </xf>
    <xf numFmtId="166" fontId="7" fillId="16" borderId="10" xfId="0" applyNumberFormat="1" applyFont="1" applyFill="1" applyBorder="1" applyAlignment="1">
      <alignment horizontal="right"/>
    </xf>
    <xf numFmtId="0" fontId="2" fillId="17" borderId="1" xfId="0" applyFont="1" applyFill="1" applyBorder="1"/>
    <xf numFmtId="164" fontId="2" fillId="17" borderId="1" xfId="0" applyNumberFormat="1" applyFont="1" applyFill="1" applyBorder="1"/>
    <xf numFmtId="166" fontId="2" fillId="17" borderId="1" xfId="0" applyNumberFormat="1" applyFont="1" applyFill="1" applyBorder="1"/>
    <xf numFmtId="166" fontId="2" fillId="17" borderId="2" xfId="0" applyNumberFormat="1" applyFont="1" applyFill="1" applyBorder="1"/>
    <xf numFmtId="0" fontId="2" fillId="18" borderId="8" xfId="0" applyFont="1" applyFill="1" applyBorder="1"/>
    <xf numFmtId="0" fontId="2" fillId="18" borderId="10" xfId="0" applyFont="1" applyFill="1" applyBorder="1"/>
    <xf numFmtId="164" fontId="2" fillId="18" borderId="10" xfId="0" applyNumberFormat="1" applyFont="1" applyFill="1" applyBorder="1"/>
    <xf numFmtId="166" fontId="2" fillId="18" borderId="10" xfId="0" applyNumberFormat="1" applyFont="1" applyFill="1" applyBorder="1"/>
    <xf numFmtId="0" fontId="2" fillId="19" borderId="8" xfId="0" applyFont="1" applyFill="1" applyBorder="1"/>
    <xf numFmtId="0" fontId="5" fillId="19" borderId="9" xfId="0" applyFont="1" applyFill="1" applyBorder="1"/>
    <xf numFmtId="0" fontId="2" fillId="19" borderId="9" xfId="0" applyFont="1" applyFill="1" applyBorder="1"/>
    <xf numFmtId="0" fontId="2" fillId="19" borderId="10" xfId="0" applyFont="1" applyFill="1" applyBorder="1"/>
    <xf numFmtId="164" fontId="2" fillId="19" borderId="10" xfId="0" applyNumberFormat="1" applyFont="1" applyFill="1" applyBorder="1"/>
    <xf numFmtId="166" fontId="2" fillId="19" borderId="10" xfId="0" applyNumberFormat="1" applyFont="1" applyFill="1" applyBorder="1"/>
    <xf numFmtId="0" fontId="2" fillId="20" borderId="8" xfId="0" applyFont="1" applyFill="1" applyBorder="1"/>
    <xf numFmtId="0" fontId="2" fillId="20" borderId="9" xfId="0" applyFont="1" applyFill="1" applyBorder="1"/>
    <xf numFmtId="0" fontId="5" fillId="20" borderId="9" xfId="0" applyFont="1" applyFill="1" applyBorder="1"/>
    <xf numFmtId="0" fontId="12" fillId="20" borderId="9" xfId="0" applyFont="1" applyFill="1" applyBorder="1"/>
    <xf numFmtId="0" fontId="2" fillId="20" borderId="10" xfId="0" applyFont="1" applyFill="1" applyBorder="1"/>
    <xf numFmtId="0" fontId="5" fillId="20" borderId="10" xfId="0" applyFont="1" applyFill="1" applyBorder="1" applyAlignment="1">
      <alignment horizontal="center"/>
    </xf>
    <xf numFmtId="164" fontId="2" fillId="20" borderId="10" xfId="0" applyNumberFormat="1" applyFont="1" applyFill="1" applyBorder="1"/>
    <xf numFmtId="166" fontId="2" fillId="20" borderId="10" xfId="0" applyNumberFormat="1" applyFont="1" applyFill="1" applyBorder="1"/>
    <xf numFmtId="166" fontId="5" fillId="20" borderId="10" xfId="0" applyNumberFormat="1" applyFont="1" applyFill="1" applyBorder="1" applyAlignment="1">
      <alignment horizontal="right"/>
    </xf>
    <xf numFmtId="0" fontId="7" fillId="20" borderId="9" xfId="0" applyFont="1" applyFill="1" applyBorder="1"/>
    <xf numFmtId="0" fontId="7" fillId="20" borderId="10" xfId="0" applyFont="1" applyFill="1" applyBorder="1" applyAlignment="1">
      <alignment horizontal="center"/>
    </xf>
    <xf numFmtId="166" fontId="7" fillId="20" borderId="10" xfId="0" applyNumberFormat="1" applyFont="1" applyFill="1" applyBorder="1" applyAlignment="1">
      <alignment horizontal="right"/>
    </xf>
    <xf numFmtId="166" fontId="8" fillId="20" borderId="10" xfId="0" applyNumberFormat="1" applyFont="1" applyFill="1" applyBorder="1" applyAlignment="1">
      <alignment horizontal="right"/>
    </xf>
    <xf numFmtId="166" fontId="7" fillId="2" borderId="2" xfId="0" applyNumberFormat="1" applyFont="1" applyFill="1" applyBorder="1" applyAlignment="1">
      <alignment horizontal="right"/>
    </xf>
    <xf numFmtId="165" fontId="5" fillId="21" borderId="7" xfId="0" applyNumberFormat="1" applyFont="1" applyFill="1" applyBorder="1"/>
    <xf numFmtId="165" fontId="2" fillId="21" borderId="1" xfId="0" applyNumberFormat="1" applyFont="1" applyFill="1" applyBorder="1"/>
    <xf numFmtId="0" fontId="2" fillId="21" borderId="1" xfId="0" applyFont="1" applyFill="1" applyBorder="1"/>
    <xf numFmtId="164" fontId="2" fillId="21" borderId="1" xfId="0" applyNumberFormat="1" applyFont="1" applyFill="1" applyBorder="1"/>
    <xf numFmtId="166" fontId="2" fillId="21" borderId="1" xfId="0" applyNumberFormat="1" applyFont="1" applyFill="1" applyBorder="1"/>
    <xf numFmtId="166" fontId="2" fillId="21" borderId="2" xfId="0" applyNumberFormat="1" applyFont="1" applyFill="1" applyBorder="1"/>
    <xf numFmtId="165" fontId="5" fillId="22" borderId="8" xfId="0" applyNumberFormat="1" applyFont="1" applyFill="1" applyBorder="1"/>
    <xf numFmtId="0" fontId="2" fillId="22" borderId="9" xfId="0" applyFont="1" applyFill="1" applyBorder="1"/>
    <xf numFmtId="165" fontId="2" fillId="22" borderId="9" xfId="0" applyNumberFormat="1" applyFont="1" applyFill="1" applyBorder="1"/>
    <xf numFmtId="0" fontId="2" fillId="22" borderId="10" xfId="0" applyFont="1" applyFill="1" applyBorder="1"/>
    <xf numFmtId="164" fontId="2" fillId="22" borderId="10" xfId="0" applyNumberFormat="1" applyFont="1" applyFill="1" applyBorder="1"/>
    <xf numFmtId="166" fontId="2" fillId="22" borderId="10" xfId="0" applyNumberFormat="1" applyFont="1" applyFill="1" applyBorder="1"/>
    <xf numFmtId="167" fontId="2" fillId="12" borderId="8" xfId="0" applyNumberFormat="1" applyFont="1" applyFill="1" applyBorder="1"/>
    <xf numFmtId="165" fontId="2" fillId="12" borderId="9" xfId="0" applyNumberFormat="1" applyFont="1" applyFill="1" applyBorder="1"/>
    <xf numFmtId="0" fontId="5" fillId="12" borderId="10" xfId="0" applyFont="1" applyFill="1" applyBorder="1" applyAlignment="1">
      <alignment horizontal="center" wrapText="1"/>
    </xf>
    <xf numFmtId="164" fontId="5" fillId="12" borderId="10" xfId="0" applyNumberFormat="1" applyFont="1" applyFill="1" applyBorder="1" applyAlignment="1">
      <alignment horizontal="right"/>
    </xf>
    <xf numFmtId="167" fontId="2" fillId="2" borderId="8" xfId="0" applyNumberFormat="1" applyFont="1" applyFill="1" applyBorder="1"/>
    <xf numFmtId="0" fontId="5" fillId="2" borderId="9" xfId="0" applyFont="1" applyFill="1" applyBorder="1"/>
    <xf numFmtId="0" fontId="13" fillId="2" borderId="9" xfId="0" applyFont="1" applyFill="1" applyBorder="1"/>
    <xf numFmtId="165" fontId="5" fillId="2" borderId="10" xfId="0" applyNumberFormat="1" applyFont="1" applyFill="1" applyBorder="1" applyAlignment="1">
      <alignment horizontal="center"/>
    </xf>
    <xf numFmtId="166" fontId="5" fillId="2" borderId="10" xfId="0" applyNumberFormat="1" applyFont="1" applyFill="1" applyBorder="1" applyAlignment="1">
      <alignment horizontal="right"/>
    </xf>
    <xf numFmtId="165" fontId="7" fillId="2" borderId="10" xfId="0" applyNumberFormat="1" applyFont="1" applyFill="1" applyBorder="1" applyAlignment="1">
      <alignment horizontal="center"/>
    </xf>
    <xf numFmtId="165" fontId="7" fillId="0" borderId="10" xfId="0" applyNumberFormat="1" applyFont="1" applyBorder="1" applyAlignment="1">
      <alignment horizontal="center" wrapText="1"/>
    </xf>
    <xf numFmtId="164" fontId="2" fillId="0" borderId="10" xfId="0" applyNumberFormat="1" applyFont="1" applyBorder="1"/>
    <xf numFmtId="166" fontId="2" fillId="0" borderId="10" xfId="0" applyNumberFormat="1" applyFont="1" applyBorder="1"/>
    <xf numFmtId="165" fontId="7" fillId="0" borderId="10" xfId="0" applyNumberFormat="1" applyFont="1" applyBorder="1" applyAlignment="1">
      <alignment horizontal="center"/>
    </xf>
    <xf numFmtId="165" fontId="2" fillId="0" borderId="8" xfId="0" applyNumberFormat="1" applyFont="1" applyBorder="1"/>
    <xf numFmtId="165" fontId="2" fillId="0" borderId="9" xfId="0" applyNumberFormat="1" applyFont="1" applyBorder="1"/>
    <xf numFmtId="0" fontId="14" fillId="23" borderId="9" xfId="0" quotePrefix="1" applyFont="1" applyFill="1" applyBorder="1"/>
    <xf numFmtId="0" fontId="2" fillId="23" borderId="9" xfId="0" applyFont="1" applyFill="1" applyBorder="1"/>
    <xf numFmtId="0" fontId="2" fillId="23" borderId="10" xfId="0" applyFont="1" applyFill="1" applyBorder="1"/>
    <xf numFmtId="0" fontId="2" fillId="0" borderId="10" xfId="0" applyFont="1" applyBorder="1"/>
    <xf numFmtId="0" fontId="7" fillId="0" borderId="9" xfId="0" quotePrefix="1" applyFont="1" applyBorder="1"/>
    <xf numFmtId="0" fontId="2" fillId="0" borderId="9" xfId="0" applyFont="1" applyBorder="1"/>
    <xf numFmtId="0" fontId="5" fillId="0" borderId="10" xfId="0" applyFont="1" applyBorder="1" applyAlignment="1">
      <alignment horizontal="center" wrapText="1"/>
    </xf>
    <xf numFmtId="164" fontId="5" fillId="2" borderId="10" xfId="0" applyNumberFormat="1" applyFont="1" applyFill="1" applyBorder="1" applyAlignment="1">
      <alignment horizontal="right"/>
    </xf>
    <xf numFmtId="166" fontId="5" fillId="0" borderId="10" xfId="0" applyNumberFormat="1" applyFont="1" applyBorder="1" applyAlignment="1">
      <alignment horizontal="right"/>
    </xf>
    <xf numFmtId="0" fontId="7" fillId="0" borderId="9" xfId="0" applyFont="1" applyBorder="1"/>
    <xf numFmtId="0" fontId="7" fillId="0" borderId="10" xfId="0" applyFont="1" applyBorder="1" applyAlignment="1">
      <alignment horizontal="center"/>
    </xf>
    <xf numFmtId="164" fontId="7" fillId="0" borderId="10" xfId="0" applyNumberFormat="1" applyFont="1" applyBorder="1" applyAlignment="1">
      <alignment horizontal="right"/>
    </xf>
    <xf numFmtId="164" fontId="7" fillId="2" borderId="10" xfId="0" applyNumberFormat="1" applyFont="1" applyFill="1" applyBorder="1" applyAlignment="1">
      <alignment horizontal="right"/>
    </xf>
    <xf numFmtId="166" fontId="7" fillId="0" borderId="10" xfId="0" applyNumberFormat="1" applyFont="1" applyBorder="1" applyAlignment="1">
      <alignment horizontal="right"/>
    </xf>
    <xf numFmtId="0" fontId="7" fillId="0" borderId="10" xfId="0" applyFont="1" applyBorder="1" applyAlignment="1">
      <alignment horizontal="center" wrapText="1"/>
    </xf>
    <xf numFmtId="165" fontId="2" fillId="22" borderId="10" xfId="0" applyNumberFormat="1" applyFont="1" applyFill="1" applyBorder="1"/>
    <xf numFmtId="165" fontId="5" fillId="12" borderId="10" xfId="0" applyNumberFormat="1" applyFont="1" applyFill="1" applyBorder="1" applyAlignment="1">
      <alignment horizontal="center" wrapText="1"/>
    </xf>
    <xf numFmtId="0" fontId="8" fillId="2" borderId="9" xfId="0" applyFont="1" applyFill="1" applyBorder="1"/>
    <xf numFmtId="165" fontId="8" fillId="2" borderId="10" xfId="0" applyNumberFormat="1" applyFont="1" applyFill="1" applyBorder="1" applyAlignment="1">
      <alignment horizontal="center"/>
    </xf>
    <xf numFmtId="165" fontId="2" fillId="2" borderId="9" xfId="0" applyNumberFormat="1" applyFont="1" applyFill="1" applyBorder="1"/>
    <xf numFmtId="165" fontId="8" fillId="0" borderId="10" xfId="0" applyNumberFormat="1" applyFont="1" applyBorder="1" applyAlignment="1">
      <alignment horizontal="center" wrapText="1"/>
    </xf>
    <xf numFmtId="165" fontId="15" fillId="2" borderId="9" xfId="0" applyNumberFormat="1" applyFont="1" applyFill="1" applyBorder="1"/>
    <xf numFmtId="165" fontId="5" fillId="2" borderId="9" xfId="0" applyNumberFormat="1" applyFont="1" applyFill="1" applyBorder="1"/>
    <xf numFmtId="165" fontId="2" fillId="10" borderId="8" xfId="0" applyNumberFormat="1" applyFont="1" applyFill="1" applyBorder="1"/>
    <xf numFmtId="165" fontId="2" fillId="10" borderId="9" xfId="0" applyNumberFormat="1" applyFont="1" applyFill="1" applyBorder="1"/>
    <xf numFmtId="0" fontId="5" fillId="0" borderId="9" xfId="0" applyFont="1" applyBorder="1"/>
    <xf numFmtId="0" fontId="2" fillId="0" borderId="0" xfId="0" applyFont="1"/>
    <xf numFmtId="164" fontId="7" fillId="24" borderId="10" xfId="0" applyNumberFormat="1" applyFont="1" applyFill="1" applyBorder="1" applyAlignment="1">
      <alignment horizontal="right"/>
    </xf>
    <xf numFmtId="165" fontId="2" fillId="0" borderId="11" xfId="0" applyNumberFormat="1" applyFont="1" applyBorder="1"/>
    <xf numFmtId="165" fontId="2" fillId="0" borderId="12" xfId="0" applyNumberFormat="1" applyFont="1" applyBorder="1"/>
    <xf numFmtId="165" fontId="7" fillId="0" borderId="12" xfId="0" applyNumberFormat="1" applyFont="1" applyBorder="1"/>
    <xf numFmtId="0" fontId="2" fillId="0" borderId="12" xfId="0" applyFont="1" applyBorder="1"/>
    <xf numFmtId="0" fontId="2" fillId="0" borderId="13" xfId="0" applyFont="1" applyBorder="1"/>
    <xf numFmtId="0" fontId="7" fillId="0" borderId="13" xfId="0" applyFont="1" applyBorder="1" applyAlignment="1">
      <alignment horizontal="center"/>
    </xf>
    <xf numFmtId="164" fontId="7" fillId="0" borderId="13" xfId="0" applyNumberFormat="1" applyFont="1" applyBorder="1" applyAlignment="1">
      <alignment horizontal="right"/>
    </xf>
    <xf numFmtId="164" fontId="7" fillId="24" borderId="13" xfId="0" applyNumberFormat="1" applyFont="1" applyFill="1" applyBorder="1" applyAlignment="1">
      <alignment horizontal="right"/>
    </xf>
    <xf numFmtId="166" fontId="7" fillId="2" borderId="13" xfId="0" applyNumberFormat="1" applyFont="1" applyFill="1" applyBorder="1" applyAlignment="1">
      <alignment horizontal="right"/>
    </xf>
    <xf numFmtId="166" fontId="2" fillId="2" borderId="13" xfId="0" applyNumberFormat="1" applyFont="1" applyFill="1" applyBorder="1"/>
    <xf numFmtId="166" fontId="2" fillId="0" borderId="13" xfId="0" applyNumberFormat="1" applyFont="1" applyBorder="1"/>
    <xf numFmtId="167" fontId="2" fillId="22" borderId="9" xfId="0" applyNumberFormat="1" applyFont="1" applyFill="1" applyBorder="1"/>
    <xf numFmtId="164" fontId="2" fillId="22" borderId="9" xfId="0" applyNumberFormat="1" applyFont="1" applyFill="1" applyBorder="1"/>
    <xf numFmtId="166" fontId="2" fillId="22" borderId="9" xfId="0" applyNumberFormat="1" applyFont="1" applyFill="1" applyBorder="1"/>
    <xf numFmtId="165" fontId="5" fillId="12" borderId="9" xfId="0" applyNumberFormat="1" applyFont="1" applyFill="1" applyBorder="1"/>
    <xf numFmtId="167" fontId="2" fillId="12" borderId="9" xfId="0" applyNumberFormat="1" applyFont="1" applyFill="1" applyBorder="1"/>
    <xf numFmtId="165" fontId="5" fillId="12" borderId="10" xfId="0" applyNumberFormat="1" applyFont="1" applyFill="1" applyBorder="1" applyAlignment="1">
      <alignment horizontal="center"/>
    </xf>
    <xf numFmtId="167" fontId="2" fillId="2" borderId="9" xfId="0" applyNumberFormat="1" applyFont="1" applyFill="1" applyBorder="1"/>
    <xf numFmtId="165" fontId="7" fillId="2" borderId="10" xfId="0" applyNumberFormat="1" applyFont="1" applyFill="1" applyBorder="1" applyAlignment="1">
      <alignment horizontal="center" wrapText="1"/>
    </xf>
    <xf numFmtId="165" fontId="8" fillId="2" borderId="10" xfId="0" applyNumberFormat="1" applyFont="1" applyFill="1" applyBorder="1" applyAlignment="1">
      <alignment horizontal="center" wrapText="1"/>
    </xf>
    <xf numFmtId="165" fontId="16" fillId="2" borderId="9" xfId="0" applyNumberFormat="1" applyFont="1" applyFill="1" applyBorder="1" applyAlignment="1">
      <alignment horizontal="center"/>
    </xf>
    <xf numFmtId="165" fontId="2" fillId="0" borderId="10" xfId="0" applyNumberFormat="1" applyFont="1" applyBorder="1"/>
    <xf numFmtId="0" fontId="8" fillId="0" borderId="9" xfId="0" applyFont="1" applyBorder="1"/>
    <xf numFmtId="165" fontId="2" fillId="2" borderId="10" xfId="0" applyNumberFormat="1" applyFont="1" applyFill="1" applyBorder="1"/>
    <xf numFmtId="165" fontId="2" fillId="10" borderId="10" xfId="0" applyNumberFormat="1" applyFont="1" applyFill="1" applyBorder="1"/>
    <xf numFmtId="164" fontId="2" fillId="12" borderId="9" xfId="0" applyNumberFormat="1" applyFont="1" applyFill="1" applyBorder="1"/>
    <xf numFmtId="167" fontId="5" fillId="12" borderId="9" xfId="0" applyNumberFormat="1" applyFont="1" applyFill="1" applyBorder="1"/>
    <xf numFmtId="167" fontId="2" fillId="2" borderId="7" xfId="0" applyNumberFormat="1" applyFont="1" applyFill="1" applyBorder="1"/>
    <xf numFmtId="165" fontId="7" fillId="0" borderId="2" xfId="0" applyNumberFormat="1" applyFont="1" applyBorder="1" applyAlignment="1">
      <alignment horizontal="center"/>
    </xf>
    <xf numFmtId="164" fontId="7" fillId="2" borderId="2" xfId="0" applyNumberFormat="1" applyFont="1" applyFill="1" applyBorder="1" applyAlignment="1">
      <alignment horizontal="right"/>
    </xf>
    <xf numFmtId="165" fontId="5" fillId="9" borderId="7" xfId="0" applyNumberFormat="1" applyFont="1" applyFill="1" applyBorder="1"/>
    <xf numFmtId="165" fontId="2" fillId="9" borderId="1" xfId="0" applyNumberFormat="1" applyFont="1" applyFill="1" applyBorder="1"/>
    <xf numFmtId="0" fontId="2" fillId="9" borderId="1" xfId="0" applyFont="1" applyFill="1" applyBorder="1"/>
    <xf numFmtId="164" fontId="2" fillId="9" borderId="1" xfId="0" applyNumberFormat="1" applyFont="1" applyFill="1" applyBorder="1"/>
    <xf numFmtId="166" fontId="2" fillId="9" borderId="1" xfId="0" applyNumberFormat="1" applyFont="1" applyFill="1" applyBorder="1"/>
    <xf numFmtId="166" fontId="2" fillId="9" borderId="2" xfId="0" applyNumberFormat="1" applyFont="1" applyFill="1" applyBorder="1"/>
    <xf numFmtId="165" fontId="5" fillId="25" borderId="8" xfId="0" applyNumberFormat="1" applyFont="1" applyFill="1" applyBorder="1"/>
    <xf numFmtId="165" fontId="2" fillId="25" borderId="9" xfId="0" applyNumberFormat="1" applyFont="1" applyFill="1" applyBorder="1"/>
    <xf numFmtId="0" fontId="2" fillId="25" borderId="9" xfId="0" applyFont="1" applyFill="1" applyBorder="1"/>
    <xf numFmtId="0" fontId="2" fillId="25" borderId="10" xfId="0" applyFont="1" applyFill="1" applyBorder="1"/>
    <xf numFmtId="164" fontId="2" fillId="25" borderId="10" xfId="0" applyNumberFormat="1" applyFont="1" applyFill="1" applyBorder="1"/>
    <xf numFmtId="166" fontId="2" fillId="25" borderId="10" xfId="0" applyNumberFormat="1" applyFont="1" applyFill="1" applyBorder="1"/>
    <xf numFmtId="165" fontId="2" fillId="23" borderId="8" xfId="0" applyNumberFormat="1" applyFont="1" applyFill="1" applyBorder="1"/>
    <xf numFmtId="0" fontId="5" fillId="23" borderId="9" xfId="0" applyFont="1" applyFill="1" applyBorder="1"/>
    <xf numFmtId="165" fontId="2" fillId="23" borderId="9" xfId="0" applyNumberFormat="1" applyFont="1" applyFill="1" applyBorder="1"/>
    <xf numFmtId="0" fontId="5" fillId="23" borderId="10" xfId="0" applyFont="1" applyFill="1" applyBorder="1" applyAlignment="1">
      <alignment horizontal="center" wrapText="1"/>
    </xf>
    <xf numFmtId="164" fontId="5" fillId="23" borderId="10" xfId="0" applyNumberFormat="1" applyFont="1" applyFill="1" applyBorder="1" applyAlignment="1">
      <alignment horizontal="right"/>
    </xf>
    <xf numFmtId="166" fontId="5" fillId="23" borderId="10" xfId="0" applyNumberFormat="1" applyFont="1" applyFill="1" applyBorder="1" applyAlignment="1">
      <alignment horizontal="right"/>
    </xf>
    <xf numFmtId="166" fontId="2" fillId="23" borderId="10" xfId="0" applyNumberFormat="1" applyFont="1" applyFill="1" applyBorder="1"/>
    <xf numFmtId="165" fontId="2" fillId="2" borderId="8" xfId="0" applyNumberFormat="1" applyFont="1" applyFill="1" applyBorder="1"/>
    <xf numFmtId="165" fontId="7" fillId="2" borderId="9" xfId="0" applyNumberFormat="1" applyFont="1" applyFill="1" applyBorder="1"/>
    <xf numFmtId="0" fontId="7" fillId="2" borderId="10" xfId="0" applyFont="1" applyFill="1" applyBorder="1" applyAlignment="1">
      <alignment horizontal="center" wrapText="1"/>
    </xf>
    <xf numFmtId="164" fontId="5" fillId="23" borderId="10" xfId="0" applyNumberFormat="1" applyFont="1" applyFill="1" applyBorder="1" applyAlignment="1">
      <alignment horizontal="center"/>
    </xf>
    <xf numFmtId="166" fontId="5" fillId="23" borderId="10" xfId="0" applyNumberFormat="1" applyFont="1" applyFill="1" applyBorder="1" applyAlignment="1">
      <alignment horizontal="center"/>
    </xf>
    <xf numFmtId="165" fontId="2" fillId="26" borderId="8" xfId="0" applyNumberFormat="1" applyFont="1" applyFill="1" applyBorder="1"/>
    <xf numFmtId="165" fontId="2" fillId="26" borderId="9" xfId="0" applyNumberFormat="1" applyFont="1" applyFill="1" applyBorder="1"/>
    <xf numFmtId="0" fontId="5" fillId="26" borderId="9" xfId="0" applyFont="1" applyFill="1" applyBorder="1"/>
    <xf numFmtId="0" fontId="2" fillId="26" borderId="9" xfId="0" applyFont="1" applyFill="1" applyBorder="1"/>
    <xf numFmtId="0" fontId="2" fillId="26" borderId="10" xfId="0" applyFont="1" applyFill="1" applyBorder="1"/>
    <xf numFmtId="0" fontId="5" fillId="26" borderId="10" xfId="0" applyFont="1" applyFill="1" applyBorder="1" applyAlignment="1">
      <alignment horizontal="center" wrapText="1"/>
    </xf>
    <xf numFmtId="164" fontId="5" fillId="26" borderId="10" xfId="0" applyNumberFormat="1" applyFont="1" applyFill="1" applyBorder="1" applyAlignment="1">
      <alignment horizontal="right"/>
    </xf>
    <xf numFmtId="166" fontId="5" fillId="26" borderId="10" xfId="0" applyNumberFormat="1" applyFont="1" applyFill="1" applyBorder="1" applyAlignment="1">
      <alignment horizontal="right"/>
    </xf>
    <xf numFmtId="166" fontId="2" fillId="26" borderId="10" xfId="0" applyNumberFormat="1" applyFont="1" applyFill="1" applyBorder="1"/>
    <xf numFmtId="0" fontId="17" fillId="2" borderId="9" xfId="0" quotePrefix="1" applyFont="1" applyFill="1" applyBorder="1"/>
    <xf numFmtId="165" fontId="5" fillId="0" borderId="10" xfId="0" applyNumberFormat="1" applyFont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6" borderId="10" xfId="0" applyFont="1" applyFill="1" applyBorder="1" applyAlignment="1">
      <alignment horizontal="center"/>
    </xf>
    <xf numFmtId="164" fontId="5" fillId="26" borderId="10" xfId="0" applyNumberFormat="1" applyFont="1" applyFill="1" applyBorder="1" applyAlignment="1">
      <alignment horizontal="center"/>
    </xf>
    <xf numFmtId="166" fontId="5" fillId="26" borderId="10" xfId="0" applyNumberFormat="1" applyFont="1" applyFill="1" applyBorder="1" applyAlignment="1">
      <alignment horizontal="center"/>
    </xf>
    <xf numFmtId="0" fontId="7" fillId="0" borderId="10" xfId="0" applyFont="1" applyBorder="1"/>
    <xf numFmtId="164" fontId="7" fillId="2" borderId="10" xfId="0" applyNumberFormat="1" applyFont="1" applyFill="1" applyBorder="1" applyAlignment="1">
      <alignment horizontal="center"/>
    </xf>
    <xf numFmtId="166" fontId="7" fillId="0" borderId="10" xfId="0" applyNumberFormat="1" applyFont="1" applyBorder="1" applyAlignment="1">
      <alignment horizontal="center"/>
    </xf>
    <xf numFmtId="166" fontId="7" fillId="2" borderId="10" xfId="0" applyNumberFormat="1" applyFont="1" applyFill="1" applyBorder="1" applyAlignment="1">
      <alignment horizontal="center"/>
    </xf>
    <xf numFmtId="165" fontId="2" fillId="27" borderId="8" xfId="0" applyNumberFormat="1" applyFont="1" applyFill="1" applyBorder="1"/>
    <xf numFmtId="165" fontId="2" fillId="27" borderId="9" xfId="0" applyNumberFormat="1" applyFont="1" applyFill="1" applyBorder="1"/>
    <xf numFmtId="0" fontId="2" fillId="27" borderId="9" xfId="0" applyFont="1" applyFill="1" applyBorder="1"/>
    <xf numFmtId="0" fontId="2" fillId="27" borderId="10" xfId="0" applyFont="1" applyFill="1" applyBorder="1"/>
    <xf numFmtId="165" fontId="2" fillId="27" borderId="10" xfId="0" applyNumberFormat="1" applyFont="1" applyFill="1" applyBorder="1"/>
    <xf numFmtId="164" fontId="2" fillId="27" borderId="10" xfId="0" applyNumberFormat="1" applyFont="1" applyFill="1" applyBorder="1"/>
    <xf numFmtId="166" fontId="2" fillId="27" borderId="10" xfId="0" applyNumberFormat="1" applyFont="1" applyFill="1" applyBorder="1"/>
    <xf numFmtId="165" fontId="7" fillId="0" borderId="9" xfId="0" quotePrefix="1" applyNumberFormat="1" applyFont="1" applyBorder="1"/>
    <xf numFmtId="0" fontId="16" fillId="27" borderId="9" xfId="0" applyFont="1" applyFill="1" applyBorder="1"/>
    <xf numFmtId="0" fontId="16" fillId="27" borderId="10" xfId="0" applyFont="1" applyFill="1" applyBorder="1" applyAlignment="1">
      <alignment horizontal="center" wrapText="1"/>
    </xf>
    <xf numFmtId="167" fontId="2" fillId="27" borderId="8" xfId="0" applyNumberFormat="1" applyFont="1" applyFill="1" applyBorder="1"/>
    <xf numFmtId="0" fontId="18" fillId="27" borderId="9" xfId="0" applyFont="1" applyFill="1" applyBorder="1"/>
    <xf numFmtId="165" fontId="16" fillId="27" borderId="10" xfId="0" applyNumberFormat="1" applyFont="1" applyFill="1" applyBorder="1" applyAlignment="1">
      <alignment horizontal="center" wrapText="1"/>
    </xf>
    <xf numFmtId="0" fontId="8" fillId="27" borderId="9" xfId="0" applyFont="1" applyFill="1" applyBorder="1"/>
    <xf numFmtId="165" fontId="8" fillId="27" borderId="10" xfId="0" applyNumberFormat="1" applyFont="1" applyFill="1" applyBorder="1" applyAlignment="1">
      <alignment horizontal="center" wrapText="1"/>
    </xf>
    <xf numFmtId="165" fontId="16" fillId="27" borderId="9" xfId="0" applyNumberFormat="1" applyFont="1" applyFill="1" applyBorder="1"/>
    <xf numFmtId="0" fontId="19" fillId="27" borderId="9" xfId="0" quotePrefix="1" applyFont="1" applyFill="1" applyBorder="1"/>
    <xf numFmtId="0" fontId="8" fillId="27" borderId="10" xfId="0" applyFont="1" applyFill="1" applyBorder="1" applyAlignment="1">
      <alignment horizontal="center"/>
    </xf>
    <xf numFmtId="165" fontId="8" fillId="27" borderId="9" xfId="0" quotePrefix="1" applyNumberFormat="1" applyFont="1" applyFill="1" applyBorder="1"/>
    <xf numFmtId="0" fontId="8" fillId="27" borderId="9" xfId="0" quotePrefix="1" applyFont="1" applyFill="1" applyBorder="1"/>
    <xf numFmtId="46" fontId="2" fillId="2" borderId="8" xfId="0" applyNumberFormat="1" applyFont="1" applyFill="1" applyBorder="1"/>
    <xf numFmtId="0" fontId="7" fillId="2" borderId="9" xfId="0" quotePrefix="1" applyFont="1" applyFill="1" applyBorder="1"/>
    <xf numFmtId="165" fontId="2" fillId="0" borderId="7" xfId="0" applyNumberFormat="1" applyFont="1" applyBorder="1"/>
    <xf numFmtId="165" fontId="2" fillId="0" borderId="1" xfId="0" applyNumberFormat="1" applyFont="1" applyBorder="1"/>
    <xf numFmtId="0" fontId="7" fillId="0" borderId="1" xfId="0" quotePrefix="1" applyFont="1" applyBorder="1"/>
    <xf numFmtId="0" fontId="2" fillId="0" borderId="1" xfId="0" applyFont="1" applyBorder="1"/>
    <xf numFmtId="0" fontId="2" fillId="0" borderId="2" xfId="0" applyFont="1" applyBorder="1"/>
    <xf numFmtId="166" fontId="7" fillId="0" borderId="2" xfId="0" applyNumberFormat="1" applyFont="1" applyBorder="1" applyAlignment="1">
      <alignment horizontal="right"/>
    </xf>
    <xf numFmtId="166" fontId="2" fillId="0" borderId="2" xfId="0" applyNumberFormat="1" applyFont="1" applyBorder="1"/>
    <xf numFmtId="165" fontId="3" fillId="28" borderId="7" xfId="0" applyNumberFormat="1" applyFont="1" applyFill="1" applyBorder="1"/>
    <xf numFmtId="165" fontId="2" fillId="28" borderId="1" xfId="0" applyNumberFormat="1" applyFont="1" applyFill="1" applyBorder="1"/>
    <xf numFmtId="0" fontId="2" fillId="28" borderId="1" xfId="0" applyFont="1" applyFill="1" applyBorder="1"/>
    <xf numFmtId="164" fontId="2" fillId="28" borderId="1" xfId="0" applyNumberFormat="1" applyFont="1" applyFill="1" applyBorder="1"/>
    <xf numFmtId="166" fontId="2" fillId="28" borderId="1" xfId="0" applyNumberFormat="1" applyFont="1" applyFill="1" applyBorder="1"/>
    <xf numFmtId="166" fontId="2" fillId="28" borderId="2" xfId="0" applyNumberFormat="1" applyFont="1" applyFill="1" applyBorder="1"/>
    <xf numFmtId="165" fontId="5" fillId="29" borderId="8" xfId="0" applyNumberFormat="1" applyFont="1" applyFill="1" applyBorder="1"/>
    <xf numFmtId="0" fontId="2" fillId="29" borderId="9" xfId="0" applyFont="1" applyFill="1" applyBorder="1"/>
    <xf numFmtId="165" fontId="2" fillId="29" borderId="9" xfId="0" applyNumberFormat="1" applyFont="1" applyFill="1" applyBorder="1"/>
    <xf numFmtId="164" fontId="2" fillId="29" borderId="9" xfId="0" applyNumberFormat="1" applyFont="1" applyFill="1" applyBorder="1"/>
    <xf numFmtId="164" fontId="2" fillId="29" borderId="10" xfId="0" applyNumberFormat="1" applyFont="1" applyFill="1" applyBorder="1"/>
    <xf numFmtId="166" fontId="2" fillId="29" borderId="10" xfId="0" applyNumberFormat="1" applyFont="1" applyFill="1" applyBorder="1"/>
    <xf numFmtId="167" fontId="2" fillId="30" borderId="8" xfId="0" applyNumberFormat="1" applyFont="1" applyFill="1" applyBorder="1"/>
    <xf numFmtId="0" fontId="5" fillId="30" borderId="9" xfId="0" applyFont="1" applyFill="1" applyBorder="1"/>
    <xf numFmtId="0" fontId="2" fillId="30" borderId="9" xfId="0" applyFont="1" applyFill="1" applyBorder="1"/>
    <xf numFmtId="165" fontId="2" fillId="30" borderId="9" xfId="0" applyNumberFormat="1" applyFont="1" applyFill="1" applyBorder="1"/>
    <xf numFmtId="0" fontId="2" fillId="30" borderId="10" xfId="0" applyFont="1" applyFill="1" applyBorder="1"/>
    <xf numFmtId="0" fontId="5" fillId="30" borderId="10" xfId="0" applyFont="1" applyFill="1" applyBorder="1" applyAlignment="1">
      <alignment horizontal="center" wrapText="1"/>
    </xf>
    <xf numFmtId="164" fontId="5" fillId="30" borderId="10" xfId="0" applyNumberFormat="1" applyFont="1" applyFill="1" applyBorder="1" applyAlignment="1">
      <alignment horizontal="right"/>
    </xf>
    <xf numFmtId="166" fontId="5" fillId="30" borderId="10" xfId="0" applyNumberFormat="1" applyFont="1" applyFill="1" applyBorder="1" applyAlignment="1">
      <alignment horizontal="right"/>
    </xf>
    <xf numFmtId="166" fontId="2" fillId="30" borderId="10" xfId="0" applyNumberFormat="1" applyFont="1" applyFill="1" applyBorder="1"/>
    <xf numFmtId="165" fontId="2" fillId="10" borderId="7" xfId="0" applyNumberFormat="1" applyFont="1" applyFill="1" applyBorder="1"/>
    <xf numFmtId="165" fontId="2" fillId="10" borderId="1" xfId="0" applyNumberFormat="1" applyFont="1" applyFill="1" applyBorder="1"/>
    <xf numFmtId="165" fontId="5" fillId="31" borderId="7" xfId="0" applyNumberFormat="1" applyFont="1" applyFill="1" applyBorder="1"/>
    <xf numFmtId="165" fontId="2" fillId="31" borderId="1" xfId="0" applyNumberFormat="1" applyFont="1" applyFill="1" applyBorder="1"/>
    <xf numFmtId="0" fontId="2" fillId="31" borderId="1" xfId="0" applyFont="1" applyFill="1" applyBorder="1"/>
    <xf numFmtId="164" fontId="2" fillId="31" borderId="1" xfId="0" applyNumberFormat="1" applyFont="1" applyFill="1" applyBorder="1"/>
    <xf numFmtId="166" fontId="2" fillId="31" borderId="1" xfId="0" applyNumberFormat="1" applyFont="1" applyFill="1" applyBorder="1"/>
    <xf numFmtId="166" fontId="2" fillId="31" borderId="2" xfId="0" applyNumberFormat="1" applyFont="1" applyFill="1" applyBorder="1"/>
    <xf numFmtId="165" fontId="5" fillId="32" borderId="8" xfId="0" applyNumberFormat="1" applyFont="1" applyFill="1" applyBorder="1"/>
    <xf numFmtId="165" fontId="2" fillId="32" borderId="9" xfId="0" applyNumberFormat="1" applyFont="1" applyFill="1" applyBorder="1"/>
    <xf numFmtId="0" fontId="2" fillId="32" borderId="9" xfId="0" applyFont="1" applyFill="1" applyBorder="1"/>
    <xf numFmtId="0" fontId="2" fillId="32" borderId="10" xfId="0" applyFont="1" applyFill="1" applyBorder="1"/>
    <xf numFmtId="164" fontId="2" fillId="32" borderId="10" xfId="0" applyNumberFormat="1" applyFont="1" applyFill="1" applyBorder="1"/>
    <xf numFmtId="166" fontId="2" fillId="32" borderId="10" xfId="0" applyNumberFormat="1" applyFont="1" applyFill="1" applyBorder="1"/>
    <xf numFmtId="165" fontId="2" fillId="33" borderId="8" xfId="0" applyNumberFormat="1" applyFont="1" applyFill="1" applyBorder="1"/>
    <xf numFmtId="0" fontId="5" fillId="33" borderId="9" xfId="0" applyFont="1" applyFill="1" applyBorder="1"/>
    <xf numFmtId="0" fontId="2" fillId="33" borderId="9" xfId="0" applyFont="1" applyFill="1" applyBorder="1"/>
    <xf numFmtId="0" fontId="2" fillId="33" borderId="10" xfId="0" applyFont="1" applyFill="1" applyBorder="1"/>
    <xf numFmtId="0" fontId="5" fillId="33" borderId="10" xfId="0" applyFont="1" applyFill="1" applyBorder="1" applyAlignment="1">
      <alignment horizontal="center" wrapText="1"/>
    </xf>
    <xf numFmtId="164" fontId="5" fillId="33" borderId="10" xfId="0" applyNumberFormat="1" applyFont="1" applyFill="1" applyBorder="1" applyAlignment="1">
      <alignment horizontal="right"/>
    </xf>
    <xf numFmtId="166" fontId="5" fillId="33" borderId="10" xfId="0" applyNumberFormat="1" applyFont="1" applyFill="1" applyBorder="1" applyAlignment="1">
      <alignment horizontal="right"/>
    </xf>
    <xf numFmtId="166" fontId="2" fillId="33" borderId="10" xfId="0" applyNumberFormat="1" applyFont="1" applyFill="1" applyBorder="1"/>
    <xf numFmtId="167" fontId="2" fillId="33" borderId="8" xfId="0" applyNumberFormat="1" applyFont="1" applyFill="1" applyBorder="1"/>
    <xf numFmtId="167" fontId="2" fillId="33" borderId="9" xfId="0" applyNumberFormat="1" applyFont="1" applyFill="1" applyBorder="1"/>
    <xf numFmtId="165" fontId="2" fillId="33" borderId="9" xfId="0" applyNumberFormat="1" applyFont="1" applyFill="1" applyBorder="1"/>
    <xf numFmtId="165" fontId="20" fillId="26" borderId="9" xfId="0" applyNumberFormat="1" applyFont="1" applyFill="1" applyBorder="1"/>
    <xf numFmtId="165" fontId="21" fillId="2" borderId="9" xfId="0" applyNumberFormat="1" applyFont="1" applyFill="1" applyBorder="1"/>
    <xf numFmtId="0" fontId="22" fillId="26" borderId="9" xfId="0" applyFont="1" applyFill="1" applyBorder="1"/>
    <xf numFmtId="164" fontId="2" fillId="33" borderId="10" xfId="0" applyNumberFormat="1" applyFont="1" applyFill="1" applyBorder="1"/>
    <xf numFmtId="0" fontId="23" fillId="0" borderId="9" xfId="0" quotePrefix="1" applyFont="1" applyBorder="1"/>
    <xf numFmtId="165" fontId="21" fillId="2" borderId="1" xfId="0" applyNumberFormat="1" applyFont="1" applyFill="1" applyBorder="1"/>
    <xf numFmtId="165" fontId="5" fillId="33" borderId="9" xfId="0" applyNumberFormat="1" applyFont="1" applyFill="1" applyBorder="1"/>
    <xf numFmtId="165" fontId="5" fillId="33" borderId="10" xfId="0" applyNumberFormat="1" applyFont="1" applyFill="1" applyBorder="1" applyAlignment="1">
      <alignment horizontal="center" wrapText="1"/>
    </xf>
    <xf numFmtId="165" fontId="24" fillId="2" borderId="9" xfId="0" applyNumberFormat="1" applyFont="1" applyFill="1" applyBorder="1"/>
    <xf numFmtId="165" fontId="25" fillId="23" borderId="9" xfId="0" quotePrefix="1" applyNumberFormat="1" applyFont="1" applyFill="1" applyBorder="1"/>
    <xf numFmtId="165" fontId="26" fillId="2" borderId="9" xfId="0" applyNumberFormat="1" applyFont="1" applyFill="1" applyBorder="1"/>
    <xf numFmtId="165" fontId="23" fillId="2" borderId="9" xfId="0" applyNumberFormat="1" applyFont="1" applyFill="1" applyBorder="1"/>
    <xf numFmtId="165" fontId="26" fillId="2" borderId="10" xfId="0" applyNumberFormat="1" applyFont="1" applyFill="1" applyBorder="1"/>
    <xf numFmtId="165" fontId="23" fillId="2" borderId="10" xfId="0" applyNumberFormat="1" applyFont="1" applyFill="1" applyBorder="1" applyAlignment="1">
      <alignment horizontal="center"/>
    </xf>
    <xf numFmtId="164" fontId="23" fillId="2" borderId="10" xfId="0" applyNumberFormat="1" applyFont="1" applyFill="1" applyBorder="1" applyAlignment="1">
      <alignment horizontal="right"/>
    </xf>
    <xf numFmtId="166" fontId="23" fillId="2" borderId="10" xfId="0" applyNumberFormat="1" applyFont="1" applyFill="1" applyBorder="1" applyAlignment="1">
      <alignment horizontal="right"/>
    </xf>
    <xf numFmtId="166" fontId="26" fillId="2" borderId="10" xfId="0" applyNumberFormat="1" applyFont="1" applyFill="1" applyBorder="1"/>
    <xf numFmtId="165" fontId="2" fillId="27" borderId="1" xfId="0" applyNumberFormat="1" applyFont="1" applyFill="1" applyBorder="1"/>
    <xf numFmtId="165" fontId="2" fillId="27" borderId="2" xfId="0" applyNumberFormat="1" applyFont="1" applyFill="1" applyBorder="1"/>
    <xf numFmtId="164" fontId="2" fillId="27" borderId="2" xfId="0" applyNumberFormat="1" applyFont="1" applyFill="1" applyBorder="1"/>
    <xf numFmtId="166" fontId="2" fillId="27" borderId="2" xfId="0" applyNumberFormat="1" applyFont="1" applyFill="1" applyBorder="1"/>
    <xf numFmtId="164" fontId="5" fillId="33" borderId="10" xfId="0" applyNumberFormat="1" applyFont="1" applyFill="1" applyBorder="1"/>
    <xf numFmtId="165" fontId="2" fillId="33" borderId="10" xfId="0" applyNumberFormat="1" applyFont="1" applyFill="1" applyBorder="1"/>
    <xf numFmtId="165" fontId="5" fillId="33" borderId="10" xfId="0" applyNumberFormat="1" applyFont="1" applyFill="1" applyBorder="1" applyAlignment="1">
      <alignment horizontal="center"/>
    </xf>
    <xf numFmtId="165" fontId="5" fillId="2" borderId="9" xfId="0" applyNumberFormat="1" applyFont="1" applyFill="1" applyBorder="1" applyAlignment="1">
      <alignment horizontal="center"/>
    </xf>
    <xf numFmtId="165" fontId="5" fillId="2" borderId="10" xfId="0" applyNumberFormat="1" applyFont="1" applyFill="1" applyBorder="1" applyAlignment="1">
      <alignment horizontal="center" wrapText="1"/>
    </xf>
    <xf numFmtId="165" fontId="2" fillId="2" borderId="12" xfId="0" applyNumberFormat="1" applyFont="1" applyFill="1" applyBorder="1"/>
    <xf numFmtId="165" fontId="8" fillId="2" borderId="12" xfId="0" applyNumberFormat="1" applyFont="1" applyFill="1" applyBorder="1"/>
    <xf numFmtId="165" fontId="2" fillId="2" borderId="13" xfId="0" applyNumberFormat="1" applyFont="1" applyFill="1" applyBorder="1"/>
    <xf numFmtId="165" fontId="8" fillId="2" borderId="9" xfId="0" applyNumberFormat="1" applyFont="1" applyFill="1" applyBorder="1"/>
    <xf numFmtId="165" fontId="28" fillId="2" borderId="9" xfId="0" quotePrefix="1" applyNumberFormat="1" applyFont="1" applyFill="1" applyBorder="1"/>
    <xf numFmtId="168" fontId="7" fillId="2" borderId="10" xfId="0" applyNumberFormat="1" applyFont="1" applyFill="1" applyBorder="1" applyAlignment="1">
      <alignment horizontal="right"/>
    </xf>
    <xf numFmtId="165" fontId="7" fillId="2" borderId="9" xfId="0" quotePrefix="1" applyNumberFormat="1" applyFont="1" applyFill="1" applyBorder="1"/>
    <xf numFmtId="165" fontId="29" fillId="2" borderId="9" xfId="0" applyNumberFormat="1" applyFont="1" applyFill="1" applyBorder="1"/>
    <xf numFmtId="165" fontId="2" fillId="2" borderId="7" xfId="0" applyNumberFormat="1" applyFont="1" applyFill="1" applyBorder="1"/>
    <xf numFmtId="165" fontId="2" fillId="2" borderId="2" xfId="0" applyNumberFormat="1" applyFont="1" applyFill="1" applyBorder="1"/>
    <xf numFmtId="165" fontId="7" fillId="2" borderId="2" xfId="0" applyNumberFormat="1" applyFont="1" applyFill="1" applyBorder="1" applyAlignment="1">
      <alignment horizontal="center"/>
    </xf>
    <xf numFmtId="0" fontId="31" fillId="2" borderId="9" xfId="0" applyFont="1" applyFill="1" applyBorder="1"/>
    <xf numFmtId="165" fontId="5" fillId="2" borderId="1" xfId="0" applyNumberFormat="1" applyFont="1" applyFill="1" applyBorder="1"/>
    <xf numFmtId="164" fontId="7" fillId="24" borderId="2" xfId="0" applyNumberFormat="1" applyFont="1" applyFill="1" applyBorder="1" applyAlignment="1">
      <alignment horizontal="right"/>
    </xf>
    <xf numFmtId="165" fontId="5" fillId="34" borderId="7" xfId="0" applyNumberFormat="1" applyFont="1" applyFill="1" applyBorder="1"/>
    <xf numFmtId="165" fontId="2" fillId="34" borderId="1" xfId="0" applyNumberFormat="1" applyFont="1" applyFill="1" applyBorder="1"/>
    <xf numFmtId="0" fontId="2" fillId="34" borderId="1" xfId="0" applyFont="1" applyFill="1" applyBorder="1"/>
    <xf numFmtId="164" fontId="2" fillId="34" borderId="1" xfId="0" applyNumberFormat="1" applyFont="1" applyFill="1" applyBorder="1"/>
    <xf numFmtId="166" fontId="2" fillId="34" borderId="1" xfId="0" applyNumberFormat="1" applyFont="1" applyFill="1" applyBorder="1"/>
    <xf numFmtId="166" fontId="2" fillId="34" borderId="2" xfId="0" applyNumberFormat="1" applyFont="1" applyFill="1" applyBorder="1"/>
    <xf numFmtId="166" fontId="2" fillId="35" borderId="2" xfId="0" applyNumberFormat="1" applyFont="1" applyFill="1" applyBorder="1"/>
    <xf numFmtId="165" fontId="5" fillId="36" borderId="8" xfId="0" applyNumberFormat="1" applyFont="1" applyFill="1" applyBorder="1"/>
    <xf numFmtId="165" fontId="2" fillId="36" borderId="9" xfId="0" applyNumberFormat="1" applyFont="1" applyFill="1" applyBorder="1"/>
    <xf numFmtId="0" fontId="2" fillId="36" borderId="9" xfId="0" applyFont="1" applyFill="1" applyBorder="1"/>
    <xf numFmtId="0" fontId="2" fillId="36" borderId="10" xfId="0" applyFont="1" applyFill="1" applyBorder="1"/>
    <xf numFmtId="164" fontId="2" fillId="36" borderId="10" xfId="0" applyNumberFormat="1" applyFont="1" applyFill="1" applyBorder="1"/>
    <xf numFmtId="166" fontId="2" fillId="36" borderId="10" xfId="0" applyNumberFormat="1" applyFont="1" applyFill="1" applyBorder="1"/>
    <xf numFmtId="166" fontId="2" fillId="36" borderId="6" xfId="0" applyNumberFormat="1" applyFont="1" applyFill="1" applyBorder="1"/>
    <xf numFmtId="165" fontId="2" fillId="37" borderId="8" xfId="0" applyNumberFormat="1" applyFont="1" applyFill="1" applyBorder="1"/>
    <xf numFmtId="0" fontId="5" fillId="37" borderId="9" xfId="0" applyFont="1" applyFill="1" applyBorder="1"/>
    <xf numFmtId="165" fontId="2" fillId="37" borderId="9" xfId="0" applyNumberFormat="1" applyFont="1" applyFill="1" applyBorder="1"/>
    <xf numFmtId="0" fontId="2" fillId="37" borderId="9" xfId="0" applyFont="1" applyFill="1" applyBorder="1"/>
    <xf numFmtId="0" fontId="2" fillId="37" borderId="10" xfId="0" applyFont="1" applyFill="1" applyBorder="1"/>
    <xf numFmtId="0" fontId="5" fillId="37" borderId="10" xfId="0" applyFont="1" applyFill="1" applyBorder="1" applyAlignment="1">
      <alignment horizontal="center" wrapText="1"/>
    </xf>
    <xf numFmtId="164" fontId="5" fillId="37" borderId="10" xfId="0" applyNumberFormat="1" applyFont="1" applyFill="1" applyBorder="1" applyAlignment="1">
      <alignment horizontal="right"/>
    </xf>
    <xf numFmtId="166" fontId="5" fillId="37" borderId="10" xfId="0" applyNumberFormat="1" applyFont="1" applyFill="1" applyBorder="1" applyAlignment="1">
      <alignment horizontal="right"/>
    </xf>
    <xf numFmtId="166" fontId="2" fillId="37" borderId="10" xfId="0" applyNumberFormat="1" applyFont="1" applyFill="1" applyBorder="1"/>
    <xf numFmtId="0" fontId="7" fillId="0" borderId="1" xfId="0" applyFont="1" applyBorder="1"/>
    <xf numFmtId="0" fontId="7" fillId="2" borderId="2" xfId="0" applyFont="1" applyFill="1" applyBorder="1" applyAlignment="1">
      <alignment horizontal="center" wrapText="1"/>
    </xf>
    <xf numFmtId="165" fontId="2" fillId="27" borderId="7" xfId="0" applyNumberFormat="1" applyFont="1" applyFill="1" applyBorder="1"/>
    <xf numFmtId="0" fontId="2" fillId="27" borderId="1" xfId="0" applyFont="1" applyFill="1" applyBorder="1"/>
    <xf numFmtId="0" fontId="2" fillId="27" borderId="2" xfId="0" applyFont="1" applyFill="1" applyBorder="1"/>
    <xf numFmtId="165" fontId="5" fillId="37" borderId="10" xfId="0" applyNumberFormat="1" applyFont="1" applyFill="1" applyBorder="1" applyAlignment="1">
      <alignment horizontal="center" wrapText="1"/>
    </xf>
    <xf numFmtId="164" fontId="5" fillId="37" borderId="10" xfId="0" applyNumberFormat="1" applyFont="1" applyFill="1" applyBorder="1"/>
    <xf numFmtId="0" fontId="5" fillId="2" borderId="9" xfId="0" applyFont="1" applyFill="1" applyBorder="1" applyAlignment="1">
      <alignment horizontal="center"/>
    </xf>
    <xf numFmtId="165" fontId="2" fillId="2" borderId="11" xfId="0" applyNumberFormat="1" applyFont="1" applyFill="1" applyBorder="1"/>
    <xf numFmtId="0" fontId="2" fillId="2" borderId="12" xfId="0" applyFont="1" applyFill="1" applyBorder="1"/>
    <xf numFmtId="0" fontId="7" fillId="0" borderId="12" xfId="0" applyFont="1" applyBorder="1"/>
    <xf numFmtId="0" fontId="2" fillId="2" borderId="13" xfId="0" applyFont="1" applyFill="1" applyBorder="1"/>
    <xf numFmtId="165" fontId="7" fillId="2" borderId="13" xfId="0" applyNumberFormat="1" applyFont="1" applyFill="1" applyBorder="1" applyAlignment="1">
      <alignment horizontal="center" wrapText="1"/>
    </xf>
    <xf numFmtId="164" fontId="7" fillId="2" borderId="13" xfId="0" applyNumberFormat="1" applyFont="1" applyFill="1" applyBorder="1" applyAlignment="1">
      <alignment horizontal="right"/>
    </xf>
    <xf numFmtId="165" fontId="32" fillId="37" borderId="8" xfId="0" applyNumberFormat="1" applyFont="1" applyFill="1" applyBorder="1"/>
    <xf numFmtId="0" fontId="7" fillId="2" borderId="12" xfId="0" applyFont="1" applyFill="1" applyBorder="1"/>
    <xf numFmtId="0" fontId="7" fillId="2" borderId="13" xfId="0" applyFont="1" applyFill="1" applyBorder="1" applyAlignment="1">
      <alignment horizontal="center"/>
    </xf>
    <xf numFmtId="165" fontId="1" fillId="22" borderId="8" xfId="0" applyNumberFormat="1" applyFont="1" applyFill="1" applyBorder="1"/>
    <xf numFmtId="0" fontId="26" fillId="22" borderId="9" xfId="0" applyFont="1" applyFill="1" applyBorder="1"/>
    <xf numFmtId="167" fontId="26" fillId="22" borderId="9" xfId="0" applyNumberFormat="1" applyFont="1" applyFill="1" applyBorder="1"/>
    <xf numFmtId="165" fontId="26" fillId="22" borderId="9" xfId="0" applyNumberFormat="1" applyFont="1" applyFill="1" applyBorder="1"/>
    <xf numFmtId="164" fontId="26" fillId="22" borderId="9" xfId="0" applyNumberFormat="1" applyFont="1" applyFill="1" applyBorder="1"/>
    <xf numFmtId="166" fontId="26" fillId="22" borderId="9" xfId="0" applyNumberFormat="1" applyFont="1" applyFill="1" applyBorder="1"/>
    <xf numFmtId="166" fontId="26" fillId="22" borderId="10" xfId="0" applyNumberFormat="1" applyFont="1" applyFill="1" applyBorder="1"/>
    <xf numFmtId="167" fontId="26" fillId="12" borderId="8" xfId="0" applyNumberFormat="1" applyFont="1" applyFill="1" applyBorder="1"/>
    <xf numFmtId="0" fontId="1" fillId="12" borderId="9" xfId="0" applyFont="1" applyFill="1" applyBorder="1"/>
    <xf numFmtId="167" fontId="26" fillId="12" borderId="9" xfId="0" applyNumberFormat="1" applyFont="1" applyFill="1" applyBorder="1"/>
    <xf numFmtId="165" fontId="26" fillId="12" borderId="9" xfId="0" applyNumberFormat="1" applyFont="1" applyFill="1" applyBorder="1"/>
    <xf numFmtId="0" fontId="26" fillId="12" borderId="9" xfId="0" applyFont="1" applyFill="1" applyBorder="1"/>
    <xf numFmtId="165" fontId="1" fillId="12" borderId="9" xfId="0" applyNumberFormat="1" applyFont="1" applyFill="1" applyBorder="1" applyAlignment="1">
      <alignment horizontal="center"/>
    </xf>
    <xf numFmtId="164" fontId="26" fillId="12" borderId="9" xfId="0" applyNumberFormat="1" applyFont="1" applyFill="1" applyBorder="1"/>
    <xf numFmtId="164" fontId="26" fillId="12" borderId="10" xfId="0" applyNumberFormat="1" applyFont="1" applyFill="1" applyBorder="1"/>
    <xf numFmtId="166" fontId="26" fillId="12" borderId="10" xfId="0" applyNumberFormat="1" applyFont="1" applyFill="1" applyBorder="1"/>
    <xf numFmtId="165" fontId="26" fillId="12" borderId="8" xfId="0" applyNumberFormat="1" applyFont="1" applyFill="1" applyBorder="1"/>
    <xf numFmtId="165" fontId="23" fillId="12" borderId="9" xfId="0" applyNumberFormat="1" applyFont="1" applyFill="1" applyBorder="1"/>
    <xf numFmtId="0" fontId="26" fillId="12" borderId="10" xfId="0" applyFont="1" applyFill="1" applyBorder="1"/>
    <xf numFmtId="165" fontId="1" fillId="12" borderId="10" xfId="0" applyNumberFormat="1" applyFont="1" applyFill="1" applyBorder="1" applyAlignment="1">
      <alignment horizontal="center"/>
    </xf>
    <xf numFmtId="167" fontId="26" fillId="2" borderId="8" xfId="0" applyNumberFormat="1" applyFont="1" applyFill="1" applyBorder="1"/>
    <xf numFmtId="165" fontId="1" fillId="2" borderId="9" xfId="0" applyNumberFormat="1" applyFont="1" applyFill="1" applyBorder="1" applyAlignment="1">
      <alignment horizontal="center"/>
    </xf>
    <xf numFmtId="0" fontId="33" fillId="2" borderId="9" xfId="0" applyFont="1" applyFill="1" applyBorder="1"/>
    <xf numFmtId="165" fontId="1" fillId="0" borderId="10" xfId="0" applyNumberFormat="1" applyFont="1" applyBorder="1" applyAlignment="1">
      <alignment horizontal="center" wrapText="1"/>
    </xf>
    <xf numFmtId="164" fontId="26" fillId="2" borderId="10" xfId="0" applyNumberFormat="1" applyFont="1" applyFill="1" applyBorder="1"/>
    <xf numFmtId="166" fontId="1" fillId="2" borderId="10" xfId="0" applyNumberFormat="1" applyFont="1" applyFill="1" applyBorder="1" applyAlignment="1">
      <alignment horizontal="right"/>
    </xf>
    <xf numFmtId="0" fontId="26" fillId="0" borderId="9" xfId="0" applyFont="1" applyBorder="1"/>
    <xf numFmtId="0" fontId="23" fillId="2" borderId="9" xfId="0" applyFont="1" applyFill="1" applyBorder="1"/>
    <xf numFmtId="0" fontId="26" fillId="2" borderId="9" xfId="0" applyFont="1" applyFill="1" applyBorder="1"/>
    <xf numFmtId="0" fontId="26" fillId="2" borderId="10" xfId="0" applyFont="1" applyFill="1" applyBorder="1"/>
    <xf numFmtId="165" fontId="23" fillId="0" borderId="10" xfId="0" applyNumberFormat="1" applyFont="1" applyBorder="1" applyAlignment="1">
      <alignment horizontal="center" wrapText="1"/>
    </xf>
    <xf numFmtId="0" fontId="34" fillId="2" borderId="9" xfId="0" applyFont="1" applyFill="1" applyBorder="1"/>
    <xf numFmtId="164" fontId="26" fillId="0" borderId="10" xfId="0" applyNumberFormat="1" applyFont="1" applyBorder="1"/>
    <xf numFmtId="166" fontId="26" fillId="0" borderId="10" xfId="0" applyNumberFormat="1" applyFont="1" applyBorder="1"/>
    <xf numFmtId="165" fontId="1" fillId="0" borderId="10" xfId="0" applyNumberFormat="1" applyFont="1" applyBorder="1" applyAlignment="1">
      <alignment horizontal="center"/>
    </xf>
    <xf numFmtId="165" fontId="23" fillId="0" borderId="10" xfId="0" applyNumberFormat="1" applyFont="1" applyBorder="1" applyAlignment="1">
      <alignment horizontal="center"/>
    </xf>
    <xf numFmtId="165" fontId="26" fillId="0" borderId="8" xfId="0" applyNumberFormat="1" applyFont="1" applyBorder="1"/>
    <xf numFmtId="165" fontId="26" fillId="0" borderId="9" xfId="0" applyNumberFormat="1" applyFont="1" applyBorder="1"/>
    <xf numFmtId="0" fontId="35" fillId="23" borderId="9" xfId="0" quotePrefix="1" applyFont="1" applyFill="1" applyBorder="1"/>
    <xf numFmtId="0" fontId="26" fillId="23" borderId="9" xfId="0" applyFont="1" applyFill="1" applyBorder="1"/>
    <xf numFmtId="0" fontId="26" fillId="23" borderId="10" xfId="0" applyFont="1" applyFill="1" applyBorder="1"/>
    <xf numFmtId="165" fontId="26" fillId="0" borderId="10" xfId="0" applyNumberFormat="1" applyFont="1" applyBorder="1"/>
    <xf numFmtId="165" fontId="23" fillId="0" borderId="9" xfId="0" applyNumberFormat="1" applyFont="1" applyBorder="1"/>
    <xf numFmtId="0" fontId="26" fillId="0" borderId="10" xfId="0" applyFont="1" applyBorder="1"/>
    <xf numFmtId="165" fontId="26" fillId="0" borderId="14" xfId="0" applyNumberFormat="1" applyFont="1" applyBorder="1"/>
    <xf numFmtId="165" fontId="26" fillId="0" borderId="15" xfId="0" applyNumberFormat="1" applyFont="1" applyBorder="1"/>
    <xf numFmtId="165" fontId="23" fillId="0" borderId="15" xfId="0" applyNumberFormat="1" applyFont="1" applyBorder="1"/>
    <xf numFmtId="0" fontId="26" fillId="0" borderId="15" xfId="0" applyFont="1" applyBorder="1"/>
    <xf numFmtId="0" fontId="26" fillId="0" borderId="16" xfId="0" applyFont="1" applyBorder="1"/>
    <xf numFmtId="165" fontId="23" fillId="0" borderId="16" xfId="0" applyNumberFormat="1" applyFont="1" applyBorder="1" applyAlignment="1">
      <alignment horizontal="center" wrapText="1"/>
    </xf>
    <xf numFmtId="164" fontId="26" fillId="2" borderId="16" xfId="0" applyNumberFormat="1" applyFont="1" applyFill="1" applyBorder="1"/>
    <xf numFmtId="166" fontId="26" fillId="0" borderId="16" xfId="0" applyNumberFormat="1" applyFont="1" applyBorder="1"/>
    <xf numFmtId="166" fontId="26" fillId="2" borderId="16" xfId="0" applyNumberFormat="1" applyFont="1" applyFill="1" applyBorder="1"/>
    <xf numFmtId="165" fontId="3" fillId="38" borderId="7" xfId="0" applyNumberFormat="1" applyFont="1" applyFill="1" applyBorder="1"/>
    <xf numFmtId="165" fontId="2" fillId="38" borderId="1" xfId="0" applyNumberFormat="1" applyFont="1" applyFill="1" applyBorder="1"/>
    <xf numFmtId="0" fontId="2" fillId="38" borderId="1" xfId="0" applyFont="1" applyFill="1" applyBorder="1"/>
    <xf numFmtId="0" fontId="2" fillId="38" borderId="2" xfId="0" applyFont="1" applyFill="1" applyBorder="1"/>
    <xf numFmtId="165" fontId="2" fillId="38" borderId="2" xfId="0" applyNumberFormat="1" applyFont="1" applyFill="1" applyBorder="1"/>
    <xf numFmtId="164" fontId="2" fillId="38" borderId="2" xfId="0" applyNumberFormat="1" applyFont="1" applyFill="1" applyBorder="1"/>
    <xf numFmtId="166" fontId="2" fillId="38" borderId="2" xfId="0" applyNumberFormat="1" applyFont="1" applyFill="1" applyBorder="1"/>
    <xf numFmtId="165" fontId="2" fillId="39" borderId="9" xfId="0" applyNumberFormat="1" applyFont="1" applyFill="1" applyBorder="1"/>
    <xf numFmtId="165" fontId="5" fillId="39" borderId="9" xfId="0" applyNumberFormat="1" applyFont="1" applyFill="1" applyBorder="1"/>
    <xf numFmtId="0" fontId="2" fillId="39" borderId="9" xfId="0" applyFont="1" applyFill="1" applyBorder="1"/>
    <xf numFmtId="0" fontId="2" fillId="39" borderId="10" xfId="0" applyFont="1" applyFill="1" applyBorder="1"/>
    <xf numFmtId="165" fontId="2" fillId="39" borderId="10" xfId="0" applyNumberFormat="1" applyFont="1" applyFill="1" applyBorder="1"/>
    <xf numFmtId="164" fontId="2" fillId="39" borderId="10" xfId="0" applyNumberFormat="1" applyFont="1" applyFill="1" applyBorder="1"/>
    <xf numFmtId="166" fontId="2" fillId="39" borderId="10" xfId="0" applyNumberFormat="1" applyFont="1" applyFill="1" applyBorder="1"/>
    <xf numFmtId="165" fontId="2" fillId="40" borderId="9" xfId="0" applyNumberFormat="1" applyFont="1" applyFill="1" applyBorder="1"/>
    <xf numFmtId="165" fontId="5" fillId="40" borderId="9" xfId="0" applyNumberFormat="1" applyFont="1" applyFill="1" applyBorder="1"/>
    <xf numFmtId="0" fontId="2" fillId="40" borderId="9" xfId="0" applyFont="1" applyFill="1" applyBorder="1"/>
    <xf numFmtId="0" fontId="2" fillId="40" borderId="10" xfId="0" applyFont="1" applyFill="1" applyBorder="1"/>
    <xf numFmtId="165" fontId="5" fillId="40" borderId="10" xfId="0" applyNumberFormat="1" applyFont="1" applyFill="1" applyBorder="1" applyAlignment="1">
      <alignment horizontal="center"/>
    </xf>
    <xf numFmtId="164" fontId="5" fillId="40" borderId="10" xfId="0" applyNumberFormat="1" applyFont="1" applyFill="1" applyBorder="1" applyAlignment="1">
      <alignment horizontal="right"/>
    </xf>
    <xf numFmtId="166" fontId="5" fillId="40" borderId="10" xfId="0" applyNumberFormat="1" applyFont="1" applyFill="1" applyBorder="1" applyAlignment="1">
      <alignment horizontal="right"/>
    </xf>
    <xf numFmtId="166" fontId="2" fillId="40" borderId="10" xfId="0" applyNumberFormat="1" applyFont="1" applyFill="1" applyBorder="1"/>
    <xf numFmtId="165" fontId="37" fillId="23" borderId="9" xfId="0" applyNumberFormat="1" applyFont="1" applyFill="1" applyBorder="1"/>
    <xf numFmtId="165" fontId="7" fillId="0" borderId="9" xfId="0" applyNumberFormat="1" applyFont="1" applyBorder="1"/>
    <xf numFmtId="165" fontId="5" fillId="0" borderId="10" xfId="0" applyNumberFormat="1" applyFont="1" applyBorder="1" applyAlignment="1">
      <alignment horizontal="center"/>
    </xf>
    <xf numFmtId="165" fontId="2" fillId="40" borderId="10" xfId="0" applyNumberFormat="1" applyFont="1" applyFill="1" applyBorder="1"/>
    <xf numFmtId="164" fontId="2" fillId="40" borderId="10" xfId="0" applyNumberFormat="1" applyFont="1" applyFill="1" applyBorder="1"/>
    <xf numFmtId="0" fontId="38" fillId="23" borderId="9" xfId="0" applyFont="1" applyFill="1" applyBorder="1"/>
    <xf numFmtId="165" fontId="7" fillId="2" borderId="10" xfId="0" applyNumberFormat="1" applyFont="1" applyFill="1" applyBorder="1" applyAlignment="1">
      <alignment horizontal="right"/>
    </xf>
    <xf numFmtId="165" fontId="5" fillId="2" borderId="10" xfId="0" applyNumberFormat="1" applyFont="1" applyFill="1" applyBorder="1" applyAlignment="1">
      <alignment horizontal="right"/>
    </xf>
    <xf numFmtId="169" fontId="2" fillId="2" borderId="10" xfId="0" applyNumberFormat="1" applyFont="1" applyFill="1" applyBorder="1"/>
    <xf numFmtId="165" fontId="39" fillId="0" borderId="1" xfId="0" applyNumberFormat="1" applyFont="1" applyBorder="1"/>
    <xf numFmtId="169" fontId="2" fillId="2" borderId="2" xfId="0" applyNumberFormat="1" applyFont="1" applyFill="1" applyBorder="1"/>
    <xf numFmtId="165" fontId="5" fillId="39" borderId="10" xfId="0" applyNumberFormat="1" applyFont="1" applyFill="1" applyBorder="1" applyAlignment="1">
      <alignment horizontal="center"/>
    </xf>
    <xf numFmtId="164" fontId="5" fillId="39" borderId="10" xfId="0" applyNumberFormat="1" applyFont="1" applyFill="1" applyBorder="1" applyAlignment="1">
      <alignment horizontal="right"/>
    </xf>
    <xf numFmtId="166" fontId="5" fillId="39" borderId="10" xfId="0" applyNumberFormat="1" applyFont="1" applyFill="1" applyBorder="1" applyAlignment="1">
      <alignment horizontal="right"/>
    </xf>
    <xf numFmtId="0" fontId="5" fillId="0" borderId="9" xfId="0" quotePrefix="1" applyFont="1" applyBorder="1"/>
    <xf numFmtId="0" fontId="40" fillId="0" borderId="9" xfId="0" applyFont="1" applyBorder="1"/>
    <xf numFmtId="165" fontId="16" fillId="39" borderId="9" xfId="0" applyNumberFormat="1" applyFont="1" applyFill="1" applyBorder="1"/>
    <xf numFmtId="165" fontId="16" fillId="39" borderId="10" xfId="0" applyNumberFormat="1" applyFont="1" applyFill="1" applyBorder="1" applyAlignment="1">
      <alignment horizontal="center"/>
    </xf>
    <xf numFmtId="166" fontId="16" fillId="39" borderId="10" xfId="0" applyNumberFormat="1" applyFont="1" applyFill="1" applyBorder="1" applyAlignment="1">
      <alignment horizontal="right"/>
    </xf>
    <xf numFmtId="165" fontId="16" fillId="0" borderId="10" xfId="0" applyNumberFormat="1" applyFont="1" applyBorder="1" applyAlignment="1">
      <alignment horizontal="center" wrapText="1"/>
    </xf>
    <xf numFmtId="0" fontId="42" fillId="2" borderId="9" xfId="0" applyFont="1" applyFill="1" applyBorder="1"/>
    <xf numFmtId="165" fontId="16" fillId="0" borderId="10" xfId="0" applyNumberFormat="1" applyFont="1" applyBorder="1" applyAlignment="1">
      <alignment horizontal="center"/>
    </xf>
    <xf numFmtId="165" fontId="8" fillId="0" borderId="10" xfId="0" applyNumberFormat="1" applyFont="1" applyBorder="1" applyAlignment="1">
      <alignment horizontal="center"/>
    </xf>
    <xf numFmtId="0" fontId="43" fillId="23" borderId="9" xfId="0" applyFont="1" applyFill="1" applyBorder="1"/>
    <xf numFmtId="164" fontId="8" fillId="2" borderId="10" xfId="0" applyNumberFormat="1" applyFont="1" applyFill="1" applyBorder="1" applyAlignment="1">
      <alignment horizontal="right"/>
    </xf>
    <xf numFmtId="0" fontId="8" fillId="2" borderId="1" xfId="0" applyFont="1" applyFill="1" applyBorder="1"/>
    <xf numFmtId="165" fontId="8" fillId="0" borderId="2" xfId="0" applyNumberFormat="1" applyFont="1" applyBorder="1" applyAlignment="1">
      <alignment horizontal="center" wrapText="1"/>
    </xf>
    <xf numFmtId="164" fontId="8" fillId="2" borderId="2" xfId="0" applyNumberFormat="1" applyFont="1" applyFill="1" applyBorder="1" applyAlignment="1">
      <alignment horizontal="right"/>
    </xf>
    <xf numFmtId="165" fontId="2" fillId="39" borderId="8" xfId="0" applyNumberFormat="1" applyFont="1" applyFill="1" applyBorder="1"/>
    <xf numFmtId="165" fontId="5" fillId="0" borderId="9" xfId="0" applyNumberFormat="1" applyFont="1" applyBorder="1"/>
    <xf numFmtId="165" fontId="7" fillId="0" borderId="13" xfId="0" applyNumberFormat="1" applyFont="1" applyBorder="1" applyAlignment="1">
      <alignment horizontal="center"/>
    </xf>
    <xf numFmtId="164" fontId="2" fillId="0" borderId="13" xfId="0" applyNumberFormat="1" applyFont="1" applyBorder="1"/>
    <xf numFmtId="167" fontId="16" fillId="2" borderId="9" xfId="0" applyNumberFormat="1" applyFont="1" applyFill="1" applyBorder="1" applyAlignment="1">
      <alignment horizontal="center"/>
    </xf>
    <xf numFmtId="165" fontId="8" fillId="0" borderId="9" xfId="0" applyNumberFormat="1" applyFont="1" applyBorder="1"/>
    <xf numFmtId="165" fontId="5" fillId="13" borderId="17" xfId="0" applyNumberFormat="1" applyFont="1" applyFill="1" applyBorder="1"/>
    <xf numFmtId="165" fontId="2" fillId="13" borderId="18" xfId="0" applyNumberFormat="1" applyFont="1" applyFill="1" applyBorder="1"/>
    <xf numFmtId="0" fontId="2" fillId="13" borderId="18" xfId="0" applyFont="1" applyFill="1" applyBorder="1"/>
    <xf numFmtId="0" fontId="2" fillId="13" borderId="19" xfId="0" applyFont="1" applyFill="1" applyBorder="1"/>
    <xf numFmtId="165" fontId="5" fillId="13" borderId="18" xfId="0" applyNumberFormat="1" applyFont="1" applyFill="1" applyBorder="1"/>
    <xf numFmtId="164" fontId="2" fillId="13" borderId="18" xfId="0" applyNumberFormat="1" applyFont="1" applyFill="1" applyBorder="1"/>
    <xf numFmtId="164" fontId="2" fillId="13" borderId="19" xfId="0" applyNumberFormat="1" applyFont="1" applyFill="1" applyBorder="1"/>
    <xf numFmtId="166" fontId="2" fillId="13" borderId="19" xfId="0" applyNumberFormat="1" applyFont="1" applyFill="1" applyBorder="1"/>
    <xf numFmtId="165" fontId="2" fillId="0" borderId="0" xfId="0" applyNumberFormat="1" applyFont="1"/>
    <xf numFmtId="164" fontId="2" fillId="0" borderId="0" xfId="0" applyNumberFormat="1" applyFont="1"/>
    <xf numFmtId="166" fontId="2" fillId="0" borderId="0" xfId="0" applyNumberFormat="1" applyFont="1"/>
    <xf numFmtId="165" fontId="21" fillId="0" borderId="0" xfId="0" applyNumberFormat="1" applyFont="1"/>
    <xf numFmtId="166" fontId="5" fillId="8" borderId="1" xfId="0" applyNumberFormat="1" applyFont="1" applyFill="1" applyBorder="1" applyAlignment="1">
      <alignment horizontal="center"/>
    </xf>
    <xf numFmtId="0" fontId="4" fillId="0" borderId="1" xfId="0" applyFont="1" applyBorder="1"/>
    <xf numFmtId="0" fontId="4" fillId="0" borderId="2" xfId="0" applyFont="1" applyBorder="1"/>
    <xf numFmtId="166" fontId="5" fillId="7" borderId="1" xfId="0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/>
    <xf numFmtId="165" fontId="3" fillId="3" borderId="3" xfId="0" applyNumberFormat="1" applyFont="1" applyFill="1" applyBorder="1" applyAlignment="1">
      <alignment horizontal="center"/>
    </xf>
    <xf numFmtId="0" fontId="4" fillId="0" borderId="3" xfId="0" applyFont="1" applyBorder="1"/>
    <xf numFmtId="0" fontId="4" fillId="0" borderId="4" xfId="0" applyFont="1" applyBorder="1"/>
    <xf numFmtId="165" fontId="3" fillId="4" borderId="3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165" fontId="30" fillId="2" borderId="1" xfId="0" applyNumberFormat="1" applyFont="1" applyFill="1" applyBorder="1"/>
    <xf numFmtId="0" fontId="33" fillId="2" borderId="9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36" fillId="2" borderId="9" xfId="0" applyFont="1" applyFill="1" applyBorder="1"/>
    <xf numFmtId="0" fontId="41" fillId="2" borderId="9" xfId="0" applyFont="1" applyFill="1" applyBorder="1"/>
    <xf numFmtId="0" fontId="5" fillId="5" borderId="5" xfId="0" applyFont="1" applyFill="1" applyBorder="1" applyAlignment="1">
      <alignment horizontal="center"/>
    </xf>
    <xf numFmtId="0" fontId="4" fillId="0" borderId="6" xfId="0" applyFont="1" applyBorder="1"/>
    <xf numFmtId="0" fontId="4" fillId="0" borderId="7" xfId="0" applyFont="1" applyBorder="1"/>
    <xf numFmtId="0" fontId="2" fillId="10" borderId="7" xfId="0" applyFont="1" applyFill="1" applyBorder="1"/>
    <xf numFmtId="0" fontId="5" fillId="11" borderId="7" xfId="0" applyFont="1" applyFill="1" applyBorder="1"/>
    <xf numFmtId="0" fontId="5" fillId="17" borderId="7" xfId="0" applyFont="1" applyFill="1" applyBorder="1"/>
    <xf numFmtId="0" fontId="5" fillId="18" borderId="9" xfId="0" applyFont="1" applyFill="1" applyBorder="1"/>
    <xf numFmtId="165" fontId="27" fillId="2" borderId="0" xfId="0" applyNumberFormat="1" applyFont="1" applyFill="1"/>
    <xf numFmtId="0" fontId="21" fillId="0" borderId="0" xfId="0" applyFont="1"/>
    <xf numFmtId="0" fontId="5" fillId="13" borderId="18" xfId="0" applyFont="1" applyFill="1" applyBorder="1"/>
    <xf numFmtId="0" fontId="5" fillId="13" borderId="17" xfId="0" applyFont="1" applyFill="1" applyBorder="1"/>
    <xf numFmtId="166" fontId="2" fillId="2" borderId="20" xfId="0" applyNumberFormat="1" applyFont="1" applyFill="1" applyBorder="1"/>
    <xf numFmtId="166" fontId="2" fillId="2" borderId="21" xfId="0" applyNumberFormat="1" applyFont="1" applyFill="1" applyBorder="1"/>
    <xf numFmtId="165" fontId="6" fillId="23" borderId="9" xfId="0" applyNumberFormat="1" applyFont="1" applyFill="1" applyBorder="1"/>
    <xf numFmtId="166" fontId="7" fillId="2" borderId="21" xfId="0" applyNumberFormat="1" applyFont="1" applyFill="1" applyBorder="1" applyAlignment="1">
      <alignment horizontal="right"/>
    </xf>
    <xf numFmtId="166" fontId="8" fillId="2" borderId="21" xfId="0" applyNumberFormat="1" applyFont="1" applyFill="1" applyBorder="1" applyAlignment="1">
      <alignment horizontal="right"/>
    </xf>
    <xf numFmtId="166" fontId="5" fillId="2" borderId="21" xfId="0" applyNumberFormat="1" applyFont="1" applyFill="1" applyBorder="1" applyAlignment="1">
      <alignment horizontal="right"/>
    </xf>
    <xf numFmtId="0" fontId="6" fillId="2" borderId="9" xfId="0" applyFont="1" applyFill="1" applyBorder="1"/>
    <xf numFmtId="166" fontId="2" fillId="39" borderId="21" xfId="0" applyNumberFormat="1" applyFont="1" applyFill="1" applyBorder="1"/>
    <xf numFmtId="166" fontId="26" fillId="2" borderId="21" xfId="0" applyNumberFormat="1" applyFont="1" applyFill="1" applyBorder="1"/>
    <xf numFmtId="164" fontId="23" fillId="24" borderId="10" xfId="0" applyNumberFormat="1" applyFont="1" applyFill="1" applyBorder="1" applyAlignment="1">
      <alignment horizontal="right"/>
    </xf>
    <xf numFmtId="0" fontId="23" fillId="0" borderId="9" xfId="0" applyFont="1" applyBorder="1"/>
    <xf numFmtId="165" fontId="1" fillId="0" borderId="9" xfId="0" applyNumberFormat="1" applyFont="1" applyBorder="1"/>
    <xf numFmtId="165" fontId="6" fillId="23" borderId="9" xfId="0" quotePrefix="1" applyNumberFormat="1" applyFont="1" applyFill="1" applyBorder="1"/>
    <xf numFmtId="166" fontId="2" fillId="0" borderId="21" xfId="0" applyNumberFormat="1" applyFont="1" applyBorder="1"/>
    <xf numFmtId="0" fontId="18" fillId="23" borderId="9" xfId="0" applyFont="1" applyFill="1" applyBorder="1"/>
    <xf numFmtId="0" fontId="18" fillId="2" borderId="9" xfId="0" applyFont="1" applyFill="1" applyBorder="1"/>
    <xf numFmtId="0" fontId="18" fillId="2" borderId="9" xfId="0" applyFont="1" applyFill="1" applyBorder="1"/>
    <xf numFmtId="166" fontId="2" fillId="27" borderId="20" xfId="0" applyNumberFormat="1" applyFont="1" applyFill="1" applyBorder="1"/>
    <xf numFmtId="0" fontId="6" fillId="23" borderId="9" xfId="0" quotePrefix="1" applyFont="1" applyFill="1" applyBorder="1"/>
    <xf numFmtId="164" fontId="7" fillId="39" borderId="10" xfId="0" applyNumberFormat="1" applyFont="1" applyFill="1" applyBorder="1" applyAlignment="1">
      <alignment horizontal="right"/>
    </xf>
    <xf numFmtId="165" fontId="7" fillId="39" borderId="10" xfId="0" applyNumberFormat="1" applyFont="1" applyFill="1" applyBorder="1" applyAlignment="1">
      <alignment horizontal="center"/>
    </xf>
    <xf numFmtId="169" fontId="2" fillId="2" borderId="20" xfId="0" applyNumberFormat="1" applyFont="1" applyFill="1" applyBorder="1"/>
    <xf numFmtId="169" fontId="2" fillId="2" borderId="21" xfId="0" applyNumberFormat="1" applyFont="1" applyFill="1" applyBorder="1"/>
    <xf numFmtId="0" fontId="6" fillId="23" borderId="9" xfId="0" applyFont="1" applyFill="1" applyBorder="1"/>
    <xf numFmtId="166" fontId="2" fillId="40" borderId="21" xfId="0" applyNumberFormat="1" applyFont="1" applyFill="1" applyBorder="1"/>
    <xf numFmtId="166" fontId="2" fillId="38" borderId="20" xfId="0" applyNumberFormat="1" applyFont="1" applyFill="1" applyBorder="1"/>
    <xf numFmtId="166" fontId="2" fillId="2" borderId="16" xfId="0" applyNumberFormat="1" applyFont="1" applyFill="1" applyBorder="1"/>
    <xf numFmtId="166" fontId="2" fillId="2" borderId="22" xfId="0" applyNumberFormat="1" applyFont="1" applyFill="1" applyBorder="1"/>
    <xf numFmtId="166" fontId="2" fillId="0" borderId="16" xfId="0" applyNumberFormat="1" applyFont="1" applyBorder="1"/>
    <xf numFmtId="164" fontId="2" fillId="2" borderId="16" xfId="0" applyNumberFormat="1" applyFont="1" applyFill="1" applyBorder="1"/>
    <xf numFmtId="165" fontId="8" fillId="0" borderId="16" xfId="0" applyNumberFormat="1" applyFont="1" applyBorder="1" applyAlignment="1">
      <alignment horizontal="center" wrapText="1"/>
    </xf>
    <xf numFmtId="0" fontId="2" fillId="0" borderId="16" xfId="0" applyFont="1" applyBorder="1"/>
    <xf numFmtId="0" fontId="2" fillId="0" borderId="15" xfId="0" applyFont="1" applyBorder="1"/>
    <xf numFmtId="165" fontId="8" fillId="0" borderId="15" xfId="0" applyNumberFormat="1" applyFont="1" applyBorder="1"/>
    <xf numFmtId="165" fontId="2" fillId="0" borderId="15" xfId="0" applyNumberFormat="1" applyFont="1" applyBorder="1"/>
    <xf numFmtId="165" fontId="2" fillId="0" borderId="14" xfId="0" applyNumberFormat="1" applyFont="1" applyBorder="1"/>
    <xf numFmtId="0" fontId="18" fillId="23" borderId="9" xfId="0" quotePrefix="1" applyFont="1" applyFill="1" applyBorder="1"/>
    <xf numFmtId="166" fontId="2" fillId="12" borderId="21" xfId="0" applyNumberFormat="1" applyFont="1" applyFill="1" applyBorder="1"/>
    <xf numFmtId="165" fontId="16" fillId="12" borderId="10" xfId="0" applyNumberFormat="1" applyFont="1" applyFill="1" applyBorder="1" applyAlignment="1">
      <alignment horizontal="center"/>
    </xf>
    <xf numFmtId="165" fontId="8" fillId="12" borderId="9" xfId="0" applyNumberFormat="1" applyFont="1" applyFill="1" applyBorder="1"/>
    <xf numFmtId="165" fontId="2" fillId="12" borderId="8" xfId="0" applyNumberFormat="1" applyFont="1" applyFill="1" applyBorder="1"/>
    <xf numFmtId="165" fontId="16" fillId="12" borderId="9" xfId="0" applyNumberFormat="1" applyFont="1" applyFill="1" applyBorder="1" applyAlignment="1">
      <alignment horizontal="center"/>
    </xf>
    <xf numFmtId="0" fontId="16" fillId="12" borderId="9" xfId="0" applyFont="1" applyFill="1" applyBorder="1"/>
    <xf numFmtId="165" fontId="16" fillId="22" borderId="8" xfId="0" applyNumberFormat="1" applyFont="1" applyFill="1" applyBorder="1"/>
    <xf numFmtId="166" fontId="2" fillId="27" borderId="21" xfId="0" applyNumberFormat="1" applyFont="1" applyFill="1" applyBorder="1"/>
    <xf numFmtId="0" fontId="6" fillId="2" borderId="9" xfId="0" applyFont="1" applyFill="1" applyBorder="1"/>
    <xf numFmtId="166" fontId="2" fillId="37" borderId="21" xfId="0" applyNumberFormat="1" applyFont="1" applyFill="1" applyBorder="1"/>
    <xf numFmtId="164" fontId="2" fillId="37" borderId="10" xfId="0" applyNumberFormat="1" applyFont="1" applyFill="1" applyBorder="1"/>
    <xf numFmtId="166" fontId="5" fillId="37" borderId="13" xfId="0" applyNumberFormat="1" applyFont="1" applyFill="1" applyBorder="1" applyAlignment="1">
      <alignment horizontal="right"/>
    </xf>
    <xf numFmtId="164" fontId="2" fillId="37" borderId="13" xfId="0" applyNumberFormat="1" applyFont="1" applyFill="1" applyBorder="1"/>
    <xf numFmtId="165" fontId="5" fillId="37" borderId="13" xfId="0" applyNumberFormat="1" applyFont="1" applyFill="1" applyBorder="1" applyAlignment="1">
      <alignment horizontal="center" wrapText="1"/>
    </xf>
    <xf numFmtId="0" fontId="2" fillId="37" borderId="13" xfId="0" applyFont="1" applyFill="1" applyBorder="1"/>
    <xf numFmtId="0" fontId="2" fillId="37" borderId="12" xfId="0" applyFont="1" applyFill="1" applyBorder="1"/>
    <xf numFmtId="165" fontId="2" fillId="37" borderId="12" xfId="0" applyNumberFormat="1" applyFont="1" applyFill="1" applyBorder="1"/>
    <xf numFmtId="0" fontId="5" fillId="37" borderId="12" xfId="0" applyFont="1" applyFill="1" applyBorder="1"/>
    <xf numFmtId="165" fontId="2" fillId="37" borderId="11" xfId="0" applyNumberFormat="1" applyFont="1" applyFill="1" applyBorder="1"/>
    <xf numFmtId="166" fontId="2" fillId="27" borderId="6" xfId="0" applyNumberFormat="1" applyFont="1" applyFill="1" applyBorder="1"/>
    <xf numFmtId="164" fontId="2" fillId="27" borderId="6" xfId="0" applyNumberFormat="1" applyFont="1" applyFill="1" applyBorder="1"/>
    <xf numFmtId="165" fontId="2" fillId="27" borderId="6" xfId="0" applyNumberFormat="1" applyFont="1" applyFill="1" applyBorder="1"/>
    <xf numFmtId="0" fontId="2" fillId="27" borderId="6" xfId="0" applyFont="1" applyFill="1" applyBorder="1"/>
    <xf numFmtId="0" fontId="2" fillId="27" borderId="0" xfId="0" applyFont="1" applyFill="1"/>
    <xf numFmtId="165" fontId="2" fillId="27" borderId="0" xfId="0" applyNumberFormat="1" applyFont="1" applyFill="1"/>
    <xf numFmtId="165" fontId="2" fillId="27" borderId="5" xfId="0" applyNumberFormat="1" applyFont="1" applyFill="1" applyBorder="1"/>
    <xf numFmtId="166" fontId="2" fillId="27" borderId="13" xfId="0" applyNumberFormat="1" applyFont="1" applyFill="1" applyBorder="1"/>
    <xf numFmtId="164" fontId="2" fillId="27" borderId="13" xfId="0" applyNumberFormat="1" applyFont="1" applyFill="1" applyBorder="1"/>
    <xf numFmtId="165" fontId="2" fillId="27" borderId="13" xfId="0" applyNumberFormat="1" applyFont="1" applyFill="1" applyBorder="1"/>
    <xf numFmtId="0" fontId="2" fillId="27" borderId="13" xfId="0" applyFont="1" applyFill="1" applyBorder="1"/>
    <xf numFmtId="0" fontId="2" fillId="27" borderId="12" xfId="0" applyFont="1" applyFill="1" applyBorder="1"/>
    <xf numFmtId="165" fontId="2" fillId="27" borderId="12" xfId="0" applyNumberFormat="1" applyFont="1" applyFill="1" applyBorder="1"/>
    <xf numFmtId="165" fontId="2" fillId="27" borderId="11" xfId="0" applyNumberFormat="1" applyFont="1" applyFill="1" applyBorder="1"/>
    <xf numFmtId="0" fontId="23" fillId="2" borderId="10" xfId="0" applyFont="1" applyFill="1" applyBorder="1" applyAlignment="1">
      <alignment horizontal="center" wrapText="1"/>
    </xf>
    <xf numFmtId="165" fontId="26" fillId="2" borderId="8" xfId="0" applyNumberFormat="1" applyFont="1" applyFill="1" applyBorder="1"/>
    <xf numFmtId="0" fontId="33" fillId="23" borderId="9" xfId="0" quotePrefix="1" applyFont="1" applyFill="1" applyBorder="1"/>
    <xf numFmtId="0" fontId="1" fillId="2" borderId="9" xfId="0" applyFont="1" applyFill="1" applyBorder="1"/>
    <xf numFmtId="166" fontId="44" fillId="0" borderId="10" xfId="0" applyNumberFormat="1" applyFont="1" applyBorder="1"/>
    <xf numFmtId="164" fontId="44" fillId="0" borderId="10" xfId="0" applyNumberFormat="1" applyFont="1" applyBorder="1"/>
    <xf numFmtId="0" fontId="44" fillId="2" borderId="10" xfId="0" applyFont="1" applyFill="1" applyBorder="1"/>
    <xf numFmtId="0" fontId="44" fillId="2" borderId="9" xfId="0" applyFont="1" applyFill="1" applyBorder="1"/>
    <xf numFmtId="167" fontId="44" fillId="2" borderId="8" xfId="0" applyNumberFormat="1" applyFont="1" applyFill="1" applyBorder="1"/>
    <xf numFmtId="0" fontId="45" fillId="2" borderId="9" xfId="0" applyFont="1" applyFill="1" applyBorder="1"/>
    <xf numFmtId="166" fontId="44" fillId="2" borderId="10" xfId="0" applyNumberFormat="1" applyFont="1" applyFill="1" applyBorder="1"/>
    <xf numFmtId="164" fontId="44" fillId="2" borderId="10" xfId="0" applyNumberFormat="1" applyFont="1" applyFill="1" applyBorder="1"/>
    <xf numFmtId="165" fontId="1" fillId="2" borderId="10" xfId="0" applyNumberFormat="1" applyFont="1" applyFill="1" applyBorder="1" applyAlignment="1">
      <alignment horizontal="center"/>
    </xf>
    <xf numFmtId="166" fontId="1" fillId="37" borderId="10" xfId="0" applyNumberFormat="1" applyFont="1" applyFill="1" applyBorder="1" applyAlignment="1">
      <alignment horizontal="right"/>
    </xf>
    <xf numFmtId="164" fontId="1" fillId="37" borderId="10" xfId="0" applyNumberFormat="1" applyFont="1" applyFill="1" applyBorder="1" applyAlignment="1">
      <alignment horizontal="right"/>
    </xf>
    <xf numFmtId="0" fontId="1" fillId="37" borderId="10" xfId="0" applyFont="1" applyFill="1" applyBorder="1" applyAlignment="1">
      <alignment horizontal="center" wrapText="1"/>
    </xf>
    <xf numFmtId="0" fontId="26" fillId="37" borderId="10" xfId="0" applyFont="1" applyFill="1" applyBorder="1"/>
    <xf numFmtId="0" fontId="26" fillId="37" borderId="9" xfId="0" applyFont="1" applyFill="1" applyBorder="1"/>
    <xf numFmtId="165" fontId="26" fillId="37" borderId="9" xfId="0" applyNumberFormat="1" applyFont="1" applyFill="1" applyBorder="1"/>
    <xf numFmtId="0" fontId="1" fillId="37" borderId="9" xfId="0" applyFont="1" applyFill="1" applyBorder="1"/>
    <xf numFmtId="165" fontId="26" fillId="37" borderId="8" xfId="0" applyNumberFormat="1" applyFont="1" applyFill="1" applyBorder="1"/>
    <xf numFmtId="166" fontId="2" fillId="36" borderId="23" xfId="0" applyNumberFormat="1" applyFont="1" applyFill="1" applyBorder="1"/>
    <xf numFmtId="166" fontId="26" fillId="36" borderId="10" xfId="0" applyNumberFormat="1" applyFont="1" applyFill="1" applyBorder="1"/>
    <xf numFmtId="164" fontId="26" fillId="36" borderId="10" xfId="0" applyNumberFormat="1" applyFont="1" applyFill="1" applyBorder="1"/>
    <xf numFmtId="0" fontId="26" fillId="36" borderId="10" xfId="0" applyFont="1" applyFill="1" applyBorder="1"/>
    <xf numFmtId="165" fontId="26" fillId="36" borderId="9" xfId="0" applyNumberFormat="1" applyFont="1" applyFill="1" applyBorder="1"/>
    <xf numFmtId="0" fontId="26" fillId="36" borderId="9" xfId="0" applyFont="1" applyFill="1" applyBorder="1"/>
    <xf numFmtId="165" fontId="1" fillId="36" borderId="8" xfId="0" applyNumberFormat="1" applyFont="1" applyFill="1" applyBorder="1"/>
    <xf numFmtId="166" fontId="2" fillId="35" borderId="20" xfId="0" applyNumberFormat="1" applyFont="1" applyFill="1" applyBorder="1"/>
    <xf numFmtId="166" fontId="26" fillId="34" borderId="1" xfId="0" applyNumberFormat="1" applyFont="1" applyFill="1" applyBorder="1"/>
    <xf numFmtId="164" fontId="26" fillId="34" borderId="1" xfId="0" applyNumberFormat="1" applyFont="1" applyFill="1" applyBorder="1"/>
    <xf numFmtId="0" fontId="26" fillId="34" borderId="1" xfId="0" applyFont="1" applyFill="1" applyBorder="1"/>
    <xf numFmtId="165" fontId="26" fillId="34" borderId="1" xfId="0" applyNumberFormat="1" applyFont="1" applyFill="1" applyBorder="1"/>
    <xf numFmtId="165" fontId="1" fillId="34" borderId="7" xfId="0" applyNumberFormat="1" applyFont="1" applyFill="1" applyBorder="1"/>
    <xf numFmtId="165" fontId="9" fillId="2" borderId="9" xfId="0" applyNumberFormat="1" applyFont="1" applyFill="1" applyBorder="1"/>
    <xf numFmtId="165" fontId="6" fillId="2" borderId="1" xfId="0" applyNumberFormat="1" applyFont="1" applyFill="1" applyBorder="1"/>
    <xf numFmtId="166" fontId="2" fillId="33" borderId="21" xfId="0" applyNumberFormat="1" applyFont="1" applyFill="1" applyBorder="1"/>
    <xf numFmtId="164" fontId="7" fillId="24" borderId="20" xfId="0" applyNumberFormat="1" applyFont="1" applyFill="1" applyBorder="1" applyAlignment="1">
      <alignment horizontal="right"/>
    </xf>
    <xf numFmtId="164" fontId="7" fillId="24" borderId="21" xfId="0" applyNumberFormat="1" applyFont="1" applyFill="1" applyBorder="1" applyAlignment="1">
      <alignment horizontal="right"/>
    </xf>
    <xf numFmtId="166" fontId="2" fillId="41" borderId="10" xfId="0" applyNumberFormat="1" applyFont="1" applyFill="1" applyBorder="1"/>
    <xf numFmtId="166" fontId="2" fillId="41" borderId="21" xfId="0" applyNumberFormat="1" applyFont="1" applyFill="1" applyBorder="1"/>
    <xf numFmtId="166" fontId="5" fillId="41" borderId="10" xfId="0" applyNumberFormat="1" applyFont="1" applyFill="1" applyBorder="1" applyAlignment="1">
      <alignment horizontal="right"/>
    </xf>
    <xf numFmtId="164" fontId="5" fillId="41" borderId="21" xfId="0" applyNumberFormat="1" applyFont="1" applyFill="1" applyBorder="1" applyAlignment="1">
      <alignment horizontal="right"/>
    </xf>
    <xf numFmtId="164" fontId="2" fillId="41" borderId="10" xfId="0" applyNumberFormat="1" applyFont="1" applyFill="1" applyBorder="1"/>
    <xf numFmtId="165" fontId="5" fillId="41" borderId="10" xfId="0" applyNumberFormat="1" applyFont="1" applyFill="1" applyBorder="1" applyAlignment="1">
      <alignment horizontal="center"/>
    </xf>
    <xf numFmtId="165" fontId="2" fillId="41" borderId="10" xfId="0" applyNumberFormat="1" applyFont="1" applyFill="1" applyBorder="1"/>
    <xf numFmtId="165" fontId="2" fillId="41" borderId="9" xfId="0" applyNumberFormat="1" applyFont="1" applyFill="1" applyBorder="1"/>
    <xf numFmtId="165" fontId="7" fillId="41" borderId="9" xfId="0" applyNumberFormat="1" applyFont="1" applyFill="1" applyBorder="1"/>
    <xf numFmtId="165" fontId="2" fillId="41" borderId="8" xfId="0" applyNumberFormat="1" applyFont="1" applyFill="1" applyBorder="1"/>
    <xf numFmtId="165" fontId="5" fillId="41" borderId="9" xfId="0" applyNumberFormat="1" applyFont="1" applyFill="1" applyBorder="1"/>
    <xf numFmtId="164" fontId="7" fillId="2" borderId="21" xfId="0" applyNumberFormat="1" applyFont="1" applyFill="1" applyBorder="1" applyAlignment="1">
      <alignment horizontal="right"/>
    </xf>
    <xf numFmtId="164" fontId="5" fillId="41" borderId="10" xfId="0" applyNumberFormat="1" applyFont="1" applyFill="1" applyBorder="1" applyAlignment="1">
      <alignment horizontal="right"/>
    </xf>
    <xf numFmtId="164" fontId="5" fillId="40" borderId="21" xfId="0" applyNumberFormat="1" applyFont="1" applyFill="1" applyBorder="1" applyAlignment="1">
      <alignment horizontal="right"/>
    </xf>
    <xf numFmtId="165" fontId="29" fillId="40" borderId="9" xfId="0" applyNumberFormat="1" applyFont="1" applyFill="1" applyBorder="1"/>
    <xf numFmtId="165" fontId="2" fillId="40" borderId="8" xfId="0" applyNumberFormat="1" applyFont="1" applyFill="1" applyBorder="1"/>
    <xf numFmtId="164" fontId="5" fillId="2" borderId="21" xfId="0" applyNumberFormat="1" applyFont="1" applyFill="1" applyBorder="1" applyAlignment="1">
      <alignment horizontal="right"/>
    </xf>
    <xf numFmtId="165" fontId="5" fillId="40" borderId="10" xfId="0" applyNumberFormat="1" applyFont="1" applyFill="1" applyBorder="1" applyAlignment="1">
      <alignment horizontal="center" wrapText="1"/>
    </xf>
    <xf numFmtId="168" fontId="7" fillId="24" borderId="21" xfId="0" applyNumberFormat="1" applyFont="1" applyFill="1" applyBorder="1" applyAlignment="1">
      <alignment horizontal="right"/>
    </xf>
    <xf numFmtId="164" fontId="5" fillId="40" borderId="24" xfId="0" applyNumberFormat="1" applyFont="1" applyFill="1" applyBorder="1" applyAlignment="1">
      <alignment horizontal="right"/>
    </xf>
    <xf numFmtId="165" fontId="6" fillId="2" borderId="9" xfId="0" quotePrefix="1" applyNumberFormat="1" applyFont="1" applyFill="1" applyBorder="1"/>
    <xf numFmtId="165" fontId="6" fillId="2" borderId="9" xfId="0" applyNumberFormat="1" applyFont="1" applyFill="1" applyBorder="1"/>
    <xf numFmtId="165" fontId="6" fillId="2" borderId="0" xfId="0" applyNumberFormat="1" applyFont="1" applyFill="1"/>
    <xf numFmtId="166" fontId="5" fillId="33" borderId="19" xfId="0" applyNumberFormat="1" applyFont="1" applyFill="1" applyBorder="1" applyAlignment="1">
      <alignment horizontal="right"/>
    </xf>
    <xf numFmtId="164" fontId="5" fillId="33" borderId="19" xfId="0" applyNumberFormat="1" applyFont="1" applyFill="1" applyBorder="1" applyAlignment="1">
      <alignment horizontal="right"/>
    </xf>
    <xf numFmtId="165" fontId="5" fillId="33" borderId="19" xfId="0" applyNumberFormat="1" applyFont="1" applyFill="1" applyBorder="1" applyAlignment="1">
      <alignment horizontal="center" wrapText="1"/>
    </xf>
    <xf numFmtId="0" fontId="2" fillId="33" borderId="19" xfId="0" applyFont="1" applyFill="1" applyBorder="1"/>
    <xf numFmtId="0" fontId="2" fillId="33" borderId="18" xfId="0" applyFont="1" applyFill="1" applyBorder="1"/>
    <xf numFmtId="165" fontId="2" fillId="33" borderId="18" xfId="0" applyNumberFormat="1" applyFont="1" applyFill="1" applyBorder="1"/>
    <xf numFmtId="167" fontId="2" fillId="33" borderId="18" xfId="0" applyNumberFormat="1" applyFont="1" applyFill="1" applyBorder="1"/>
    <xf numFmtId="165" fontId="5" fillId="33" borderId="18" xfId="0" applyNumberFormat="1" applyFont="1" applyFill="1" applyBorder="1"/>
    <xf numFmtId="167" fontId="2" fillId="33" borderId="17" xfId="0" applyNumberFormat="1" applyFont="1" applyFill="1" applyBorder="1"/>
    <xf numFmtId="170" fontId="7" fillId="2" borderId="10" xfId="0" applyNumberFormat="1" applyFont="1" applyFill="1" applyBorder="1" applyAlignment="1">
      <alignment horizontal="right"/>
    </xf>
    <xf numFmtId="166" fontId="2" fillId="26" borderId="21" xfId="0" applyNumberFormat="1" applyFont="1" applyFill="1" applyBorder="1"/>
    <xf numFmtId="0" fontId="6" fillId="26" borderId="9" xfId="0" applyFont="1" applyFill="1" applyBorder="1"/>
    <xf numFmtId="166" fontId="5" fillId="26" borderId="13" xfId="0" applyNumberFormat="1" applyFont="1" applyFill="1" applyBorder="1" applyAlignment="1">
      <alignment horizontal="right"/>
    </xf>
    <xf numFmtId="164" fontId="5" fillId="26" borderId="13" xfId="0" applyNumberFormat="1" applyFont="1" applyFill="1" applyBorder="1" applyAlignment="1">
      <alignment horizontal="right"/>
    </xf>
    <xf numFmtId="0" fontId="5" fillId="26" borderId="13" xfId="0" applyFont="1" applyFill="1" applyBorder="1" applyAlignment="1">
      <alignment horizontal="center" wrapText="1"/>
    </xf>
    <xf numFmtId="0" fontId="2" fillId="26" borderId="13" xfId="0" applyFont="1" applyFill="1" applyBorder="1"/>
    <xf numFmtId="0" fontId="2" fillId="26" borderId="12" xfId="0" applyFont="1" applyFill="1" applyBorder="1"/>
    <xf numFmtId="165" fontId="6" fillId="26" borderId="12" xfId="0" applyNumberFormat="1" applyFont="1" applyFill="1" applyBorder="1"/>
    <xf numFmtId="165" fontId="2" fillId="26" borderId="12" xfId="0" applyNumberFormat="1" applyFont="1" applyFill="1" applyBorder="1"/>
    <xf numFmtId="165" fontId="2" fillId="26" borderId="11" xfId="0" applyNumberFormat="1" applyFont="1" applyFill="1" applyBorder="1"/>
    <xf numFmtId="166" fontId="5" fillId="33" borderId="13" xfId="0" applyNumberFormat="1" applyFont="1" applyFill="1" applyBorder="1" applyAlignment="1">
      <alignment horizontal="right"/>
    </xf>
    <xf numFmtId="164" fontId="5" fillId="33" borderId="13" xfId="0" applyNumberFormat="1" applyFont="1" applyFill="1" applyBorder="1" applyAlignment="1">
      <alignment horizontal="right"/>
    </xf>
    <xf numFmtId="164" fontId="5" fillId="33" borderId="24" xfId="0" applyNumberFormat="1" applyFont="1" applyFill="1" applyBorder="1" applyAlignment="1">
      <alignment horizontal="right"/>
    </xf>
    <xf numFmtId="166" fontId="2" fillId="32" borderId="21" xfId="0" applyNumberFormat="1" applyFont="1" applyFill="1" applyBorder="1"/>
    <xf numFmtId="166" fontId="2" fillId="10" borderId="21" xfId="0" applyNumberFormat="1" applyFont="1" applyFill="1" applyBorder="1"/>
    <xf numFmtId="166" fontId="8" fillId="10" borderId="10" xfId="0" applyNumberFormat="1" applyFont="1" applyFill="1" applyBorder="1" applyAlignment="1">
      <alignment horizontal="right"/>
    </xf>
    <xf numFmtId="164" fontId="8" fillId="10" borderId="10" xfId="0" applyNumberFormat="1" applyFont="1" applyFill="1" applyBorder="1" applyAlignment="1">
      <alignment horizontal="right"/>
    </xf>
    <xf numFmtId="0" fontId="8" fillId="10" borderId="10" xfId="0" applyFont="1" applyFill="1" applyBorder="1" applyAlignment="1">
      <alignment horizontal="center"/>
    </xf>
    <xf numFmtId="0" fontId="8" fillId="10" borderId="9" xfId="0" applyFont="1" applyFill="1" applyBorder="1"/>
    <xf numFmtId="166" fontId="7" fillId="10" borderId="10" xfId="0" applyNumberFormat="1" applyFont="1" applyFill="1" applyBorder="1" applyAlignment="1">
      <alignment horizontal="right"/>
    </xf>
    <xf numFmtId="164" fontId="7" fillId="10" borderId="10" xfId="0" applyNumberFormat="1" applyFont="1" applyFill="1" applyBorder="1" applyAlignment="1">
      <alignment horizontal="right"/>
    </xf>
    <xf numFmtId="0" fontId="7" fillId="10" borderId="10" xfId="0" applyFont="1" applyFill="1" applyBorder="1" applyAlignment="1">
      <alignment horizontal="center"/>
    </xf>
    <xf numFmtId="0" fontId="7" fillId="10" borderId="9" xfId="0" applyFont="1" applyFill="1" applyBorder="1"/>
    <xf numFmtId="166" fontId="2" fillId="10" borderId="20" xfId="0" applyNumberFormat="1" applyFont="1" applyFill="1" applyBorder="1"/>
    <xf numFmtId="166" fontId="2" fillId="30" borderId="21" xfId="0" applyNumberFormat="1" applyFont="1" applyFill="1" applyBorder="1"/>
    <xf numFmtId="166" fontId="2" fillId="29" borderId="21" xfId="0" applyNumberFormat="1" applyFont="1" applyFill="1" applyBorder="1"/>
    <xf numFmtId="166" fontId="2" fillId="0" borderId="20" xfId="0" applyNumberFormat="1" applyFont="1" applyBorder="1"/>
    <xf numFmtId="166" fontId="8" fillId="0" borderId="2" xfId="0" applyNumberFormat="1" applyFont="1" applyBorder="1" applyAlignment="1">
      <alignment horizontal="right"/>
    </xf>
    <xf numFmtId="0" fontId="8" fillId="2" borderId="2" xfId="0" applyFont="1" applyFill="1" applyBorder="1" applyAlignment="1">
      <alignment horizontal="center"/>
    </xf>
    <xf numFmtId="0" fontId="8" fillId="0" borderId="1" xfId="0" quotePrefix="1" applyFont="1" applyBorder="1"/>
    <xf numFmtId="165" fontId="7" fillId="2" borderId="13" xfId="0" applyNumberFormat="1" applyFont="1" applyFill="1" applyBorder="1" applyAlignment="1">
      <alignment horizontal="center"/>
    </xf>
    <xf numFmtId="0" fontId="7" fillId="2" borderId="12" xfId="0" quotePrefix="1" applyFont="1" applyFill="1" applyBorder="1"/>
    <xf numFmtId="46" fontId="2" fillId="2" borderId="11" xfId="0" applyNumberFormat="1" applyFont="1" applyFill="1" applyBorder="1"/>
    <xf numFmtId="166" fontId="26" fillId="0" borderId="21" xfId="0" applyNumberFormat="1" applyFont="1" applyBorder="1"/>
    <xf numFmtId="166" fontId="23" fillId="2" borderId="21" xfId="0" applyNumberFormat="1" applyFont="1" applyFill="1" applyBorder="1" applyAlignment="1">
      <alignment horizontal="right"/>
    </xf>
    <xf numFmtId="166" fontId="1" fillId="2" borderId="21" xfId="0" applyNumberFormat="1" applyFont="1" applyFill="1" applyBorder="1" applyAlignment="1">
      <alignment horizontal="right"/>
    </xf>
    <xf numFmtId="166" fontId="26" fillId="23" borderId="10" xfId="0" applyNumberFormat="1" applyFont="1" applyFill="1" applyBorder="1"/>
    <xf numFmtId="166" fontId="26" fillId="23" borderId="21" xfId="0" applyNumberFormat="1" applyFont="1" applyFill="1" applyBorder="1"/>
    <xf numFmtId="166" fontId="1" fillId="23" borderId="10" xfId="0" applyNumberFormat="1" applyFont="1" applyFill="1" applyBorder="1" applyAlignment="1">
      <alignment horizontal="right"/>
    </xf>
    <xf numFmtId="164" fontId="1" fillId="23" borderId="10" xfId="0" applyNumberFormat="1" applyFont="1" applyFill="1" applyBorder="1"/>
    <xf numFmtId="0" fontId="1" fillId="23" borderId="10" xfId="0" applyFont="1" applyFill="1" applyBorder="1" applyAlignment="1">
      <alignment horizontal="center" wrapText="1"/>
    </xf>
    <xf numFmtId="165" fontId="26" fillId="23" borderId="9" xfId="0" applyNumberFormat="1" applyFont="1" applyFill="1" applyBorder="1"/>
    <xf numFmtId="0" fontId="1" fillId="23" borderId="9" xfId="0" applyFont="1" applyFill="1" applyBorder="1"/>
    <xf numFmtId="165" fontId="26" fillId="23" borderId="8" xfId="0" applyNumberFormat="1" applyFont="1" applyFill="1" applyBorder="1"/>
    <xf numFmtId="166" fontId="26" fillId="25" borderId="10" xfId="0" applyNumberFormat="1" applyFont="1" applyFill="1" applyBorder="1"/>
    <xf numFmtId="166" fontId="26" fillId="25" borderId="21" xfId="0" applyNumberFormat="1" applyFont="1" applyFill="1" applyBorder="1"/>
    <xf numFmtId="164" fontId="26" fillId="25" borderId="10" xfId="0" applyNumberFormat="1" applyFont="1" applyFill="1" applyBorder="1"/>
    <xf numFmtId="0" fontId="26" fillId="25" borderId="10" xfId="0" applyFont="1" applyFill="1" applyBorder="1"/>
    <xf numFmtId="0" fontId="26" fillId="25" borderId="9" xfId="0" applyFont="1" applyFill="1" applyBorder="1"/>
    <xf numFmtId="165" fontId="26" fillId="25" borderId="9" xfId="0" applyNumberFormat="1" applyFont="1" applyFill="1" applyBorder="1"/>
    <xf numFmtId="165" fontId="1" fillId="25" borderId="8" xfId="0" applyNumberFormat="1" applyFont="1" applyFill="1" applyBorder="1"/>
    <xf numFmtId="164" fontId="8" fillId="24" borderId="10" xfId="0" applyNumberFormat="1" applyFont="1" applyFill="1" applyBorder="1" applyAlignment="1">
      <alignment horizontal="right"/>
    </xf>
    <xf numFmtId="0" fontId="8" fillId="0" borderId="10" xfId="0" applyFont="1" applyBorder="1" applyAlignment="1">
      <alignment horizontal="center"/>
    </xf>
    <xf numFmtId="0" fontId="8" fillId="0" borderId="9" xfId="0" quotePrefix="1" applyFont="1" applyBorder="1"/>
    <xf numFmtId="165" fontId="8" fillId="0" borderId="9" xfId="0" quotePrefix="1" applyNumberFormat="1" applyFont="1" applyBorder="1"/>
    <xf numFmtId="165" fontId="16" fillId="2" borderId="9" xfId="0" applyNumberFormat="1" applyFont="1" applyFill="1" applyBorder="1"/>
    <xf numFmtId="166" fontId="7" fillId="24" borderId="10" xfId="0" applyNumberFormat="1" applyFont="1" applyFill="1" applyBorder="1" applyAlignment="1">
      <alignment horizontal="right"/>
    </xf>
    <xf numFmtId="0" fontId="18" fillId="2" borderId="9" xfId="0" quotePrefix="1" applyFont="1" applyFill="1" applyBorder="1"/>
    <xf numFmtId="0" fontId="16" fillId="2" borderId="9" xfId="0" applyFont="1" applyFill="1" applyBorder="1"/>
    <xf numFmtId="166" fontId="16" fillId="26" borderId="10" xfId="0" applyNumberFormat="1" applyFont="1" applyFill="1" applyBorder="1" applyAlignment="1">
      <alignment horizontal="right"/>
    </xf>
    <xf numFmtId="164" fontId="16" fillId="26" borderId="10" xfId="0" applyNumberFormat="1" applyFont="1" applyFill="1" applyBorder="1" applyAlignment="1">
      <alignment horizontal="right"/>
    </xf>
    <xf numFmtId="0" fontId="16" fillId="26" borderId="10" xfId="0" applyFont="1" applyFill="1" applyBorder="1" applyAlignment="1">
      <alignment horizontal="center" wrapText="1"/>
    </xf>
    <xf numFmtId="0" fontId="16" fillId="26" borderId="9" xfId="0" applyFont="1" applyFill="1" applyBorder="1"/>
    <xf numFmtId="0" fontId="44" fillId="0" borderId="10" xfId="0" applyFont="1" applyBorder="1"/>
    <xf numFmtId="0" fontId="44" fillId="0" borderId="9" xfId="0" applyFont="1" applyBorder="1"/>
    <xf numFmtId="165" fontId="44" fillId="0" borderId="9" xfId="0" applyNumberFormat="1" applyFont="1" applyBorder="1"/>
    <xf numFmtId="165" fontId="44" fillId="0" borderId="8" xfId="0" applyNumberFormat="1" applyFont="1" applyBorder="1"/>
    <xf numFmtId="0" fontId="44" fillId="23" borderId="10" xfId="0" applyFont="1" applyFill="1" applyBorder="1"/>
    <xf numFmtId="0" fontId="44" fillId="23" borderId="9" xfId="0" applyFont="1" applyFill="1" applyBorder="1"/>
    <xf numFmtId="165" fontId="44" fillId="2" borderId="9" xfId="0" applyNumberFormat="1" applyFont="1" applyFill="1" applyBorder="1"/>
    <xf numFmtId="165" fontId="44" fillId="2" borderId="8" xfId="0" applyNumberFormat="1" applyFont="1" applyFill="1" applyBorder="1"/>
    <xf numFmtId="166" fontId="7" fillId="2" borderId="24" xfId="0" applyNumberFormat="1" applyFont="1" applyFill="1" applyBorder="1" applyAlignment="1">
      <alignment horizontal="right"/>
    </xf>
    <xf numFmtId="166" fontId="32" fillId="2" borderId="10" xfId="0" applyNumberFormat="1" applyFont="1" applyFill="1" applyBorder="1"/>
    <xf numFmtId="166" fontId="16" fillId="2" borderId="10" xfId="0" applyNumberFormat="1" applyFont="1" applyFill="1" applyBorder="1" applyAlignment="1">
      <alignment horizontal="right"/>
    </xf>
    <xf numFmtId="166" fontId="16" fillId="2" borderId="21" xfId="0" applyNumberFormat="1" applyFont="1" applyFill="1" applyBorder="1" applyAlignment="1">
      <alignment horizontal="right"/>
    </xf>
    <xf numFmtId="0" fontId="44" fillId="26" borderId="10" xfId="0" applyFont="1" applyFill="1" applyBorder="1"/>
    <xf numFmtId="0" fontId="44" fillId="26" borderId="9" xfId="0" applyFont="1" applyFill="1" applyBorder="1"/>
    <xf numFmtId="165" fontId="44" fillId="26" borderId="9" xfId="0" applyNumberFormat="1" applyFont="1" applyFill="1" applyBorder="1"/>
    <xf numFmtId="165" fontId="44" fillId="26" borderId="8" xfId="0" applyNumberFormat="1" applyFont="1" applyFill="1" applyBorder="1"/>
    <xf numFmtId="0" fontId="6" fillId="2" borderId="9" xfId="0" quotePrefix="1" applyFont="1" applyFill="1" applyBorder="1"/>
    <xf numFmtId="166" fontId="5" fillId="2" borderId="13" xfId="0" applyNumberFormat="1" applyFont="1" applyFill="1" applyBorder="1" applyAlignment="1">
      <alignment horizontal="right"/>
    </xf>
    <xf numFmtId="166" fontId="5" fillId="2" borderId="24" xfId="0" applyNumberFormat="1" applyFont="1" applyFill="1" applyBorder="1" applyAlignment="1">
      <alignment horizontal="right"/>
    </xf>
    <xf numFmtId="166" fontId="5" fillId="24" borderId="10" xfId="0" applyNumberFormat="1" applyFont="1" applyFill="1" applyBorder="1" applyAlignment="1">
      <alignment horizontal="right"/>
    </xf>
    <xf numFmtId="166" fontId="2" fillId="23" borderId="21" xfId="0" applyNumberFormat="1" applyFont="1" applyFill="1" applyBorder="1"/>
    <xf numFmtId="0" fontId="8" fillId="2" borderId="10" xfId="0" applyFont="1" applyFill="1" applyBorder="1" applyAlignment="1">
      <alignment horizontal="center" wrapText="1"/>
    </xf>
    <xf numFmtId="166" fontId="2" fillId="25" borderId="21" xfId="0" applyNumberFormat="1" applyFont="1" applyFill="1" applyBorder="1"/>
    <xf numFmtId="166" fontId="8" fillId="2" borderId="2" xfId="0" applyNumberFormat="1" applyFont="1" applyFill="1" applyBorder="1" applyAlignment="1">
      <alignment horizontal="right"/>
    </xf>
    <xf numFmtId="164" fontId="8" fillId="24" borderId="2" xfId="0" applyNumberFormat="1" applyFont="1" applyFill="1" applyBorder="1" applyAlignment="1">
      <alignment horizontal="right"/>
    </xf>
    <xf numFmtId="165" fontId="8" fillId="0" borderId="2" xfId="0" applyNumberFormat="1" applyFont="1" applyBorder="1" applyAlignment="1">
      <alignment horizontal="center"/>
    </xf>
    <xf numFmtId="166" fontId="2" fillId="22" borderId="12" xfId="0" applyNumberFormat="1" applyFont="1" applyFill="1" applyBorder="1"/>
    <xf numFmtId="164" fontId="2" fillId="22" borderId="12" xfId="0" applyNumberFormat="1" applyFont="1" applyFill="1" applyBorder="1"/>
    <xf numFmtId="165" fontId="2" fillId="22" borderId="12" xfId="0" applyNumberFormat="1" applyFont="1" applyFill="1" applyBorder="1"/>
    <xf numFmtId="0" fontId="2" fillId="22" borderId="12" xfId="0" applyFont="1" applyFill="1" applyBorder="1"/>
    <xf numFmtId="167" fontId="2" fillId="22" borderId="12" xfId="0" applyNumberFormat="1" applyFont="1" applyFill="1" applyBorder="1"/>
    <xf numFmtId="165" fontId="5" fillId="22" borderId="11" xfId="0" applyNumberFormat="1" applyFont="1" applyFill="1" applyBorder="1"/>
    <xf numFmtId="166" fontId="2" fillId="22" borderId="21" xfId="0" applyNumberFormat="1" applyFont="1" applyFill="1" applyBorder="1"/>
    <xf numFmtId="166" fontId="7" fillId="2" borderId="20" xfId="0" applyNumberFormat="1" applyFont="1" applyFill="1" applyBorder="1" applyAlignment="1">
      <alignment horizontal="right"/>
    </xf>
    <xf numFmtId="0" fontId="8" fillId="2" borderId="10" xfId="0" applyFont="1" applyFill="1" applyBorder="1" applyAlignment="1">
      <alignment horizontal="center"/>
    </xf>
    <xf numFmtId="166" fontId="7" fillId="20" borderId="21" xfId="0" applyNumberFormat="1" applyFont="1" applyFill="1" applyBorder="1" applyAlignment="1">
      <alignment horizontal="right"/>
    </xf>
    <xf numFmtId="166" fontId="8" fillId="20" borderId="21" xfId="0" applyNumberFormat="1" applyFont="1" applyFill="1" applyBorder="1" applyAlignment="1">
      <alignment horizontal="right"/>
    </xf>
    <xf numFmtId="0" fontId="8" fillId="20" borderId="10" xfId="0" applyFont="1" applyFill="1" applyBorder="1" applyAlignment="1">
      <alignment horizontal="center"/>
    </xf>
    <xf numFmtId="0" fontId="8" fillId="20" borderId="9" xfId="0" applyFont="1" applyFill="1" applyBorder="1"/>
    <xf numFmtId="166" fontId="5" fillId="20" borderId="21" xfId="0" applyNumberFormat="1" applyFont="1" applyFill="1" applyBorder="1" applyAlignment="1">
      <alignment horizontal="right"/>
    </xf>
    <xf numFmtId="0" fontId="6" fillId="20" borderId="9" xfId="0" applyFont="1" applyFill="1" applyBorder="1"/>
    <xf numFmtId="166" fontId="2" fillId="19" borderId="21" xfId="0" applyNumberFormat="1" applyFont="1" applyFill="1" applyBorder="1"/>
    <xf numFmtId="166" fontId="2" fillId="18" borderId="21" xfId="0" applyNumberFormat="1" applyFont="1" applyFill="1" applyBorder="1"/>
    <xf numFmtId="166" fontId="7" fillId="16" borderId="21" xfId="0" applyNumberFormat="1" applyFont="1" applyFill="1" applyBorder="1" applyAlignment="1">
      <alignment horizontal="right"/>
    </xf>
    <xf numFmtId="166" fontId="8" fillId="16" borderId="21" xfId="0" applyNumberFormat="1" applyFont="1" applyFill="1" applyBorder="1" applyAlignment="1">
      <alignment horizontal="right"/>
    </xf>
    <xf numFmtId="0" fontId="8" fillId="16" borderId="10" xfId="0" applyFont="1" applyFill="1" applyBorder="1" applyAlignment="1">
      <alignment horizontal="center"/>
    </xf>
    <xf numFmtId="0" fontId="8" fillId="16" borderId="9" xfId="0" applyFont="1" applyFill="1" applyBorder="1"/>
    <xf numFmtId="166" fontId="5" fillId="16" borderId="21" xfId="0" applyNumberFormat="1" applyFont="1" applyFill="1" applyBorder="1" applyAlignment="1">
      <alignment horizontal="right"/>
    </xf>
    <xf numFmtId="0" fontId="6" fillId="16" borderId="9" xfId="0" applyFont="1" applyFill="1" applyBorder="1"/>
    <xf numFmtId="166" fontId="2" fillId="15" borderId="21" xfId="0" applyNumberFormat="1" applyFont="1" applyFill="1" applyBorder="1"/>
    <xf numFmtId="166" fontId="5" fillId="13" borderId="2" xfId="0" applyNumberFormat="1" applyFont="1" applyFill="1" applyBorder="1" applyAlignment="1">
      <alignment horizontal="right"/>
    </xf>
    <xf numFmtId="166" fontId="5" fillId="13" borderId="20" xfId="0" applyNumberFormat="1" applyFont="1" applyFill="1" applyBorder="1" applyAlignment="1">
      <alignment horizontal="right"/>
    </xf>
    <xf numFmtId="0" fontId="46" fillId="0" borderId="1" xfId="0" applyFont="1" applyBorder="1"/>
    <xf numFmtId="166" fontId="7" fillId="12" borderId="21" xfId="0" applyNumberFormat="1" applyFont="1" applyFill="1" applyBorder="1" applyAlignment="1">
      <alignment horizontal="right"/>
    </xf>
    <xf numFmtId="166" fontId="8" fillId="12" borderId="21" xfId="0" applyNumberFormat="1" applyFont="1" applyFill="1" applyBorder="1" applyAlignment="1">
      <alignment horizontal="right"/>
    </xf>
    <xf numFmtId="0" fontId="8" fillId="12" borderId="10" xfId="0" applyFont="1" applyFill="1" applyBorder="1" applyAlignment="1">
      <alignment horizontal="center"/>
    </xf>
    <xf numFmtId="0" fontId="8" fillId="12" borderId="9" xfId="0" applyFont="1" applyFill="1" applyBorder="1"/>
    <xf numFmtId="166" fontId="5" fillId="12" borderId="21" xfId="0" applyNumberFormat="1" applyFont="1" applyFill="1" applyBorder="1" applyAlignment="1">
      <alignment horizontal="right"/>
    </xf>
    <xf numFmtId="166" fontId="2" fillId="11" borderId="20" xfId="0" applyNumberFormat="1" applyFont="1" applyFill="1" applyBorder="1"/>
    <xf numFmtId="166" fontId="5" fillId="7" borderId="20" xfId="0" applyNumberFormat="1" applyFont="1" applyFill="1" applyBorder="1" applyAlignment="1">
      <alignment horizontal="center" wrapText="1"/>
    </xf>
    <xf numFmtId="0" fontId="3" fillId="5" borderId="2" xfId="0" applyFont="1" applyFill="1" applyBorder="1" applyAlignment="1">
      <alignment horizontal="center" vertical="top"/>
    </xf>
    <xf numFmtId="166" fontId="5" fillId="7" borderId="7" xfId="0" applyNumberFormat="1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vertical="top"/>
    </xf>
    <xf numFmtId="0" fontId="3" fillId="5" borderId="5" xfId="0" applyFont="1" applyFill="1" applyBorder="1" applyAlignment="1">
      <alignment horizontal="center" vertical="top"/>
    </xf>
    <xf numFmtId="165" fontId="3" fillId="4" borderId="1" xfId="0" applyNumberFormat="1" applyFont="1" applyFill="1" applyBorder="1" applyAlignment="1">
      <alignment horizontal="center"/>
    </xf>
    <xf numFmtId="165" fontId="3" fillId="3" borderId="7" xfId="0" applyNumberFormat="1" applyFont="1" applyFill="1" applyBorder="1" applyAlignment="1">
      <alignment horizontal="center"/>
    </xf>
    <xf numFmtId="166" fontId="2" fillId="2" borderId="1" xfId="0" applyNumberFormat="1" applyFont="1" applyFill="1" applyBorder="1"/>
    <xf numFmtId="0" fontId="5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0" fontId="8" fillId="0" borderId="1" xfId="0" applyFont="1" applyBorder="1"/>
    <xf numFmtId="0" fontId="47" fillId="2" borderId="9" xfId="0" applyFont="1" applyFill="1" applyBorder="1"/>
    <xf numFmtId="165" fontId="16" fillId="2" borderId="10" xfId="0" applyNumberFormat="1" applyFont="1" applyFill="1" applyBorder="1" applyAlignment="1">
      <alignment horizontal="center"/>
    </xf>
    <xf numFmtId="166" fontId="16" fillId="37" borderId="10" xfId="0" applyNumberFormat="1" applyFont="1" applyFill="1" applyBorder="1" applyAlignment="1">
      <alignment horizontal="right"/>
    </xf>
    <xf numFmtId="164" fontId="16" fillId="37" borderId="10" xfId="0" applyNumberFormat="1" applyFont="1" applyFill="1" applyBorder="1" applyAlignment="1">
      <alignment horizontal="right"/>
    </xf>
    <xf numFmtId="0" fontId="16" fillId="37" borderId="10" xfId="0" applyFont="1" applyFill="1" applyBorder="1" applyAlignment="1">
      <alignment horizontal="center" wrapText="1"/>
    </xf>
    <xf numFmtId="0" fontId="16" fillId="37" borderId="9" xfId="0" applyFont="1" applyFill="1" applyBorder="1"/>
    <xf numFmtId="165" fontId="16" fillId="36" borderId="8" xfId="0" applyNumberFormat="1" applyFont="1" applyFill="1" applyBorder="1"/>
    <xf numFmtId="166" fontId="26" fillId="35" borderId="2" xfId="0" applyNumberFormat="1" applyFont="1" applyFill="1" applyBorder="1"/>
    <xf numFmtId="166" fontId="26" fillId="35" borderId="20" xfId="0" applyNumberFormat="1" applyFont="1" applyFill="1" applyBorder="1"/>
    <xf numFmtId="165" fontId="16" fillId="34" borderId="7" xfId="0" applyNumberFormat="1" applyFont="1" applyFill="1" applyBorder="1"/>
    <xf numFmtId="0" fontId="44" fillId="0" borderId="2" xfId="0" applyFont="1" applyBorder="1"/>
    <xf numFmtId="0" fontId="44" fillId="0" borderId="1" xfId="0" applyFont="1" applyBorder="1"/>
    <xf numFmtId="165" fontId="44" fillId="0" borderId="1" xfId="0" applyNumberFormat="1" applyFont="1" applyBorder="1"/>
    <xf numFmtId="165" fontId="44" fillId="0" borderId="7" xfId="0" applyNumberFormat="1" applyFont="1" applyBorder="1"/>
    <xf numFmtId="166" fontId="26" fillId="2" borderId="22" xfId="0" applyNumberFormat="1" applyFont="1" applyFill="1" applyBorder="1"/>
    <xf numFmtId="166" fontId="26" fillId="12" borderId="21" xfId="0" applyNumberFormat="1" applyFont="1" applyFill="1" applyBorder="1"/>
    <xf numFmtId="166" fontId="26" fillId="27" borderId="2" xfId="0" applyNumberFormat="1" applyFont="1" applyFill="1" applyBorder="1"/>
    <xf numFmtId="166" fontId="26" fillId="27" borderId="20" xfId="0" applyNumberFormat="1" applyFont="1" applyFill="1" applyBorder="1"/>
    <xf numFmtId="164" fontId="26" fillId="27" borderId="2" xfId="0" applyNumberFormat="1" applyFont="1" applyFill="1" applyBorder="1"/>
    <xf numFmtId="165" fontId="26" fillId="27" borderId="2" xfId="0" applyNumberFormat="1" applyFont="1" applyFill="1" applyBorder="1"/>
    <xf numFmtId="0" fontId="26" fillId="27" borderId="2" xfId="0" applyFont="1" applyFill="1" applyBorder="1"/>
    <xf numFmtId="0" fontId="26" fillId="27" borderId="1" xfId="0" applyFont="1" applyFill="1" applyBorder="1"/>
    <xf numFmtId="165" fontId="26" fillId="27" borderId="1" xfId="0" applyNumberFormat="1" applyFont="1" applyFill="1" applyBorder="1"/>
    <xf numFmtId="165" fontId="26" fillId="27" borderId="7" xfId="0" applyNumberFormat="1" applyFont="1" applyFill="1" applyBorder="1"/>
    <xf numFmtId="166" fontId="26" fillId="27" borderId="10" xfId="0" applyNumberFormat="1" applyFont="1" applyFill="1" applyBorder="1"/>
    <xf numFmtId="166" fontId="26" fillId="27" borderId="21" xfId="0" applyNumberFormat="1" applyFont="1" applyFill="1" applyBorder="1"/>
    <xf numFmtId="164" fontId="26" fillId="27" borderId="10" xfId="0" applyNumberFormat="1" applyFont="1" applyFill="1" applyBorder="1"/>
    <xf numFmtId="165" fontId="26" fillId="27" borderId="10" xfId="0" applyNumberFormat="1" applyFont="1" applyFill="1" applyBorder="1"/>
    <xf numFmtId="0" fontId="26" fillId="27" borderId="10" xfId="0" applyFont="1" applyFill="1" applyBorder="1"/>
    <xf numFmtId="0" fontId="26" fillId="27" borderId="9" xfId="0" applyFont="1" applyFill="1" applyBorder="1"/>
    <xf numFmtId="165" fontId="26" fillId="27" borderId="9" xfId="0" applyNumberFormat="1" applyFont="1" applyFill="1" applyBorder="1"/>
    <xf numFmtId="165" fontId="26" fillId="27" borderId="8" xfId="0" applyNumberFormat="1" applyFont="1" applyFill="1" applyBorder="1"/>
    <xf numFmtId="165" fontId="7" fillId="2" borderId="12" xfId="0" applyNumberFormat="1" applyFont="1" applyFill="1" applyBorder="1"/>
    <xf numFmtId="0" fontId="23" fillId="0" borderId="10" xfId="0" applyFont="1" applyBorder="1" applyAlignment="1">
      <alignment horizontal="center"/>
    </xf>
    <xf numFmtId="165" fontId="23" fillId="0" borderId="9" xfId="0" quotePrefix="1" applyNumberFormat="1" applyFont="1" applyBorder="1"/>
    <xf numFmtId="165" fontId="1" fillId="2" borderId="9" xfId="0" applyNumberFormat="1" applyFont="1" applyFill="1" applyBorder="1"/>
    <xf numFmtId="166" fontId="1" fillId="26" borderId="10" xfId="0" applyNumberFormat="1" applyFont="1" applyFill="1" applyBorder="1" applyAlignment="1">
      <alignment horizontal="right"/>
    </xf>
    <xf numFmtId="164" fontId="1" fillId="26" borderId="10" xfId="0" applyNumberFormat="1" applyFont="1" applyFill="1" applyBorder="1" applyAlignment="1">
      <alignment horizontal="right"/>
    </xf>
    <xf numFmtId="0" fontId="1" fillId="26" borderId="10" xfId="0" applyFont="1" applyFill="1" applyBorder="1" applyAlignment="1">
      <alignment horizontal="center" wrapText="1"/>
    </xf>
    <xf numFmtId="0" fontId="26" fillId="26" borderId="10" xfId="0" applyFont="1" applyFill="1" applyBorder="1"/>
    <xf numFmtId="0" fontId="26" fillId="26" borderId="9" xfId="0" applyFont="1" applyFill="1" applyBorder="1"/>
    <xf numFmtId="0" fontId="1" fillId="26" borderId="9" xfId="0" applyFont="1" applyFill="1" applyBorder="1"/>
    <xf numFmtId="165" fontId="26" fillId="26" borderId="9" xfId="0" applyNumberFormat="1" applyFont="1" applyFill="1" applyBorder="1"/>
    <xf numFmtId="165" fontId="26" fillId="26" borderId="8" xfId="0" applyNumberFormat="1" applyFont="1" applyFill="1" applyBorder="1"/>
    <xf numFmtId="170" fontId="5" fillId="2" borderId="10" xfId="0" applyNumberFormat="1" applyFont="1" applyFill="1" applyBorder="1" applyAlignment="1">
      <alignment horizontal="right"/>
    </xf>
    <xf numFmtId="164" fontId="7" fillId="2" borderId="10" xfId="0" applyNumberFormat="1" applyFont="1" applyFill="1" applyBorder="1"/>
    <xf numFmtId="166" fontId="23" fillId="2" borderId="13" xfId="0" applyNumberFormat="1" applyFont="1" applyFill="1" applyBorder="1" applyAlignment="1">
      <alignment horizontal="right"/>
    </xf>
    <xf numFmtId="164" fontId="23" fillId="24" borderId="13" xfId="0" applyNumberFormat="1" applyFont="1" applyFill="1" applyBorder="1" applyAlignment="1">
      <alignment horizontal="right"/>
    </xf>
    <xf numFmtId="164" fontId="23" fillId="2" borderId="13" xfId="0" applyNumberFormat="1" applyFont="1" applyFill="1" applyBorder="1" applyAlignment="1">
      <alignment horizontal="right"/>
    </xf>
    <xf numFmtId="165" fontId="23" fillId="2" borderId="13" xfId="0" applyNumberFormat="1" applyFont="1" applyFill="1" applyBorder="1" applyAlignment="1">
      <alignment horizontal="center"/>
    </xf>
    <xf numFmtId="0" fontId="26" fillId="2" borderId="13" xfId="0" applyFont="1" applyFill="1" applyBorder="1"/>
    <xf numFmtId="0" fontId="26" fillId="2" borderId="12" xfId="0" applyFont="1" applyFill="1" applyBorder="1"/>
    <xf numFmtId="0" fontId="23" fillId="2" borderId="12" xfId="0" quotePrefix="1" applyFont="1" applyFill="1" applyBorder="1"/>
    <xf numFmtId="165" fontId="26" fillId="2" borderId="12" xfId="0" applyNumberFormat="1" applyFont="1" applyFill="1" applyBorder="1"/>
    <xf numFmtId="46" fontId="26" fillId="2" borderId="11" xfId="0" applyNumberFormat="1" applyFont="1" applyFill="1" applyBorder="1"/>
    <xf numFmtId="166" fontId="44" fillId="0" borderId="2" xfId="0" applyNumberFormat="1" applyFont="1" applyBorder="1"/>
    <xf numFmtId="166" fontId="44" fillId="0" borderId="20" xfId="0" applyNumberFormat="1" applyFont="1" applyBorder="1"/>
    <xf numFmtId="166" fontId="2" fillId="13" borderId="10" xfId="0" applyNumberFormat="1" applyFont="1" applyFill="1" applyBorder="1"/>
    <xf numFmtId="166" fontId="2" fillId="13" borderId="21" xfId="0" applyNumberFormat="1" applyFont="1" applyFill="1" applyBorder="1"/>
    <xf numFmtId="166" fontId="2" fillId="31" borderId="7" xfId="0" applyNumberFormat="1" applyFont="1" applyFill="1" applyBorder="1"/>
    <xf numFmtId="166" fontId="2" fillId="28" borderId="7" xfId="0" applyNumberFormat="1" applyFont="1" applyFill="1" applyBorder="1"/>
    <xf numFmtId="166" fontId="32" fillId="2" borderId="21" xfId="0" applyNumberFormat="1" applyFont="1" applyFill="1" applyBorder="1"/>
    <xf numFmtId="166" fontId="2" fillId="9" borderId="7" xfId="0" applyNumberFormat="1" applyFont="1" applyFill="1" applyBorder="1"/>
    <xf numFmtId="166" fontId="2" fillId="21" borderId="7" xfId="0" applyNumberFormat="1" applyFont="1" applyFill="1" applyBorder="1"/>
    <xf numFmtId="166" fontId="2" fillId="17" borderId="7" xfId="0" applyNumberFormat="1" applyFont="1" applyFill="1" applyBorder="1"/>
    <xf numFmtId="166" fontId="2" fillId="14" borderId="7" xfId="0" applyNumberFormat="1" applyFont="1" applyFill="1" applyBorder="1"/>
    <xf numFmtId="166" fontId="2" fillId="13" borderId="20" xfId="0" applyNumberFormat="1" applyFont="1" applyFill="1" applyBorder="1"/>
    <xf numFmtId="166" fontId="5" fillId="12" borderId="19" xfId="0" applyNumberFormat="1" applyFont="1" applyFill="1" applyBorder="1" applyAlignment="1">
      <alignment horizontal="right"/>
    </xf>
    <xf numFmtId="166" fontId="5" fillId="12" borderId="25" xfId="0" applyNumberFormat="1" applyFont="1" applyFill="1" applyBorder="1" applyAlignment="1">
      <alignment horizontal="right"/>
    </xf>
    <xf numFmtId="166" fontId="23" fillId="0" borderId="10" xfId="0" applyNumberFormat="1" applyFont="1" applyBorder="1" applyAlignment="1">
      <alignment horizontal="right"/>
    </xf>
    <xf numFmtId="164" fontId="23" fillId="0" borderId="10" xfId="0" applyNumberFormat="1" applyFont="1" applyBorder="1" applyAlignment="1">
      <alignment horizontal="right"/>
    </xf>
    <xf numFmtId="0" fontId="1" fillId="0" borderId="9" xfId="0" applyFont="1" applyBorder="1"/>
    <xf numFmtId="166" fontId="1" fillId="0" borderId="10" xfId="0" applyNumberFormat="1" applyFont="1" applyBorder="1" applyAlignment="1">
      <alignment horizontal="right"/>
    </xf>
    <xf numFmtId="164" fontId="1" fillId="2" borderId="10" xfId="0" applyNumberFormat="1" applyFont="1" applyFill="1" applyBorder="1" applyAlignment="1">
      <alignment horizontal="right"/>
    </xf>
    <xf numFmtId="0" fontId="1" fillId="0" borderId="10" xfId="0" applyFont="1" applyBorder="1" applyAlignment="1">
      <alignment horizontal="center" wrapText="1"/>
    </xf>
    <xf numFmtId="0" fontId="23" fillId="0" borderId="10" xfId="0" applyFont="1" applyBorder="1" applyAlignment="1">
      <alignment horizontal="center" wrapText="1"/>
    </xf>
    <xf numFmtId="164" fontId="2" fillId="2" borderId="13" xfId="0" applyNumberFormat="1" applyFont="1" applyFill="1" applyBorder="1"/>
    <xf numFmtId="0" fontId="5" fillId="0" borderId="0" xfId="0" applyFont="1" applyAlignment="1"/>
    <xf numFmtId="0" fontId="1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outlinePr summaryBelow="0" summaryRight="0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9.28515625" bestFit="1" customWidth="1"/>
    <col min="11" max="11" width="13" bestFit="1" customWidth="1"/>
    <col min="12" max="14" width="23.85546875" bestFit="1" customWidth="1"/>
    <col min="15" max="15" width="19.28515625" bestFit="1" customWidth="1"/>
    <col min="16" max="16" width="21.28515625" bestFit="1" customWidth="1"/>
    <col min="17" max="18" width="23.85546875" bestFit="1" customWidth="1"/>
    <col min="19" max="19" width="22.140625" bestFit="1" customWidth="1"/>
    <col min="20" max="20" width="19.28515625" bestFit="1" customWidth="1"/>
    <col min="21" max="21" width="21.28515625" bestFit="1" customWidth="1"/>
  </cols>
  <sheetData>
    <row r="1" spans="1:21" ht="19.5" x14ac:dyDescent="0.3">
      <c r="A1" s="521" t="s">
        <v>0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</row>
    <row r="2" spans="1:21" s="898" customFormat="1" ht="19.5" x14ac:dyDescent="0.3">
      <c r="A2" s="521" t="s">
        <v>1</v>
      </c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</row>
    <row r="3" spans="1:21" ht="19.5" x14ac:dyDescent="0.3">
      <c r="A3" s="521" t="s">
        <v>332</v>
      </c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</row>
    <row r="4" spans="1:21" ht="19.5" x14ac:dyDescent="0.3">
      <c r="A4" s="1"/>
      <c r="B4" s="1"/>
      <c r="C4" s="1"/>
      <c r="D4" s="1"/>
      <c r="E4" s="1"/>
      <c r="F4" s="1"/>
      <c r="G4" s="2"/>
      <c r="H4" s="1"/>
      <c r="I4" s="1"/>
      <c r="J4" s="3"/>
      <c r="K4" s="4"/>
      <c r="L4" s="523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534" t="s">
        <v>4</v>
      </c>
      <c r="B5" s="522"/>
      <c r="C5" s="522"/>
      <c r="D5" s="522"/>
      <c r="E5" s="522"/>
      <c r="F5" s="522"/>
      <c r="G5" s="535"/>
      <c r="H5" s="5" t="s">
        <v>5</v>
      </c>
      <c r="I5" s="527" t="s">
        <v>6</v>
      </c>
      <c r="J5" s="518"/>
      <c r="K5" s="519"/>
      <c r="L5" s="520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6"/>
      <c r="I6" s="7" t="s">
        <v>9</v>
      </c>
      <c r="J6" s="8" t="s">
        <v>10</v>
      </c>
      <c r="K6" s="7" t="s">
        <v>11</v>
      </c>
      <c r="L6" s="9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537"/>
      <c r="B7" s="518"/>
      <c r="C7" s="518"/>
      <c r="D7" s="518"/>
      <c r="E7" s="518"/>
      <c r="F7" s="518"/>
      <c r="G7" s="519"/>
      <c r="H7" s="15"/>
      <c r="I7" s="16"/>
      <c r="J7" s="16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35">
        <f t="shared" ref="L18:N18" ca="1" si="0">L19+L20</f>
        <v>92668043</v>
      </c>
      <c r="M18" s="35">
        <f t="shared" ca="1" si="0"/>
        <v>94368274.920000002</v>
      </c>
      <c r="N18" s="35">
        <f t="shared" ca="1" si="0"/>
        <v>23707642.309999987</v>
      </c>
      <c r="O18" s="35">
        <f t="shared" ref="O18:O26" ca="1" si="1">IF(L18&gt;0,N18*100/L18,0)</f>
        <v>25.58340668745965</v>
      </c>
      <c r="P18" s="35">
        <f t="shared" ref="P18:P26" ca="1" si="2">IF(M18&gt;0,N18*100/M18,0)</f>
        <v>25.122470798685217</v>
      </c>
      <c r="Q18" s="35">
        <f t="shared" ref="Q18:S18" ca="1" si="3">Q19+Q20</f>
        <v>22276664.07</v>
      </c>
      <c r="R18" s="35">
        <f t="shared" ca="1" si="3"/>
        <v>22326237</v>
      </c>
      <c r="S18" s="35">
        <f t="shared" ca="1" si="3"/>
        <v>4658166.3199999994</v>
      </c>
      <c r="T18" s="35">
        <f t="shared" ref="T18:T26" ca="1" si="4">IF(Q18&gt;0,S18*100/Q18,0)</f>
        <v>20.91052010912691</v>
      </c>
      <c r="U18" s="35">
        <f t="shared" ref="U18:U26" ca="1" si="5">IF(R18&gt;0,S18*100/R18,0)</f>
        <v>20.86409062127218</v>
      </c>
    </row>
    <row r="19" spans="1:21" ht="18.75" hidden="1" x14ac:dyDescent="0.25">
      <c r="A19" s="27"/>
      <c r="B19" s="28"/>
      <c r="C19" s="28"/>
      <c r="D19" s="28"/>
      <c r="E19" s="36" t="s">
        <v>20</v>
      </c>
      <c r="F19" s="28"/>
      <c r="G19" s="31"/>
      <c r="H19" s="37" t="s">
        <v>14</v>
      </c>
      <c r="I19" s="33"/>
      <c r="J19" s="33"/>
      <c r="K19" s="34"/>
      <c r="L19" s="38">
        <f t="shared" ref="L19:N19" ca="1" si="6">L22+L25</f>
        <v>0</v>
      </c>
      <c r="M19" s="38">
        <f t="shared" ca="1" si="6"/>
        <v>0</v>
      </c>
      <c r="N19" s="38">
        <f t="shared" ca="1" si="6"/>
        <v>0</v>
      </c>
      <c r="O19" s="38">
        <f t="shared" ca="1" si="1"/>
        <v>0</v>
      </c>
      <c r="P19" s="38">
        <f t="shared" ca="1" si="2"/>
        <v>0</v>
      </c>
      <c r="Q19" s="38">
        <f t="shared" ref="Q19:S19" ca="1" si="7">Q22+Q25</f>
        <v>0</v>
      </c>
      <c r="R19" s="38">
        <f t="shared" ca="1" si="7"/>
        <v>0</v>
      </c>
      <c r="S19" s="38">
        <f t="shared" ca="1" si="7"/>
        <v>0</v>
      </c>
      <c r="T19" s="38">
        <f t="shared" ca="1" si="4"/>
        <v>0</v>
      </c>
      <c r="U19" s="38">
        <f t="shared" ca="1" si="5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39">
        <f t="shared" ref="L20:N20" ca="1" si="8">L23+L26</f>
        <v>92668043</v>
      </c>
      <c r="M20" s="39">
        <f t="shared" ca="1" si="8"/>
        <v>94368274.920000002</v>
      </c>
      <c r="N20" s="39">
        <f t="shared" ca="1" si="8"/>
        <v>23707642.309999987</v>
      </c>
      <c r="O20" s="39">
        <f t="shared" ca="1" si="1"/>
        <v>25.58340668745965</v>
      </c>
      <c r="P20" s="39">
        <f t="shared" ca="1" si="2"/>
        <v>25.122470798685217</v>
      </c>
      <c r="Q20" s="39">
        <f t="shared" ref="Q20:S20" ca="1" si="9">Q23+Q26</f>
        <v>22276664.07</v>
      </c>
      <c r="R20" s="39">
        <f t="shared" ca="1" si="9"/>
        <v>22326237</v>
      </c>
      <c r="S20" s="39">
        <f t="shared" ca="1" si="9"/>
        <v>4658166.3199999994</v>
      </c>
      <c r="T20" s="39">
        <f t="shared" ca="1" si="4"/>
        <v>20.91052010912691</v>
      </c>
      <c r="U20" s="39">
        <f t="shared" ca="1" si="5"/>
        <v>20.86409062127218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7">
        <f t="shared" ref="L21:N21" ca="1" si="10">L22+L23</f>
        <v>37609643</v>
      </c>
      <c r="M21" s="47">
        <f t="shared" ca="1" si="10"/>
        <v>39409874.920000002</v>
      </c>
      <c r="N21" s="47">
        <f t="shared" ca="1" si="10"/>
        <v>22170045.919999987</v>
      </c>
      <c r="O21" s="47">
        <f t="shared" ca="1" si="1"/>
        <v>58.947770176919747</v>
      </c>
      <c r="P21" s="47">
        <f t="shared" ca="1" si="2"/>
        <v>56.255052737426922</v>
      </c>
      <c r="Q21" s="47">
        <f t="shared" ref="Q21:S21" ca="1" si="11">Q22+Q23</f>
        <v>18926664.07</v>
      </c>
      <c r="R21" s="47">
        <f t="shared" ca="1" si="11"/>
        <v>18976237</v>
      </c>
      <c r="S21" s="47">
        <f t="shared" ca="1" si="11"/>
        <v>4658166.3199999994</v>
      </c>
      <c r="T21" s="47">
        <f t="shared" ca="1" si="4"/>
        <v>24.611660579866779</v>
      </c>
      <c r="U21" s="47">
        <f t="shared" ca="1" si="5"/>
        <v>24.547365844977588</v>
      </c>
    </row>
    <row r="22" spans="1:21" ht="18.75" hidden="1" x14ac:dyDescent="0.25">
      <c r="A22" s="40"/>
      <c r="B22" s="41"/>
      <c r="C22" s="41"/>
      <c r="D22" s="41"/>
      <c r="E22" s="48" t="s">
        <v>20</v>
      </c>
      <c r="F22" s="41"/>
      <c r="G22" s="43"/>
      <c r="H22" s="44" t="s">
        <v>14</v>
      </c>
      <c r="I22" s="45"/>
      <c r="J22" s="45"/>
      <c r="K22" s="46"/>
      <c r="L22" s="49">
        <f t="shared" ref="L22:N22" ca="1" si="12">L48+L63+L76+L98+L121+L143+L161+L190+L177+L270+L286+L307+L324+L337+L360+L379+L396+L417+L497+L517+L538+L559+L580+L603+L620+L646+L694+L718+L732+L764</f>
        <v>0</v>
      </c>
      <c r="M22" s="49">
        <f t="shared" ca="1" si="12"/>
        <v>0</v>
      </c>
      <c r="N22" s="49">
        <f t="shared" ca="1" si="12"/>
        <v>0</v>
      </c>
      <c r="O22" s="49">
        <f t="shared" ca="1" si="1"/>
        <v>0</v>
      </c>
      <c r="P22" s="49">
        <f t="shared" ca="1" si="2"/>
        <v>0</v>
      </c>
      <c r="Q22" s="49">
        <f t="shared" ref="Q22:S22" ca="1" si="13">Q48+Q63+Q76+Q98+Q121+Q143+Q161+Q190+Q177+Q270+Q286+Q307+Q324+Q337+Q360+Q379+Q396+Q417+Q497+Q517+Q538+Q559+Q580+Q603+Q620+Q646+Q694+Q718+Q732+Q764</f>
        <v>0</v>
      </c>
      <c r="R22" s="49">
        <f t="shared" ca="1" si="13"/>
        <v>0</v>
      </c>
      <c r="S22" s="49">
        <f t="shared" ca="1" si="13"/>
        <v>0</v>
      </c>
      <c r="T22" s="49">
        <f t="shared" ca="1" si="4"/>
        <v>0</v>
      </c>
      <c r="U22" s="49">
        <f t="shared" ca="1" si="5"/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7">
        <f t="shared" ref="L23:N23" ca="1" si="14">L49+L64+L77+L99+L122+L144+L162+L191+L178+L271+L287+L308+L325+L338+L361+L380+L397+L418+L498+L518+L539+L560+L581+L604+L621+L647+L695+L719+L733+L765</f>
        <v>37609643</v>
      </c>
      <c r="M23" s="47">
        <f t="shared" ca="1" si="14"/>
        <v>39409874.920000002</v>
      </c>
      <c r="N23" s="47">
        <f t="shared" ca="1" si="14"/>
        <v>22170045.919999987</v>
      </c>
      <c r="O23" s="47">
        <f t="shared" ca="1" si="1"/>
        <v>58.947770176919747</v>
      </c>
      <c r="P23" s="47">
        <f t="shared" ca="1" si="2"/>
        <v>56.255052737426922</v>
      </c>
      <c r="Q23" s="47">
        <f t="shared" ref="Q23:S23" ca="1" si="15">Q49+Q64+Q77+Q99+Q122+Q144+Q162+Q191+Q178+Q271+Q287+Q308+Q325+Q338+Q361+Q380+Q397+Q418+Q498+Q518+Q539+Q560+Q581+Q604+Q621+Q647+Q695+Q719+Q733+Q765</f>
        <v>18926664.07</v>
      </c>
      <c r="R23" s="47">
        <f t="shared" ca="1" si="15"/>
        <v>18976237</v>
      </c>
      <c r="S23" s="47">
        <f t="shared" ca="1" si="15"/>
        <v>4658166.3199999994</v>
      </c>
      <c r="T23" s="47">
        <f t="shared" ca="1" si="4"/>
        <v>24.611660579866779</v>
      </c>
      <c r="U23" s="47">
        <f t="shared" ca="1" si="5"/>
        <v>24.547365844977588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7">
        <f t="shared" ref="L24:N24" ca="1" si="16">L25+L26</f>
        <v>55058400</v>
      </c>
      <c r="M24" s="47">
        <f t="shared" ca="1" si="16"/>
        <v>54958400</v>
      </c>
      <c r="N24" s="47">
        <f t="shared" ca="1" si="16"/>
        <v>1537596.39</v>
      </c>
      <c r="O24" s="47">
        <f t="shared" ca="1" si="1"/>
        <v>2.7926644980602413</v>
      </c>
      <c r="P24" s="47">
        <f t="shared" ca="1" si="2"/>
        <v>2.7977459132725842</v>
      </c>
      <c r="Q24" s="47">
        <f t="shared" ref="Q24:S24" ca="1" si="17">Q25+Q26</f>
        <v>3350000</v>
      </c>
      <c r="R24" s="47">
        <f t="shared" ca="1" si="17"/>
        <v>3350000</v>
      </c>
      <c r="S24" s="47">
        <f t="shared" ca="1" si="17"/>
        <v>0</v>
      </c>
      <c r="T24" s="47">
        <f t="shared" ca="1" si="4"/>
        <v>0</v>
      </c>
      <c r="U24" s="47">
        <f t="shared" ca="1" si="5"/>
        <v>0</v>
      </c>
    </row>
    <row r="25" spans="1:21" ht="18.75" hidden="1" x14ac:dyDescent="0.25">
      <c r="A25" s="40"/>
      <c r="B25" s="41"/>
      <c r="C25" s="41"/>
      <c r="D25" s="41"/>
      <c r="E25" s="48" t="s">
        <v>20</v>
      </c>
      <c r="F25" s="41"/>
      <c r="G25" s="43"/>
      <c r="H25" s="44" t="s">
        <v>14</v>
      </c>
      <c r="I25" s="45"/>
      <c r="J25" s="45"/>
      <c r="K25" s="46"/>
      <c r="L25" s="49">
        <f t="shared" ref="L25:N25" ca="1" si="18">L51+L66+L79+L101+L124+L146+L164+L193+L180+L273+L289+L310+L327+L340+L363+L382+L399+L420+L500+L520+L541+L562+L583+L606+L623+L649+L697+L721+L735+L767</f>
        <v>0</v>
      </c>
      <c r="M25" s="49">
        <f t="shared" ca="1" si="18"/>
        <v>0</v>
      </c>
      <c r="N25" s="49">
        <f t="shared" ca="1" si="18"/>
        <v>0</v>
      </c>
      <c r="O25" s="49">
        <f t="shared" ca="1" si="1"/>
        <v>0</v>
      </c>
      <c r="P25" s="49">
        <f t="shared" ca="1" si="2"/>
        <v>0</v>
      </c>
      <c r="Q25" s="49">
        <f t="shared" ref="Q25:S25" ca="1" si="19">Q51+Q66+Q79+Q101+Q124+Q146+Q164+Q193+Q180+Q273+Q289+Q310+Q327+Q340+Q363+Q382+Q399+Q420+Q500+Q520+Q541+Q562+Q583+Q606+Q623+Q649+Q697+Q721+Q735+Q767</f>
        <v>0</v>
      </c>
      <c r="R25" s="49">
        <f t="shared" ca="1" si="19"/>
        <v>0</v>
      </c>
      <c r="S25" s="49">
        <f t="shared" ca="1" si="19"/>
        <v>0</v>
      </c>
      <c r="T25" s="49">
        <f t="shared" ca="1" si="4"/>
        <v>0</v>
      </c>
      <c r="U25" s="49">
        <f t="shared" ca="1" si="5"/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7">
        <f t="shared" ref="L26:N26" ca="1" si="20">L52+L67+L80+L102+L125+L147+L165+L194+L181+L274+L290+L311+L328+L341+L364+L383+L400+L421+L501+L521+L542+L563+L584+L607+L624+L650+L698+L722+L736+L768</f>
        <v>55058400</v>
      </c>
      <c r="M26" s="47">
        <f t="shared" ca="1" si="20"/>
        <v>54958400</v>
      </c>
      <c r="N26" s="47">
        <f t="shared" ca="1" si="20"/>
        <v>1537596.39</v>
      </c>
      <c r="O26" s="47">
        <f t="shared" ca="1" si="1"/>
        <v>2.7926644980602413</v>
      </c>
      <c r="P26" s="47">
        <f t="shared" ca="1" si="2"/>
        <v>2.7977459132725842</v>
      </c>
      <c r="Q26" s="47">
        <f t="shared" ref="Q26:S26" ca="1" si="21">Q52+Q67+Q80+Q102+Q125+Q147+Q165+Q194+Q181+Q274+Q290+Q311+Q328+Q341+Q364+Q383+Q400+Q421+Q501+Q521+Q542+Q563+Q584+Q607+Q624+Q650+Q698+Q722+Q736+Q768</f>
        <v>3350000</v>
      </c>
      <c r="R26" s="47">
        <f t="shared" ca="1" si="21"/>
        <v>3350000</v>
      </c>
      <c r="S26" s="47">
        <f t="shared" ca="1" si="21"/>
        <v>0</v>
      </c>
      <c r="T26" s="47">
        <f t="shared" ca="1" si="4"/>
        <v>0</v>
      </c>
      <c r="U26" s="47">
        <f t="shared" ca="1" si="5"/>
        <v>0</v>
      </c>
    </row>
    <row r="27" spans="1:21" ht="18.75" x14ac:dyDescent="0.25">
      <c r="A27" s="40"/>
      <c r="B27" s="41"/>
      <c r="C27" s="41"/>
      <c r="D27" s="50" t="s">
        <v>24</v>
      </c>
      <c r="E27" s="41"/>
      <c r="F27" s="41"/>
      <c r="G27" s="43"/>
      <c r="H27" s="44" t="s">
        <v>14</v>
      </c>
      <c r="I27" s="45"/>
      <c r="J27" s="45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48" t="s">
        <v>20</v>
      </c>
      <c r="F28" s="41"/>
      <c r="G28" s="43"/>
      <c r="H28" s="44" t="s">
        <v>14</v>
      </c>
      <c r="I28" s="45"/>
      <c r="J28" s="45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537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4" t="s">
        <v>19</v>
      </c>
      <c r="E44" s="72"/>
      <c r="F44" s="72"/>
      <c r="G44" s="75"/>
      <c r="H44" s="76" t="s">
        <v>14</v>
      </c>
      <c r="I44" s="77"/>
      <c r="J44" s="77"/>
      <c r="K44" s="78"/>
      <c r="L44" s="79">
        <f t="shared" ref="L44:N44" ca="1" si="22">L45+L46</f>
        <v>5977837</v>
      </c>
      <c r="M44" s="79">
        <f t="shared" ca="1" si="22"/>
        <v>6416981.9199999999</v>
      </c>
      <c r="N44" s="79">
        <f t="shared" ca="1" si="22"/>
        <v>4335052.97</v>
      </c>
      <c r="O44" s="79">
        <f t="shared" ref="O44:O52" ca="1" si="23">IF(L44&gt;0,N44*100/L44,0)</f>
        <v>72.518755027947407</v>
      </c>
      <c r="P44" s="79">
        <f t="shared" ref="P44:P52" ca="1" si="24">IF(M44&gt;0,N44*100/M44,0)</f>
        <v>67.5559480148886</v>
      </c>
      <c r="Q44" s="79">
        <f t="shared" ref="Q44:S44" ca="1" si="25">Q45+Q46</f>
        <v>0</v>
      </c>
      <c r="R44" s="79">
        <f t="shared" ca="1" si="25"/>
        <v>0</v>
      </c>
      <c r="S44" s="79">
        <f t="shared" ca="1" si="25"/>
        <v>0</v>
      </c>
      <c r="T44" s="79">
        <f t="shared" ref="T44:T52" ca="1" si="26">IF(Q44&gt;0,S44*100/Q44,0)</f>
        <v>0</v>
      </c>
      <c r="U44" s="79">
        <f t="shared" ref="U44:U52" ca="1" si="27">IF(R44&gt;0,S44*100/R44,0)</f>
        <v>0</v>
      </c>
    </row>
    <row r="45" spans="1:21" ht="18.75" hidden="1" x14ac:dyDescent="0.25">
      <c r="A45" s="71"/>
      <c r="B45" s="72"/>
      <c r="C45" s="72"/>
      <c r="D45" s="72"/>
      <c r="E45" s="80" t="s">
        <v>20</v>
      </c>
      <c r="F45" s="72"/>
      <c r="G45" s="75"/>
      <c r="H45" s="81" t="s">
        <v>14</v>
      </c>
      <c r="I45" s="77"/>
      <c r="J45" s="77"/>
      <c r="K45" s="78"/>
      <c r="L45" s="82">
        <f t="shared" ref="L45:N45" si="28">L48+L51</f>
        <v>0</v>
      </c>
      <c r="M45" s="82">
        <f t="shared" si="28"/>
        <v>0</v>
      </c>
      <c r="N45" s="82">
        <f t="shared" si="28"/>
        <v>0</v>
      </c>
      <c r="O45" s="82">
        <f t="shared" si="23"/>
        <v>0</v>
      </c>
      <c r="P45" s="82">
        <f t="shared" si="24"/>
        <v>0</v>
      </c>
      <c r="Q45" s="82">
        <f t="shared" ref="Q45:S45" si="29">Q48+Q51</f>
        <v>0</v>
      </c>
      <c r="R45" s="82">
        <f t="shared" si="29"/>
        <v>0</v>
      </c>
      <c r="S45" s="82">
        <f t="shared" si="29"/>
        <v>0</v>
      </c>
      <c r="T45" s="82">
        <f t="shared" si="26"/>
        <v>0</v>
      </c>
      <c r="U45" s="82">
        <f t="shared" si="27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83">
        <f t="shared" ref="L46:N46" ca="1" si="30">L49+L52</f>
        <v>5977837</v>
      </c>
      <c r="M46" s="83">
        <f t="shared" ca="1" si="30"/>
        <v>6416981.9199999999</v>
      </c>
      <c r="N46" s="83">
        <f t="shared" ca="1" si="30"/>
        <v>4335052.97</v>
      </c>
      <c r="O46" s="83">
        <f t="shared" ca="1" si="23"/>
        <v>72.518755027947407</v>
      </c>
      <c r="P46" s="83">
        <f t="shared" ca="1" si="24"/>
        <v>67.5559480148886</v>
      </c>
      <c r="Q46" s="83">
        <f t="shared" ref="Q46:S46" ca="1" si="31">Q49+Q52</f>
        <v>0</v>
      </c>
      <c r="R46" s="83">
        <f t="shared" ca="1" si="31"/>
        <v>0</v>
      </c>
      <c r="S46" s="83">
        <f t="shared" ca="1" si="31"/>
        <v>0</v>
      </c>
      <c r="T46" s="83">
        <f t="shared" ca="1" si="26"/>
        <v>0</v>
      </c>
      <c r="U46" s="83">
        <f t="shared" ca="1" si="27"/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7">
        <f t="shared" ref="L47:N47" ca="1" si="32">L48+L49</f>
        <v>5977837</v>
      </c>
      <c r="M47" s="47">
        <f t="shared" ca="1" si="32"/>
        <v>6416981.9199999999</v>
      </c>
      <c r="N47" s="47">
        <f t="shared" ca="1" si="32"/>
        <v>4335052.97</v>
      </c>
      <c r="O47" s="47">
        <f t="shared" ca="1" si="23"/>
        <v>72.518755027947407</v>
      </c>
      <c r="P47" s="47">
        <f t="shared" ca="1" si="24"/>
        <v>67.5559480148886</v>
      </c>
      <c r="Q47" s="47">
        <f t="shared" ref="Q47:S47" ca="1" si="33">Q48+Q49</f>
        <v>0</v>
      </c>
      <c r="R47" s="47">
        <f t="shared" ca="1" si="33"/>
        <v>0</v>
      </c>
      <c r="S47" s="47">
        <f t="shared" ca="1" si="33"/>
        <v>0</v>
      </c>
      <c r="T47" s="47">
        <f t="shared" ca="1" si="26"/>
        <v>0</v>
      </c>
      <c r="U47" s="47">
        <f t="shared" ca="1" si="27"/>
        <v>0</v>
      </c>
    </row>
    <row r="48" spans="1:21" ht="18.75" hidden="1" x14ac:dyDescent="0.25">
      <c r="A48" s="40"/>
      <c r="B48" s="41"/>
      <c r="C48" s="41"/>
      <c r="D48" s="41"/>
      <c r="E48" s="48" t="s">
        <v>20</v>
      </c>
      <c r="F48" s="41"/>
      <c r="G48" s="43"/>
      <c r="H48" s="44" t="s">
        <v>14</v>
      </c>
      <c r="I48" s="45"/>
      <c r="J48" s="45"/>
      <c r="K48" s="46"/>
      <c r="L48" s="49">
        <v>0</v>
      </c>
      <c r="M48" s="49">
        <v>0</v>
      </c>
      <c r="N48" s="49">
        <v>0</v>
      </c>
      <c r="O48" s="49">
        <f t="shared" si="23"/>
        <v>0</v>
      </c>
      <c r="P48" s="49">
        <f t="shared" si="24"/>
        <v>0</v>
      </c>
      <c r="Q48" s="49">
        <v>0</v>
      </c>
      <c r="R48" s="49">
        <v>0</v>
      </c>
      <c r="S48" s="49">
        <v>0</v>
      </c>
      <c r="T48" s="49">
        <f t="shared" si="26"/>
        <v>0</v>
      </c>
      <c r="U48" s="49">
        <f t="shared" si="27"/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7">
        <f ca="1">IFERROR(__xludf.DUMMYFUNCTION("IMPORTRANGE(""https://docs.google.com/spreadsheets/d/1kKUcYdkIfrgTSj8iHHHB2MD2FAtwyyocFgqGQn6ADyI/edit?usp=sharing"",""กระบี่!L49"")+IMPORTRANGE(""https://docs.google.com/spreadsheets/d/1GwtLaSlNZkLk7iDqcyZz22giiy40b_usZZBXYciEN1U/edit?usp=sharing"",""ชุม"&amp;"พร!L49"")+IMPORTRANGE(""https://docs.google.com/spreadsheets/d/16pAz3pOhQEZBhvFNMa5KGgZS6iKWpsKX0pg6tQmwFpo/edit?usp=sharing"",""ตรัง!L49"")+IMPORTRANGE(""https://docs.google.com/spreadsheets/d/1Dj4jcHCTV9JXKCaMoheSXS52JE63kDKyG7bPXnFogHk/edit?usp=sharing"&amp;""",""นครศรีธรรมราช!L49"")+IMPORTRANGE(""https://docs.google.com/spreadsheets/d/1iodCdmuK2GR3jzUwk8tpccY2JHQQA-87DLOtJP-ooyU/edit?usp=sharing"",""นราธิวาส!L49"")+IMPORTRANGE(""https://docs.google.com/spreadsheets/d/1SDNX3JhDdYRuIOsj0Wh2M-Qa_eaXl0NbWmhAOTbf"&amp;"QAs/edit?usp=sharing"",""ปัตตานี!L49"")+IMPORTRANGE(""https://docs.google.com/spreadsheets/d/16JDLGguT8s5DsGCND1KcwHP_AWR_zDMTqLHPLJUKhaU/edit?usp=sharing"",""พังงา!L49"")+IMPORTRANGE(""https://docs.google.com/spreadsheets/d/17ht0gPKzzT3PObBL1XJkeRmntBXI7"&amp;"wGjpLV7QorqlTk/edit?usp=sharing"",""พัทลุง!L49"")+IMPORTRANGE(""https://docs.google.com/spreadsheets/d/1rd4qoM1q_hsgaolqNGfrim9gbsoLxQsda4-vOz5x_BM/edit?usp=sharing"",""ภูเก็ต!L49"")+IMPORTRANGE(""https://docs.google.com/spreadsheets/d/1woKwKjgoLssDvPcPeV"&amp;"yezB5izizAn4X1JDrys69n6xI/edit?usp=sharing"",""ยะลา!L49"")+IMPORTRANGE(""https://docs.google.com/spreadsheets/d/1qfrKjzMhm2HJfxQ-qVlJlJQ25Hne1d0khsySbZyGtPA/edit?usp=sharing"",""ระนอง!L49"")+IMPORTRANGE(""https://docs.google.com/spreadsheets/d/1IbSCnFOKpZ"&amp;"snFogBHJnL_isstZVaOMnFiIN0fGTPZZw/edit?usp=sharing"",""สงขลา!L49"")+IMPORTRANGE(""https://docs.google.com/spreadsheets/d/1q9nWasZJ-K8bFGvbE9n0qSRuKGA4Toe3Y89cKCiVtCU/edit?usp=sharing"",""สตูล!L49"")+IMPORTRANGE(""https://docs.google.com/spreadsheets/d/18T"&amp;"20gbkS_WBjdscyTOV05cvq_JqvqQ17C81mpxf7Ncs/edit?usp=sharing"",""สุราษฎร์ธานี!L49"")"),5977837)</f>
        <v>5977837</v>
      </c>
      <c r="M49" s="47">
        <f ca="1">IFERROR(__xludf.DUMMYFUNCTION("IMPORTRANGE(""https://docs.google.com/spreadsheets/d/1kKUcYdkIfrgTSj8iHHHB2MD2FAtwyyocFgqGQn6ADyI/edit?usp=sharing"",""กระบี่!M49"")+IMPORTRANGE(""https://docs.google.com/spreadsheets/d/1GwtLaSlNZkLk7iDqcyZz22giiy40b_usZZBXYciEN1U/edit?usp=sharing"",""ชุม"&amp;"พร!M49"")+IMPORTRANGE(""https://docs.google.com/spreadsheets/d/16pAz3pOhQEZBhvFNMa5KGgZS6iKWpsKX0pg6tQmwFpo/edit?usp=sharing"",""ตรัง!M49"")+IMPORTRANGE(""https://docs.google.com/spreadsheets/d/1Dj4jcHCTV9JXKCaMoheSXS52JE63kDKyG7bPXnFogHk/edit?usp=sharing"&amp;""",""นครศรีธรรมราช!M49"")+IMPORTRANGE(""https://docs.google.com/spreadsheets/d/1iodCdmuK2GR3jzUwk8tpccY2JHQQA-87DLOtJP-ooyU/edit?usp=sharing"",""นราธิวาส!M49"")+IMPORTRANGE(""https://docs.google.com/spreadsheets/d/1SDNX3JhDdYRuIOsj0Wh2M-Qa_eaXl0NbWmhAOTbf"&amp;"QAs/edit?usp=sharing"",""ปัตตานี!M49"")+IMPORTRANGE(""https://docs.google.com/spreadsheets/d/16JDLGguT8s5DsGCND1KcwHP_AWR_zDMTqLHPLJUKhaU/edit?usp=sharing"",""พังงา!M49"")+IMPORTRANGE(""https://docs.google.com/spreadsheets/d/17ht0gPKzzT3PObBL1XJkeRmntBXI7"&amp;"wGjpLV7QorqlTk/edit?usp=sharing"",""พัทลุง!M49"")+IMPORTRANGE(""https://docs.google.com/spreadsheets/d/1rd4qoM1q_hsgaolqNGfrim9gbsoLxQsda4-vOz5x_BM/edit?usp=sharing"",""ภูเก็ต!M49"")+IMPORTRANGE(""https://docs.google.com/spreadsheets/d/1woKwKjgoLssDvPcPeV"&amp;"yezB5izizAn4X1JDrys69n6xI/edit?usp=sharing"",""ยะลา!M49"")+IMPORTRANGE(""https://docs.google.com/spreadsheets/d/1qfrKjzMhm2HJfxQ-qVlJlJQ25Hne1d0khsySbZyGtPA/edit?usp=sharing"",""ระนอง!M49"")+IMPORTRANGE(""https://docs.google.com/spreadsheets/d/1IbSCnFOKpZ"&amp;"snFogBHJnL_isstZVaOMnFiIN0fGTPZZw/edit?usp=sharing"",""สงขลา!M49"")+IMPORTRANGE(""https://docs.google.com/spreadsheets/d/1q9nWasZJ-K8bFGvbE9n0qSRuKGA4Toe3Y89cKCiVtCU/edit?usp=sharing"",""สตูล!M49"")+IMPORTRANGE(""https://docs.google.com/spreadsheets/d/18T"&amp;"20gbkS_WBjdscyTOV05cvq_JqvqQ17C81mpxf7Ncs/edit?usp=sharing"",""สุราษฎร์ธานี!M49"")"),6416981.92)</f>
        <v>6416981.9199999999</v>
      </c>
      <c r="N49" s="47">
        <f ca="1">IFERROR(__xludf.DUMMYFUNCTION("IMPORTRANGE(""https://docs.google.com/spreadsheets/d/1kKUcYdkIfrgTSj8iHHHB2MD2FAtwyyocFgqGQn6ADyI/edit?usp=sharing"",""กระบี่!N49"")+IMPORTRANGE(""https://docs.google.com/spreadsheets/d/1GwtLaSlNZkLk7iDqcyZz22giiy40b_usZZBXYciEN1U/edit?usp=sharing"",""ชุม"&amp;"พร!N49"")+IMPORTRANGE(""https://docs.google.com/spreadsheets/d/16pAz3pOhQEZBhvFNMa5KGgZS6iKWpsKX0pg6tQmwFpo/edit?usp=sharing"",""ตรัง!N49"")+IMPORTRANGE(""https://docs.google.com/spreadsheets/d/1Dj4jcHCTV9JXKCaMoheSXS52JE63kDKyG7bPXnFogHk/edit?usp=sharing"&amp;""",""นครศรีธรรมราช!N49"")+IMPORTRANGE(""https://docs.google.com/spreadsheets/d/1iodCdmuK2GR3jzUwk8tpccY2JHQQA-87DLOtJP-ooyU/edit?usp=sharing"",""นราธิวาส!N49"")+IMPORTRANGE(""https://docs.google.com/spreadsheets/d/1SDNX3JhDdYRuIOsj0Wh2M-Qa_eaXl0NbWmhAOTbf"&amp;"QAs/edit?usp=sharing"",""ปัตตานี!N49"")+IMPORTRANGE(""https://docs.google.com/spreadsheets/d/16JDLGguT8s5DsGCND1KcwHP_AWR_zDMTqLHPLJUKhaU/edit?usp=sharing"",""พังงา!N49"")+IMPORTRANGE(""https://docs.google.com/spreadsheets/d/17ht0gPKzzT3PObBL1XJkeRmntBXI7"&amp;"wGjpLV7QorqlTk/edit?usp=sharing"",""พัทลุง!N49"")+IMPORTRANGE(""https://docs.google.com/spreadsheets/d/1rd4qoM1q_hsgaolqNGfrim9gbsoLxQsda4-vOz5x_BM/edit?usp=sharing"",""ภูเก็ต!N49"")+IMPORTRANGE(""https://docs.google.com/spreadsheets/d/1woKwKjgoLssDvPcPeV"&amp;"yezB5izizAn4X1JDrys69n6xI/edit?usp=sharing"",""ยะลา!N49"")+IMPORTRANGE(""https://docs.google.com/spreadsheets/d/1qfrKjzMhm2HJfxQ-qVlJlJQ25Hne1d0khsySbZyGtPA/edit?usp=sharing"",""ระนอง!N49"")+IMPORTRANGE(""https://docs.google.com/spreadsheets/d/1IbSCnFOKpZ"&amp;"snFogBHJnL_isstZVaOMnFiIN0fGTPZZw/edit?usp=sharing"",""สงขลา!N49"")+IMPORTRANGE(""https://docs.google.com/spreadsheets/d/1q9nWasZJ-K8bFGvbE9n0qSRuKGA4Toe3Y89cKCiVtCU/edit?usp=sharing"",""สตูล!N49"")+IMPORTRANGE(""https://docs.google.com/spreadsheets/d/18T"&amp;"20gbkS_WBjdscyTOV05cvq_JqvqQ17C81mpxf7Ncs/edit?usp=sharing"",""สุราษฎร์ธานี!N49"")"),4335052.97)</f>
        <v>4335052.97</v>
      </c>
      <c r="O49" s="47">
        <f t="shared" ca="1" si="23"/>
        <v>72.518755027947407</v>
      </c>
      <c r="P49" s="47">
        <f t="shared" ca="1" si="24"/>
        <v>67.5559480148886</v>
      </c>
      <c r="Q49" s="47">
        <f ca="1">IFERROR(__xludf.DUMMYFUNCTION("IMPORTRANGE(""https://docs.google.com/spreadsheets/d/1kKUcYdkIfrgTSj8iHHHB2MD2FAtwyyocFgqGQn6ADyI/edit?usp=sharing"",""กระบี่!Q49"")+IMPORTRANGE(""https://docs.google.com/spreadsheets/d/1GwtLaSlNZkLk7iDqcyZz22giiy40b_usZZBXYciEN1U/edit?usp=sharing"",""ชุม"&amp;"พร!Q49"")+IMPORTRANGE(""https://docs.google.com/spreadsheets/d/16pAz3pOhQEZBhvFNMa5KGgZS6iKWpsKX0pg6tQmwFpo/edit?usp=sharing"",""ตรัง!Q49"")+IMPORTRANGE(""https://docs.google.com/spreadsheets/d/1Dj4jcHCTV9JXKCaMoheSXS52JE63kDKyG7bPXnFogHk/edit?usp=sharing"&amp;""",""นครศรีธรรมราช!Q49"")+IMPORTRANGE(""https://docs.google.com/spreadsheets/d/1iodCdmuK2GR3jzUwk8tpccY2JHQQA-87DLOtJP-ooyU/edit?usp=sharing"",""นราธิวาส!Q49"")+IMPORTRANGE(""https://docs.google.com/spreadsheets/d/1SDNX3JhDdYRuIOsj0Wh2M-Qa_eaXl0NbWmhAOTbf"&amp;"QAs/edit?usp=sharing"",""ปัตตานี!Q49"")+IMPORTRANGE(""https://docs.google.com/spreadsheets/d/16JDLGguT8s5DsGCND1KcwHP_AWR_zDMTqLHPLJUKhaU/edit?usp=sharing"",""พังงา!Q49"")+IMPORTRANGE(""https://docs.google.com/spreadsheets/d/17ht0gPKzzT3PObBL1XJkeRmntBXI7"&amp;"wGjpLV7QorqlTk/edit?usp=sharing"",""พัทลุง!Q49"")+IMPORTRANGE(""https://docs.google.com/spreadsheets/d/1rd4qoM1q_hsgaolqNGfrim9gbsoLxQsda4-vOz5x_BM/edit?usp=sharing"",""ภูเก็ต!Q49"")+IMPORTRANGE(""https://docs.google.com/spreadsheets/d/1woKwKjgoLssDvPcPeV"&amp;"yezB5izizAn4X1JDrys69n6xI/edit?usp=sharing"",""ยะลา!Q49"")+IMPORTRANGE(""https://docs.google.com/spreadsheets/d/1qfrKjzMhm2HJfxQ-qVlJlJQ25Hne1d0khsySbZyGtPA/edit?usp=sharing"",""ระนอง!Q49"")+IMPORTRANGE(""https://docs.google.com/spreadsheets/d/1IbSCnFOKpZ"&amp;"snFogBHJnL_isstZVaOMnFiIN0fGTPZZw/edit?usp=sharing"",""สงขลา!Q49"")+IMPORTRANGE(""https://docs.google.com/spreadsheets/d/1q9nWasZJ-K8bFGvbE9n0qSRuKGA4Toe3Y89cKCiVtCU/edit?usp=sharing"",""สตูล!Q49"")+IMPORTRANGE(""https://docs.google.com/spreadsheets/d/18T"&amp;"20gbkS_WBjdscyTOV05cvq_JqvqQ17C81mpxf7Ncs/edit?usp=sharing"",""สุราษฎร์ธานี!Q49"")"),0)</f>
        <v>0</v>
      </c>
      <c r="R49" s="47">
        <f ca="1">IFERROR(__xludf.DUMMYFUNCTION("IMPORTRANGE(""https://docs.google.com/spreadsheets/d/1kKUcYdkIfrgTSj8iHHHB2MD2FAtwyyocFgqGQn6ADyI/edit?usp=sharing"",""กระบี่!R49"")+IMPORTRANGE(""https://docs.google.com/spreadsheets/d/1GwtLaSlNZkLk7iDqcyZz22giiy40b_usZZBXYciEN1U/edit?usp=sharing"",""ชุม"&amp;"พร!R49"")+IMPORTRANGE(""https://docs.google.com/spreadsheets/d/16pAz3pOhQEZBhvFNMa5KGgZS6iKWpsKX0pg6tQmwFpo/edit?usp=sharing"",""ตรัง!R49"")+IMPORTRANGE(""https://docs.google.com/spreadsheets/d/1Dj4jcHCTV9JXKCaMoheSXS52JE63kDKyG7bPXnFogHk/edit?usp=sharing"&amp;""",""นครศรีธรรมราช!R49"")+IMPORTRANGE(""https://docs.google.com/spreadsheets/d/1iodCdmuK2GR3jzUwk8tpccY2JHQQA-87DLOtJP-ooyU/edit?usp=sharing"",""นราธิวาส!R49"")+IMPORTRANGE(""https://docs.google.com/spreadsheets/d/1SDNX3JhDdYRuIOsj0Wh2M-Qa_eaXl0NbWmhAOTbf"&amp;"QAs/edit?usp=sharing"",""ปัตตานี!R49"")+IMPORTRANGE(""https://docs.google.com/spreadsheets/d/16JDLGguT8s5DsGCND1KcwHP_AWR_zDMTqLHPLJUKhaU/edit?usp=sharing"",""พังงา!R49"")+IMPORTRANGE(""https://docs.google.com/spreadsheets/d/17ht0gPKzzT3PObBL1XJkeRmntBXI7"&amp;"wGjpLV7QorqlTk/edit?usp=sharing"",""พัทลุง!R49"")+IMPORTRANGE(""https://docs.google.com/spreadsheets/d/1rd4qoM1q_hsgaolqNGfrim9gbsoLxQsda4-vOz5x_BM/edit?usp=sharing"",""ภูเก็ต!R49"")+IMPORTRANGE(""https://docs.google.com/spreadsheets/d/1woKwKjgoLssDvPcPeV"&amp;"yezB5izizAn4X1JDrys69n6xI/edit?usp=sharing"",""ยะลา!R49"")+IMPORTRANGE(""https://docs.google.com/spreadsheets/d/1qfrKjzMhm2HJfxQ-qVlJlJQ25Hne1d0khsySbZyGtPA/edit?usp=sharing"",""ระนอง!R49"")+IMPORTRANGE(""https://docs.google.com/spreadsheets/d/1IbSCnFOKpZ"&amp;"snFogBHJnL_isstZVaOMnFiIN0fGTPZZw/edit?usp=sharing"",""สงขลา!R49"")+IMPORTRANGE(""https://docs.google.com/spreadsheets/d/1q9nWasZJ-K8bFGvbE9n0qSRuKGA4Toe3Y89cKCiVtCU/edit?usp=sharing"",""สตูล!R49"")+IMPORTRANGE(""https://docs.google.com/spreadsheets/d/18T"&amp;"20gbkS_WBjdscyTOV05cvq_JqvqQ17C81mpxf7Ncs/edit?usp=sharing"",""สุราษฎร์ธานี!R49"")"),0)</f>
        <v>0</v>
      </c>
      <c r="S49" s="47">
        <f ca="1">IFERROR(__xludf.DUMMYFUNCTION("IMPORTRANGE(""https://docs.google.com/spreadsheets/d/1kKUcYdkIfrgTSj8iHHHB2MD2FAtwyyocFgqGQn6ADyI/edit?usp=sharing"",""กระบี่!S49"")+IMPORTRANGE(""https://docs.google.com/spreadsheets/d/1GwtLaSlNZkLk7iDqcyZz22giiy40b_usZZBXYciEN1U/edit?usp=sharing"",""ชุม"&amp;"พร!S49"")+IMPORTRANGE(""https://docs.google.com/spreadsheets/d/16pAz3pOhQEZBhvFNMa5KGgZS6iKWpsKX0pg6tQmwFpo/edit?usp=sharing"",""ตรัง!S49"")+IMPORTRANGE(""https://docs.google.com/spreadsheets/d/1Dj4jcHCTV9JXKCaMoheSXS52JE63kDKyG7bPXnFogHk/edit?usp=sharing"&amp;""",""นครศรีธรรมราช!S49"")+IMPORTRANGE(""https://docs.google.com/spreadsheets/d/1iodCdmuK2GR3jzUwk8tpccY2JHQQA-87DLOtJP-ooyU/edit?usp=sharing"",""นราธิวาส!S49"")+IMPORTRANGE(""https://docs.google.com/spreadsheets/d/1SDNX3JhDdYRuIOsj0Wh2M-Qa_eaXl0NbWmhAOTbf"&amp;"QAs/edit?usp=sharing"",""ปัตตานี!S49"")+IMPORTRANGE(""https://docs.google.com/spreadsheets/d/16JDLGguT8s5DsGCND1KcwHP_AWR_zDMTqLHPLJUKhaU/edit?usp=sharing"",""พังงา!S49"")+IMPORTRANGE(""https://docs.google.com/spreadsheets/d/17ht0gPKzzT3PObBL1XJkeRmntBXI7"&amp;"wGjpLV7QorqlTk/edit?usp=sharing"",""พัทลุง!S49"")+IMPORTRANGE(""https://docs.google.com/spreadsheets/d/1rd4qoM1q_hsgaolqNGfrim9gbsoLxQsda4-vOz5x_BM/edit?usp=sharing"",""ภูเก็ต!S49"")+IMPORTRANGE(""https://docs.google.com/spreadsheets/d/1woKwKjgoLssDvPcPeV"&amp;"yezB5izizAn4X1JDrys69n6xI/edit?usp=sharing"",""ยะลา!S49"")+IMPORTRANGE(""https://docs.google.com/spreadsheets/d/1qfrKjzMhm2HJfxQ-qVlJlJQ25Hne1d0khsySbZyGtPA/edit?usp=sharing"",""ระนอง!S49"")+IMPORTRANGE(""https://docs.google.com/spreadsheets/d/1IbSCnFOKpZ"&amp;"snFogBHJnL_isstZVaOMnFiIN0fGTPZZw/edit?usp=sharing"",""สงขลา!S49"")+IMPORTRANGE(""https://docs.google.com/spreadsheets/d/1q9nWasZJ-K8bFGvbE9n0qSRuKGA4Toe3Y89cKCiVtCU/edit?usp=sharing"",""สตูล!S49"")+IMPORTRANGE(""https://docs.google.com/spreadsheets/d/18T"&amp;"20gbkS_WBjdscyTOV05cvq_JqvqQ17C81mpxf7Ncs/edit?usp=sharing"",""สุราษฎร์ธานี!S49"")"),0)</f>
        <v>0</v>
      </c>
      <c r="T49" s="47">
        <f t="shared" ca="1" si="26"/>
        <v>0</v>
      </c>
      <c r="U49" s="47">
        <f t="shared" ca="1" si="27"/>
        <v>0</v>
      </c>
    </row>
    <row r="50" spans="1:21" ht="18.75" x14ac:dyDescent="0.25">
      <c r="A50" s="40"/>
      <c r="B50" s="41"/>
      <c r="C50" s="41"/>
      <c r="D50" s="50" t="s">
        <v>23</v>
      </c>
      <c r="E50" s="41"/>
      <c r="F50" s="41"/>
      <c r="G50" s="43"/>
      <c r="H50" s="44" t="s">
        <v>14</v>
      </c>
      <c r="I50" s="45"/>
      <c r="J50" s="45"/>
      <c r="K50" s="46"/>
      <c r="L50" s="47">
        <f t="shared" ref="L50:N50" ca="1" si="34">L51+L52</f>
        <v>0</v>
      </c>
      <c r="M50" s="47">
        <f t="shared" ca="1" si="34"/>
        <v>0</v>
      </c>
      <c r="N50" s="47">
        <f t="shared" ca="1" si="34"/>
        <v>0</v>
      </c>
      <c r="O50" s="47">
        <f t="shared" ca="1" si="23"/>
        <v>0</v>
      </c>
      <c r="P50" s="47">
        <f t="shared" ca="1" si="24"/>
        <v>0</v>
      </c>
      <c r="Q50" s="47">
        <f t="shared" ref="Q50:S50" ca="1" si="35">Q51+Q52</f>
        <v>0</v>
      </c>
      <c r="R50" s="47">
        <f t="shared" ca="1" si="35"/>
        <v>0</v>
      </c>
      <c r="S50" s="47">
        <f t="shared" ca="1" si="35"/>
        <v>0</v>
      </c>
      <c r="T50" s="47">
        <f t="shared" ca="1" si="26"/>
        <v>0</v>
      </c>
      <c r="U50" s="47">
        <f t="shared" ca="1" si="27"/>
        <v>0</v>
      </c>
    </row>
    <row r="51" spans="1:21" ht="18.75" hidden="1" x14ac:dyDescent="0.25">
      <c r="A51" s="40"/>
      <c r="B51" s="41"/>
      <c r="C51" s="41"/>
      <c r="D51" s="41"/>
      <c r="E51" s="48" t="s">
        <v>20</v>
      </c>
      <c r="F51" s="41"/>
      <c r="G51" s="43"/>
      <c r="H51" s="44" t="s">
        <v>14</v>
      </c>
      <c r="I51" s="45"/>
      <c r="J51" s="45"/>
      <c r="K51" s="46"/>
      <c r="L51" s="49">
        <v>0</v>
      </c>
      <c r="M51" s="49">
        <v>0</v>
      </c>
      <c r="N51" s="49">
        <v>0</v>
      </c>
      <c r="O51" s="49">
        <f t="shared" si="23"/>
        <v>0</v>
      </c>
      <c r="P51" s="49">
        <f t="shared" si="24"/>
        <v>0</v>
      </c>
      <c r="Q51" s="49">
        <v>0</v>
      </c>
      <c r="R51" s="49">
        <v>0</v>
      </c>
      <c r="S51" s="49">
        <v>0</v>
      </c>
      <c r="T51" s="49">
        <f t="shared" si="26"/>
        <v>0</v>
      </c>
      <c r="U51" s="49">
        <f t="shared" si="27"/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7">
        <f ca="1">IFERROR(__xludf.DUMMYFUNCTION("IMPORTRANGE(""https://docs.google.com/spreadsheets/d/1kKUcYdkIfrgTSj8iHHHB2MD2FAtwyyocFgqGQn6ADyI/edit?usp=sharing"",""กระบี่!L52"")+IMPORTRANGE(""https://docs.google.com/spreadsheets/d/1GwtLaSlNZkLk7iDqcyZz22giiy40b_usZZBXYciEN1U/edit?usp=sharing"",""ชุม"&amp;"พร!L52"")+IMPORTRANGE(""https://docs.google.com/spreadsheets/d/16pAz3pOhQEZBhvFNMa5KGgZS6iKWpsKX0pg6tQmwFpo/edit?usp=sharing"",""ตรัง!L52"")+IMPORTRANGE(""https://docs.google.com/spreadsheets/d/1Dj4jcHCTV9JXKCaMoheSXS52JE63kDKyG7bPXnFogHk/edit?usp=sharing"&amp;""",""นครศรีธรรมราช!L52"")+IMPORTRANGE(""https://docs.google.com/spreadsheets/d/1iodCdmuK2GR3jzUwk8tpccY2JHQQA-87DLOtJP-ooyU/edit?usp=sharing"",""นราธิวาส!L52"")+IMPORTRANGE(""https://docs.google.com/spreadsheets/d/1SDNX3JhDdYRuIOsj0Wh2M-Qa_eaXl0NbWmhAOTbf"&amp;"QAs/edit?usp=sharing"",""ปัตตานี!L52"")+IMPORTRANGE(""https://docs.google.com/spreadsheets/d/16JDLGguT8s5DsGCND1KcwHP_AWR_zDMTqLHPLJUKhaU/edit?usp=sharing"",""พังงา!L52"")+IMPORTRANGE(""https://docs.google.com/spreadsheets/d/17ht0gPKzzT3PObBL1XJkeRmntBXI7"&amp;"wGjpLV7QorqlTk/edit?usp=sharing"",""พัทลุง!L52"")+IMPORTRANGE(""https://docs.google.com/spreadsheets/d/1rd4qoM1q_hsgaolqNGfrim9gbsoLxQsda4-vOz5x_BM/edit?usp=sharing"",""ภูเก็ต!L52"")+IMPORTRANGE(""https://docs.google.com/spreadsheets/d/1woKwKjgoLssDvPcPeV"&amp;"yezB5izizAn4X1JDrys69n6xI/edit?usp=sharing"",""ยะลา!L52"")+IMPORTRANGE(""https://docs.google.com/spreadsheets/d/1qfrKjzMhm2HJfxQ-qVlJlJQ25Hne1d0khsySbZyGtPA/edit?usp=sharing"",""ระนอง!L52"")+IMPORTRANGE(""https://docs.google.com/spreadsheets/d/1IbSCnFOKpZ"&amp;"snFogBHJnL_isstZVaOMnFiIN0fGTPZZw/edit?usp=sharing"",""สงขลา!L52"")+IMPORTRANGE(""https://docs.google.com/spreadsheets/d/1q9nWasZJ-K8bFGvbE9n0qSRuKGA4Toe3Y89cKCiVtCU/edit?usp=sharing"",""สตูล!L52"")+IMPORTRANGE(""https://docs.google.com/spreadsheets/d/18T"&amp;"20gbkS_WBjdscyTOV05cvq_JqvqQ17C81mpxf7Ncs/edit?usp=sharing"",""สุราษฎร์ธานี!L52"")"),0)</f>
        <v>0</v>
      </c>
      <c r="M52" s="47">
        <f ca="1">IFERROR(__xludf.DUMMYFUNCTION("IMPORTRANGE(""https://docs.google.com/spreadsheets/d/1kKUcYdkIfrgTSj8iHHHB2MD2FAtwyyocFgqGQn6ADyI/edit?usp=sharing"",""กระบี่!M52"")+IMPORTRANGE(""https://docs.google.com/spreadsheets/d/1GwtLaSlNZkLk7iDqcyZz22giiy40b_usZZBXYciEN1U/edit?usp=sharing"",""ชุม"&amp;"พร!M52"")+IMPORTRANGE(""https://docs.google.com/spreadsheets/d/16pAz3pOhQEZBhvFNMa5KGgZS6iKWpsKX0pg6tQmwFpo/edit?usp=sharing"",""ตรัง!M52"")+IMPORTRANGE(""https://docs.google.com/spreadsheets/d/1Dj4jcHCTV9JXKCaMoheSXS52JE63kDKyG7bPXnFogHk/edit?usp=sharing"&amp;""",""นครศรีธรรมราช!M52"")+IMPORTRANGE(""https://docs.google.com/spreadsheets/d/1iodCdmuK2GR3jzUwk8tpccY2JHQQA-87DLOtJP-ooyU/edit?usp=sharing"",""นราธิวาส!M52"")+IMPORTRANGE(""https://docs.google.com/spreadsheets/d/1SDNX3JhDdYRuIOsj0Wh2M-Qa_eaXl0NbWmhAOTbf"&amp;"QAs/edit?usp=sharing"",""ปัตตานี!M52"")+IMPORTRANGE(""https://docs.google.com/spreadsheets/d/16JDLGguT8s5DsGCND1KcwHP_AWR_zDMTqLHPLJUKhaU/edit?usp=sharing"",""พังงา!M52"")+IMPORTRANGE(""https://docs.google.com/spreadsheets/d/17ht0gPKzzT3PObBL1XJkeRmntBXI7"&amp;"wGjpLV7QorqlTk/edit?usp=sharing"",""พัทลุง!M52"")+IMPORTRANGE(""https://docs.google.com/spreadsheets/d/1rd4qoM1q_hsgaolqNGfrim9gbsoLxQsda4-vOz5x_BM/edit?usp=sharing"",""ภูเก็ต!M52"")+IMPORTRANGE(""https://docs.google.com/spreadsheets/d/1woKwKjgoLssDvPcPeV"&amp;"yezB5izizAn4X1JDrys69n6xI/edit?usp=sharing"",""ยะลา!M52"")+IMPORTRANGE(""https://docs.google.com/spreadsheets/d/1qfrKjzMhm2HJfxQ-qVlJlJQ25Hne1d0khsySbZyGtPA/edit?usp=sharing"",""ระนอง!M52"")+IMPORTRANGE(""https://docs.google.com/spreadsheets/d/1IbSCnFOKpZ"&amp;"snFogBHJnL_isstZVaOMnFiIN0fGTPZZw/edit?usp=sharing"",""สงขลา!M52"")+IMPORTRANGE(""https://docs.google.com/spreadsheets/d/1q9nWasZJ-K8bFGvbE9n0qSRuKGA4Toe3Y89cKCiVtCU/edit?usp=sharing"",""สตูล!M52"")+IMPORTRANGE(""https://docs.google.com/spreadsheets/d/18T"&amp;"20gbkS_WBjdscyTOV05cvq_JqvqQ17C81mpxf7Ncs/edit?usp=sharing"",""สุราษฎร์ธานี!M52"")"),0)</f>
        <v>0</v>
      </c>
      <c r="N52" s="47">
        <f ca="1">IFERROR(__xludf.DUMMYFUNCTION("IMPORTRANGE(""https://docs.google.com/spreadsheets/d/1kKUcYdkIfrgTSj8iHHHB2MD2FAtwyyocFgqGQn6ADyI/edit?usp=sharing"",""กระบี่!N52"")+IMPORTRANGE(""https://docs.google.com/spreadsheets/d/1GwtLaSlNZkLk7iDqcyZz22giiy40b_usZZBXYciEN1U/edit?usp=sharing"",""ชุม"&amp;"พร!N52"")+IMPORTRANGE(""https://docs.google.com/spreadsheets/d/16pAz3pOhQEZBhvFNMa5KGgZS6iKWpsKX0pg6tQmwFpo/edit?usp=sharing"",""ตรัง!N52"")+IMPORTRANGE(""https://docs.google.com/spreadsheets/d/1Dj4jcHCTV9JXKCaMoheSXS52JE63kDKyG7bPXnFogHk/edit?usp=sharing"&amp;""",""นครศรีธรรมราช!N52"")+IMPORTRANGE(""https://docs.google.com/spreadsheets/d/1iodCdmuK2GR3jzUwk8tpccY2JHQQA-87DLOtJP-ooyU/edit?usp=sharing"",""นราธิวาส!N52"")+IMPORTRANGE(""https://docs.google.com/spreadsheets/d/1SDNX3JhDdYRuIOsj0Wh2M-Qa_eaXl0NbWmhAOTbf"&amp;"QAs/edit?usp=sharing"",""ปัตตานี!N52"")+IMPORTRANGE(""https://docs.google.com/spreadsheets/d/16JDLGguT8s5DsGCND1KcwHP_AWR_zDMTqLHPLJUKhaU/edit?usp=sharing"",""พังงา!N52"")+IMPORTRANGE(""https://docs.google.com/spreadsheets/d/17ht0gPKzzT3PObBL1XJkeRmntBXI7"&amp;"wGjpLV7QorqlTk/edit?usp=sharing"",""พัทลุง!N52"")+IMPORTRANGE(""https://docs.google.com/spreadsheets/d/1rd4qoM1q_hsgaolqNGfrim9gbsoLxQsda4-vOz5x_BM/edit?usp=sharing"",""ภูเก็ต!N52"")+IMPORTRANGE(""https://docs.google.com/spreadsheets/d/1woKwKjgoLssDvPcPeV"&amp;"yezB5izizAn4X1JDrys69n6xI/edit?usp=sharing"",""ยะลา!N52"")+IMPORTRANGE(""https://docs.google.com/spreadsheets/d/1qfrKjzMhm2HJfxQ-qVlJlJQ25Hne1d0khsySbZyGtPA/edit?usp=sharing"",""ระนอง!N52"")+IMPORTRANGE(""https://docs.google.com/spreadsheets/d/1IbSCnFOKpZ"&amp;"snFogBHJnL_isstZVaOMnFiIN0fGTPZZw/edit?usp=sharing"",""สงขลา!N52"")+IMPORTRANGE(""https://docs.google.com/spreadsheets/d/1q9nWasZJ-K8bFGvbE9n0qSRuKGA4Toe3Y89cKCiVtCU/edit?usp=sharing"",""สตูล!N52"")+IMPORTRANGE(""https://docs.google.com/spreadsheets/d/18T"&amp;"20gbkS_WBjdscyTOV05cvq_JqvqQ17C81mpxf7Ncs/edit?usp=sharing"",""สุราษฎร์ธานี!N52"")"),0)</f>
        <v>0</v>
      </c>
      <c r="O52" s="47">
        <f t="shared" ca="1" si="23"/>
        <v>0</v>
      </c>
      <c r="P52" s="47">
        <f t="shared" ca="1" si="24"/>
        <v>0</v>
      </c>
      <c r="Q52" s="47">
        <f ca="1">IFERROR(__xludf.DUMMYFUNCTION("IMPORTRANGE(""https://docs.google.com/spreadsheets/d/1kKUcYdkIfrgTSj8iHHHB2MD2FAtwyyocFgqGQn6ADyI/edit?usp=sharing"",""กระบี่!Q52"")+IMPORTRANGE(""https://docs.google.com/spreadsheets/d/1GwtLaSlNZkLk7iDqcyZz22giiy40b_usZZBXYciEN1U/edit?usp=sharing"",""ชุม"&amp;"พร!Q52"")+IMPORTRANGE(""https://docs.google.com/spreadsheets/d/16pAz3pOhQEZBhvFNMa5KGgZS6iKWpsKX0pg6tQmwFpo/edit?usp=sharing"",""ตรัง!Q52"")+IMPORTRANGE(""https://docs.google.com/spreadsheets/d/1Dj4jcHCTV9JXKCaMoheSXS52JE63kDKyG7bPXnFogHk/edit?usp=sharing"&amp;""",""นครศรีธรรมราช!Q52"")+IMPORTRANGE(""https://docs.google.com/spreadsheets/d/1iodCdmuK2GR3jzUwk8tpccY2JHQQA-87DLOtJP-ooyU/edit?usp=sharing"",""นราธิวาส!Q52"")+IMPORTRANGE(""https://docs.google.com/spreadsheets/d/1SDNX3JhDdYRuIOsj0Wh2M-Qa_eaXl0NbWmhAOTbf"&amp;"QAs/edit?usp=sharing"",""ปัตตานี!Q52"")+IMPORTRANGE(""https://docs.google.com/spreadsheets/d/16JDLGguT8s5DsGCND1KcwHP_AWR_zDMTqLHPLJUKhaU/edit?usp=sharing"",""พังงา!Q52"")+IMPORTRANGE(""https://docs.google.com/spreadsheets/d/17ht0gPKzzT3PObBL1XJkeRmntBXI7"&amp;"wGjpLV7QorqlTk/edit?usp=sharing"",""พัทลุง!Q52"")+IMPORTRANGE(""https://docs.google.com/spreadsheets/d/1rd4qoM1q_hsgaolqNGfrim9gbsoLxQsda4-vOz5x_BM/edit?usp=sharing"",""ภูเก็ต!Q52"")+IMPORTRANGE(""https://docs.google.com/spreadsheets/d/1woKwKjgoLssDvPcPeV"&amp;"yezB5izizAn4X1JDrys69n6xI/edit?usp=sharing"",""ยะลา!Q52"")+IMPORTRANGE(""https://docs.google.com/spreadsheets/d/1qfrKjzMhm2HJfxQ-qVlJlJQ25Hne1d0khsySbZyGtPA/edit?usp=sharing"",""ระนอง!Q52"")+IMPORTRANGE(""https://docs.google.com/spreadsheets/d/1IbSCnFOKpZ"&amp;"snFogBHJnL_isstZVaOMnFiIN0fGTPZZw/edit?usp=sharing"",""สงขลา!Q52"")+IMPORTRANGE(""https://docs.google.com/spreadsheets/d/1q9nWasZJ-K8bFGvbE9n0qSRuKGA4Toe3Y89cKCiVtCU/edit?usp=sharing"",""สตูล!Q52"")+IMPORTRANGE(""https://docs.google.com/spreadsheets/d/18T"&amp;"20gbkS_WBjdscyTOV05cvq_JqvqQ17C81mpxf7Ncs/edit?usp=sharing"",""สุราษฎร์ธานี!Q52"")"),0)</f>
        <v>0</v>
      </c>
      <c r="R52" s="47">
        <f ca="1">IFERROR(__xludf.DUMMYFUNCTION("IMPORTRANGE(""https://docs.google.com/spreadsheets/d/1kKUcYdkIfrgTSj8iHHHB2MD2FAtwyyocFgqGQn6ADyI/edit?usp=sharing"",""กระบี่!R52"")+IMPORTRANGE(""https://docs.google.com/spreadsheets/d/1GwtLaSlNZkLk7iDqcyZz22giiy40b_usZZBXYciEN1U/edit?usp=sharing"",""ชุม"&amp;"พร!R52"")+IMPORTRANGE(""https://docs.google.com/spreadsheets/d/16pAz3pOhQEZBhvFNMa5KGgZS6iKWpsKX0pg6tQmwFpo/edit?usp=sharing"",""ตรัง!R52"")+IMPORTRANGE(""https://docs.google.com/spreadsheets/d/1Dj4jcHCTV9JXKCaMoheSXS52JE63kDKyG7bPXnFogHk/edit?usp=sharing"&amp;""",""นครศรีธรรมราช!R52"")+IMPORTRANGE(""https://docs.google.com/spreadsheets/d/1iodCdmuK2GR3jzUwk8tpccY2JHQQA-87DLOtJP-ooyU/edit?usp=sharing"",""นราธิวาส!R52"")+IMPORTRANGE(""https://docs.google.com/spreadsheets/d/1SDNX3JhDdYRuIOsj0Wh2M-Qa_eaXl0NbWmhAOTbf"&amp;"QAs/edit?usp=sharing"",""ปัตตานี!R52"")+IMPORTRANGE(""https://docs.google.com/spreadsheets/d/16JDLGguT8s5DsGCND1KcwHP_AWR_zDMTqLHPLJUKhaU/edit?usp=sharing"",""พังงา!R52"")+IMPORTRANGE(""https://docs.google.com/spreadsheets/d/17ht0gPKzzT3PObBL1XJkeRmntBXI7"&amp;"wGjpLV7QorqlTk/edit?usp=sharing"",""พัทลุง!R52"")+IMPORTRANGE(""https://docs.google.com/spreadsheets/d/1rd4qoM1q_hsgaolqNGfrim9gbsoLxQsda4-vOz5x_BM/edit?usp=sharing"",""ภูเก็ต!R52"")+IMPORTRANGE(""https://docs.google.com/spreadsheets/d/1woKwKjgoLssDvPcPeV"&amp;"yezB5izizAn4X1JDrys69n6xI/edit?usp=sharing"",""ยะลา!R52"")+IMPORTRANGE(""https://docs.google.com/spreadsheets/d/1qfrKjzMhm2HJfxQ-qVlJlJQ25Hne1d0khsySbZyGtPA/edit?usp=sharing"",""ระนอง!R52"")+IMPORTRANGE(""https://docs.google.com/spreadsheets/d/1IbSCnFOKpZ"&amp;"snFogBHJnL_isstZVaOMnFiIN0fGTPZZw/edit?usp=sharing"",""สงขลา!R52"")+IMPORTRANGE(""https://docs.google.com/spreadsheets/d/1q9nWasZJ-K8bFGvbE9n0qSRuKGA4Toe3Y89cKCiVtCU/edit?usp=sharing"",""สตูล!R52"")+IMPORTRANGE(""https://docs.google.com/spreadsheets/d/18T"&amp;"20gbkS_WBjdscyTOV05cvq_JqvqQ17C81mpxf7Ncs/edit?usp=sharing"",""สุราษฎร์ธานี!R52"")"),0)</f>
        <v>0</v>
      </c>
      <c r="S52" s="47">
        <f ca="1">IFERROR(__xludf.DUMMYFUNCTION("IMPORTRANGE(""https://docs.google.com/spreadsheets/d/1kKUcYdkIfrgTSj8iHHHB2MD2FAtwyyocFgqGQn6ADyI/edit?usp=sharing"",""กระบี่!S52"")+IMPORTRANGE(""https://docs.google.com/spreadsheets/d/1GwtLaSlNZkLk7iDqcyZz22giiy40b_usZZBXYciEN1U/edit?usp=sharing"",""ชุม"&amp;"พร!S52"")+IMPORTRANGE(""https://docs.google.com/spreadsheets/d/16pAz3pOhQEZBhvFNMa5KGgZS6iKWpsKX0pg6tQmwFpo/edit?usp=sharing"",""ตรัง!S52"")+IMPORTRANGE(""https://docs.google.com/spreadsheets/d/1Dj4jcHCTV9JXKCaMoheSXS52JE63kDKyG7bPXnFogHk/edit?usp=sharing"&amp;""",""นครศรีธรรมราช!S52"")+IMPORTRANGE(""https://docs.google.com/spreadsheets/d/1iodCdmuK2GR3jzUwk8tpccY2JHQQA-87DLOtJP-ooyU/edit?usp=sharing"",""นราธิวาส!S52"")+IMPORTRANGE(""https://docs.google.com/spreadsheets/d/1SDNX3JhDdYRuIOsj0Wh2M-Qa_eaXl0NbWmhAOTbf"&amp;"QAs/edit?usp=sharing"",""ปัตตานี!S52"")+IMPORTRANGE(""https://docs.google.com/spreadsheets/d/16JDLGguT8s5DsGCND1KcwHP_AWR_zDMTqLHPLJUKhaU/edit?usp=sharing"",""พังงา!S52"")+IMPORTRANGE(""https://docs.google.com/spreadsheets/d/17ht0gPKzzT3PObBL1XJkeRmntBXI7"&amp;"wGjpLV7QorqlTk/edit?usp=sharing"",""พัทลุง!S52"")+IMPORTRANGE(""https://docs.google.com/spreadsheets/d/1rd4qoM1q_hsgaolqNGfrim9gbsoLxQsda4-vOz5x_BM/edit?usp=sharing"",""ภูเก็ต!S52"")+IMPORTRANGE(""https://docs.google.com/spreadsheets/d/1woKwKjgoLssDvPcPeV"&amp;"yezB5izizAn4X1JDrys69n6xI/edit?usp=sharing"",""ยะลา!S52"")+IMPORTRANGE(""https://docs.google.com/spreadsheets/d/1qfrKjzMhm2HJfxQ-qVlJlJQ25Hne1d0khsySbZyGtPA/edit?usp=sharing"",""ระนอง!S52"")+IMPORTRANGE(""https://docs.google.com/spreadsheets/d/1IbSCnFOKpZ"&amp;"snFogBHJnL_isstZVaOMnFiIN0fGTPZZw/edit?usp=sharing"",""สงขลา!S52"")+IMPORTRANGE(""https://docs.google.com/spreadsheets/d/1q9nWasZJ-K8bFGvbE9n0qSRuKGA4Toe3Y89cKCiVtCU/edit?usp=sharing"",""สตูล!S52"")+IMPORTRANGE(""https://docs.google.com/spreadsheets/d/18T"&amp;"20gbkS_WBjdscyTOV05cvq_JqvqQ17C81mpxf7Ncs/edit?usp=sharing"",""สุราษฎร์ธานี!S52"")"),0)</f>
        <v>0</v>
      </c>
      <c r="T52" s="47">
        <f t="shared" ca="1" si="26"/>
        <v>0</v>
      </c>
      <c r="U52" s="47">
        <f t="shared" ca="1" si="27"/>
        <v>0</v>
      </c>
    </row>
    <row r="53" spans="1:21" ht="18.75" x14ac:dyDescent="0.25">
      <c r="A53" s="40"/>
      <c r="B53" s="41"/>
      <c r="C53" s="41"/>
      <c r="D53" s="50" t="s">
        <v>24</v>
      </c>
      <c r="E53" s="41"/>
      <c r="F53" s="41"/>
      <c r="G53" s="43"/>
      <c r="H53" s="44" t="s">
        <v>14</v>
      </c>
      <c r="I53" s="45"/>
      <c r="J53" s="45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48" t="s">
        <v>20</v>
      </c>
      <c r="F54" s="41"/>
      <c r="G54" s="43"/>
      <c r="H54" s="44" t="s">
        <v>14</v>
      </c>
      <c r="I54" s="45"/>
      <c r="J54" s="45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101" t="s">
        <v>19</v>
      </c>
      <c r="E59" s="99"/>
      <c r="F59" s="99"/>
      <c r="G59" s="102"/>
      <c r="H59" s="103" t="s">
        <v>14</v>
      </c>
      <c r="I59" s="104"/>
      <c r="J59" s="104"/>
      <c r="K59" s="105"/>
      <c r="L59" s="106">
        <f t="shared" ref="L59:N59" ca="1" si="36">L60+L61</f>
        <v>24879700</v>
      </c>
      <c r="M59" s="106">
        <f t="shared" ca="1" si="36"/>
        <v>25257722</v>
      </c>
      <c r="N59" s="106">
        <f t="shared" ca="1" si="36"/>
        <v>8257203.6799999895</v>
      </c>
      <c r="O59" s="106">
        <f t="shared" ref="O59:O67" ca="1" si="37">IF(L59&gt;0,N59*100/L59,0)</f>
        <v>33.188517867980678</v>
      </c>
      <c r="P59" s="106">
        <f t="shared" ref="P59:P67" ca="1" si="38">IF(M59&gt;0,N59*100/M59,0)</f>
        <v>32.69179888827658</v>
      </c>
      <c r="Q59" s="106">
        <f t="shared" ref="Q59:S59" ca="1" si="39">Q60+Q61</f>
        <v>0</v>
      </c>
      <c r="R59" s="106">
        <f t="shared" ca="1" si="39"/>
        <v>0</v>
      </c>
      <c r="S59" s="106">
        <f t="shared" ca="1" si="39"/>
        <v>0</v>
      </c>
      <c r="T59" s="106">
        <f t="shared" ref="T59:T67" ca="1" si="40">IF(Q59&gt;0,S59*100/Q59,0)</f>
        <v>0</v>
      </c>
      <c r="U59" s="106">
        <f t="shared" ref="U59:U67" ca="1" si="41">IF(R59&gt;0,S59*100/R59,0)</f>
        <v>0</v>
      </c>
    </row>
    <row r="60" spans="1:21" ht="18.75" hidden="1" x14ac:dyDescent="0.25">
      <c r="A60" s="98"/>
      <c r="B60" s="99"/>
      <c r="C60" s="99"/>
      <c r="D60" s="99"/>
      <c r="E60" s="107" t="s">
        <v>20</v>
      </c>
      <c r="F60" s="99"/>
      <c r="G60" s="102"/>
      <c r="H60" s="108" t="s">
        <v>14</v>
      </c>
      <c r="I60" s="104"/>
      <c r="J60" s="104"/>
      <c r="K60" s="105"/>
      <c r="L60" s="109">
        <f t="shared" ref="L60:N60" ca="1" si="42">L63+L66</f>
        <v>0</v>
      </c>
      <c r="M60" s="109">
        <f t="shared" ca="1" si="42"/>
        <v>0</v>
      </c>
      <c r="N60" s="109">
        <f t="shared" ca="1" si="42"/>
        <v>0</v>
      </c>
      <c r="O60" s="109">
        <f t="shared" ca="1" si="37"/>
        <v>0</v>
      </c>
      <c r="P60" s="109">
        <f t="shared" ca="1" si="38"/>
        <v>0</v>
      </c>
      <c r="Q60" s="109">
        <f t="shared" ref="Q60:S60" ca="1" si="43">Q63+Q66</f>
        <v>0</v>
      </c>
      <c r="R60" s="109">
        <f t="shared" ca="1" si="43"/>
        <v>0</v>
      </c>
      <c r="S60" s="109">
        <f t="shared" ca="1" si="43"/>
        <v>0</v>
      </c>
      <c r="T60" s="110">
        <f t="shared" ca="1" si="40"/>
        <v>0</v>
      </c>
      <c r="U60" s="110">
        <f t="shared" ca="1" si="41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109">
        <f t="shared" ref="L61:N61" ca="1" si="44">L64+L67</f>
        <v>24879700</v>
      </c>
      <c r="M61" s="109">
        <f t="shared" ca="1" si="44"/>
        <v>25257722</v>
      </c>
      <c r="N61" s="109">
        <f t="shared" ca="1" si="44"/>
        <v>8257203.6799999895</v>
      </c>
      <c r="O61" s="109">
        <f t="shared" ca="1" si="37"/>
        <v>33.188517867980678</v>
      </c>
      <c r="P61" s="109">
        <f t="shared" ca="1" si="38"/>
        <v>32.69179888827658</v>
      </c>
      <c r="Q61" s="109">
        <f t="shared" ref="Q61:S61" ca="1" si="45">Q64+Q67</f>
        <v>0</v>
      </c>
      <c r="R61" s="109">
        <f t="shared" ca="1" si="45"/>
        <v>0</v>
      </c>
      <c r="S61" s="109">
        <f t="shared" ca="1" si="45"/>
        <v>0</v>
      </c>
      <c r="T61" s="109">
        <f t="shared" ca="1" si="40"/>
        <v>0</v>
      </c>
      <c r="U61" s="109">
        <f t="shared" ca="1" si="41"/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7">
        <f t="shared" ref="L62:N62" ca="1" si="46">L63+L64</f>
        <v>8933700</v>
      </c>
      <c r="M62" s="47">
        <f t="shared" ca="1" si="46"/>
        <v>9411722</v>
      </c>
      <c r="N62" s="47">
        <f t="shared" ca="1" si="46"/>
        <v>6719607.2899999898</v>
      </c>
      <c r="O62" s="47">
        <f t="shared" ca="1" si="37"/>
        <v>75.21639734936241</v>
      </c>
      <c r="P62" s="47">
        <f t="shared" ca="1" si="38"/>
        <v>71.396151416286941</v>
      </c>
      <c r="Q62" s="47">
        <f t="shared" ref="Q62:S62" ca="1" si="47">Q63+Q64</f>
        <v>0</v>
      </c>
      <c r="R62" s="47">
        <f t="shared" ca="1" si="47"/>
        <v>0</v>
      </c>
      <c r="S62" s="47">
        <f t="shared" ca="1" si="47"/>
        <v>0</v>
      </c>
      <c r="T62" s="47">
        <f t="shared" ca="1" si="40"/>
        <v>0</v>
      </c>
      <c r="U62" s="47">
        <f t="shared" ca="1" si="41"/>
        <v>0</v>
      </c>
    </row>
    <row r="63" spans="1:21" ht="18.75" hidden="1" x14ac:dyDescent="0.25">
      <c r="A63" s="40"/>
      <c r="B63" s="41"/>
      <c r="C63" s="41"/>
      <c r="D63" s="41"/>
      <c r="E63" s="48" t="s">
        <v>20</v>
      </c>
      <c r="F63" s="41"/>
      <c r="G63" s="43"/>
      <c r="H63" s="44" t="s">
        <v>14</v>
      </c>
      <c r="I63" s="45"/>
      <c r="J63" s="45"/>
      <c r="K63" s="46"/>
      <c r="L63" s="47">
        <f ca="1">IFERROR(__xludf.DUMMYFUNCTION("IMPORTRANGE(""https://docs.google.com/spreadsheets/d/1kKUcYdkIfrgTSj8iHHHB2MD2FAtwyyocFgqGQn6ADyI/edit?usp=sharing"",""กระบี่!L63"")+IMPORTRANGE(""https://docs.google.com/spreadsheets/d/1GwtLaSlNZkLk7iDqcyZz22giiy40b_usZZBXYciEN1U/edit?usp=sharing"",""ชุม"&amp;"พร!L63"")+IMPORTRANGE(""https://docs.google.com/spreadsheets/d/16pAz3pOhQEZBhvFNMa5KGgZS6iKWpsKX0pg6tQmwFpo/edit?usp=sharing"",""ตรัง!L63"")+IMPORTRANGE(""https://docs.google.com/spreadsheets/d/1Dj4jcHCTV9JXKCaMoheSXS52JE63kDKyG7bPXnFogHk/edit?usp=sharing"&amp;""",""นครศรีธรรมราช!L63"")+IMPORTRANGE(""https://docs.google.com/spreadsheets/d/1iodCdmuK2GR3jzUwk8tpccY2JHQQA-87DLOtJP-ooyU/edit?usp=sharing"",""นราธิวาส!L63"")+IMPORTRANGE(""https://docs.google.com/spreadsheets/d/1SDNX3JhDdYRuIOsj0Wh2M-Qa_eaXl0NbWmhAOTbf"&amp;"QAs/edit?usp=sharing"",""ปัตตานี!L63"")+IMPORTRANGE(""https://docs.google.com/spreadsheets/d/16JDLGguT8s5DsGCND1KcwHP_AWR_zDMTqLHPLJUKhaU/edit?usp=sharing"",""พังงา!L63"")+IMPORTRANGE(""https://docs.google.com/spreadsheets/d/17ht0gPKzzT3PObBL1XJkeRmntBXI7"&amp;"wGjpLV7QorqlTk/edit?usp=sharing"",""พัทลุง!L63"")+IMPORTRANGE(""https://docs.google.com/spreadsheets/d/1rd4qoM1q_hsgaolqNGfrim9gbsoLxQsda4-vOz5x_BM/edit?usp=sharing"",""ภูเก็ต!L63"")+IMPORTRANGE(""https://docs.google.com/spreadsheets/d/1woKwKjgoLssDvPcPeV"&amp;"yezB5izizAn4X1JDrys69n6xI/edit?usp=sharing"",""ยะลา!L63"")+IMPORTRANGE(""https://docs.google.com/spreadsheets/d/1qfrKjzMhm2HJfxQ-qVlJlJQ25Hne1d0khsySbZyGtPA/edit?usp=sharing"",""ระนอง!L63"")+IMPORTRANGE(""https://docs.google.com/spreadsheets/d/1IbSCnFOKpZ"&amp;"snFogBHJnL_isstZVaOMnFiIN0fGTPZZw/edit?usp=sharing"",""สงขลา!L63"")+IMPORTRANGE(""https://docs.google.com/spreadsheets/d/1q9nWasZJ-K8bFGvbE9n0qSRuKGA4Toe3Y89cKCiVtCU/edit?usp=sharing"",""สตูล!L63"")+IMPORTRANGE(""https://docs.google.com/spreadsheets/d/18T"&amp;"20gbkS_WBjdscyTOV05cvq_JqvqQ17C81mpxf7Ncs/edit?usp=sharing"",""สุราษฎร์ธานี!L63"")"),0)</f>
        <v>0</v>
      </c>
      <c r="M63" s="47">
        <f ca="1">IFERROR(__xludf.DUMMYFUNCTION("IMPORTRANGE(""https://docs.google.com/spreadsheets/d/1kKUcYdkIfrgTSj8iHHHB2MD2FAtwyyocFgqGQn6ADyI/edit?usp=sharing"",""กระบี่!M63"")+IMPORTRANGE(""https://docs.google.com/spreadsheets/d/1GwtLaSlNZkLk7iDqcyZz22giiy40b_usZZBXYciEN1U/edit?usp=sharing"",""ชุม"&amp;"พร!M63"")+IMPORTRANGE(""https://docs.google.com/spreadsheets/d/16pAz3pOhQEZBhvFNMa5KGgZS6iKWpsKX0pg6tQmwFpo/edit?usp=sharing"",""ตรัง!M63"")+IMPORTRANGE(""https://docs.google.com/spreadsheets/d/1Dj4jcHCTV9JXKCaMoheSXS52JE63kDKyG7bPXnFogHk/edit?usp=sharing"&amp;""",""นครศรีธรรมราช!M63"")+IMPORTRANGE(""https://docs.google.com/spreadsheets/d/1iodCdmuK2GR3jzUwk8tpccY2JHQQA-87DLOtJP-ooyU/edit?usp=sharing"",""นราธิวาส!M63"")+IMPORTRANGE(""https://docs.google.com/spreadsheets/d/1SDNX3JhDdYRuIOsj0Wh2M-Qa_eaXl0NbWmhAOTbf"&amp;"QAs/edit?usp=sharing"",""ปัตตานี!M63"")+IMPORTRANGE(""https://docs.google.com/spreadsheets/d/16JDLGguT8s5DsGCND1KcwHP_AWR_zDMTqLHPLJUKhaU/edit?usp=sharing"",""พังงา!M63"")+IMPORTRANGE(""https://docs.google.com/spreadsheets/d/17ht0gPKzzT3PObBL1XJkeRmntBXI7"&amp;"wGjpLV7QorqlTk/edit?usp=sharing"",""พัทลุง!M63"")+IMPORTRANGE(""https://docs.google.com/spreadsheets/d/1rd4qoM1q_hsgaolqNGfrim9gbsoLxQsda4-vOz5x_BM/edit?usp=sharing"",""ภูเก็ต!M63"")+IMPORTRANGE(""https://docs.google.com/spreadsheets/d/1woKwKjgoLssDvPcPeV"&amp;"yezB5izizAn4X1JDrys69n6xI/edit?usp=sharing"",""ยะลา!M63"")+IMPORTRANGE(""https://docs.google.com/spreadsheets/d/1qfrKjzMhm2HJfxQ-qVlJlJQ25Hne1d0khsySbZyGtPA/edit?usp=sharing"",""ระนอง!M63"")+IMPORTRANGE(""https://docs.google.com/spreadsheets/d/1IbSCnFOKpZ"&amp;"snFogBHJnL_isstZVaOMnFiIN0fGTPZZw/edit?usp=sharing"",""สงขลา!M63"")+IMPORTRANGE(""https://docs.google.com/spreadsheets/d/1q9nWasZJ-K8bFGvbE9n0qSRuKGA4Toe3Y89cKCiVtCU/edit?usp=sharing"",""สตูล!M63"")+IMPORTRANGE(""https://docs.google.com/spreadsheets/d/18T"&amp;"20gbkS_WBjdscyTOV05cvq_JqvqQ17C81mpxf7Ncs/edit?usp=sharing"",""สุราษฎร์ธานี!M63"")"),0)</f>
        <v>0</v>
      </c>
      <c r="N63" s="47">
        <f ca="1">IFERROR(__xludf.DUMMYFUNCTION("IMPORTRANGE(""https://docs.google.com/spreadsheets/d/1kKUcYdkIfrgTSj8iHHHB2MD2FAtwyyocFgqGQn6ADyI/edit?usp=sharing"",""กระบี่!N63"")+IMPORTRANGE(""https://docs.google.com/spreadsheets/d/1GwtLaSlNZkLk7iDqcyZz22giiy40b_usZZBXYciEN1U/edit?usp=sharing"",""ชุม"&amp;"พร!N63"")+IMPORTRANGE(""https://docs.google.com/spreadsheets/d/16pAz3pOhQEZBhvFNMa5KGgZS6iKWpsKX0pg6tQmwFpo/edit?usp=sharing"",""ตรัง!N63"")+IMPORTRANGE(""https://docs.google.com/spreadsheets/d/1Dj4jcHCTV9JXKCaMoheSXS52JE63kDKyG7bPXnFogHk/edit?usp=sharing"&amp;""",""นครศรีธรรมราช!N63"")+IMPORTRANGE(""https://docs.google.com/spreadsheets/d/1iodCdmuK2GR3jzUwk8tpccY2JHQQA-87DLOtJP-ooyU/edit?usp=sharing"",""นราธิวาส!N63"")+IMPORTRANGE(""https://docs.google.com/spreadsheets/d/1SDNX3JhDdYRuIOsj0Wh2M-Qa_eaXl0NbWmhAOTbf"&amp;"QAs/edit?usp=sharing"",""ปัตตานี!N63"")+IMPORTRANGE(""https://docs.google.com/spreadsheets/d/16JDLGguT8s5DsGCND1KcwHP_AWR_zDMTqLHPLJUKhaU/edit?usp=sharing"",""พังงา!N63"")+IMPORTRANGE(""https://docs.google.com/spreadsheets/d/17ht0gPKzzT3PObBL1XJkeRmntBXI7"&amp;"wGjpLV7QorqlTk/edit?usp=sharing"",""พัทลุง!N63"")+IMPORTRANGE(""https://docs.google.com/spreadsheets/d/1rd4qoM1q_hsgaolqNGfrim9gbsoLxQsda4-vOz5x_BM/edit?usp=sharing"",""ภูเก็ต!N63"")+IMPORTRANGE(""https://docs.google.com/spreadsheets/d/1woKwKjgoLssDvPcPeV"&amp;"yezB5izizAn4X1JDrys69n6xI/edit?usp=sharing"",""ยะลา!N63"")+IMPORTRANGE(""https://docs.google.com/spreadsheets/d/1qfrKjzMhm2HJfxQ-qVlJlJQ25Hne1d0khsySbZyGtPA/edit?usp=sharing"",""ระนอง!N63"")+IMPORTRANGE(""https://docs.google.com/spreadsheets/d/1IbSCnFOKpZ"&amp;"snFogBHJnL_isstZVaOMnFiIN0fGTPZZw/edit?usp=sharing"",""สงขลา!N63"")+IMPORTRANGE(""https://docs.google.com/spreadsheets/d/1q9nWasZJ-K8bFGvbE9n0qSRuKGA4Toe3Y89cKCiVtCU/edit?usp=sharing"",""สตูล!N63"")+IMPORTRANGE(""https://docs.google.com/spreadsheets/d/18T"&amp;"20gbkS_WBjdscyTOV05cvq_JqvqQ17C81mpxf7Ncs/edit?usp=sharing"",""สุราษฎร์ธานี!N63"")"),0)</f>
        <v>0</v>
      </c>
      <c r="O63" s="47">
        <f t="shared" ca="1" si="37"/>
        <v>0</v>
      </c>
      <c r="P63" s="47">
        <f t="shared" ca="1" si="38"/>
        <v>0</v>
      </c>
      <c r="Q63" s="47">
        <f ca="1">IFERROR(__xludf.DUMMYFUNCTION("IMPORTRANGE(""https://docs.google.com/spreadsheets/d/1kKUcYdkIfrgTSj8iHHHB2MD2FAtwyyocFgqGQn6ADyI/edit?usp=sharing"",""กระบี่!Q63"")+IMPORTRANGE(""https://docs.google.com/spreadsheets/d/1GwtLaSlNZkLk7iDqcyZz22giiy40b_usZZBXYciEN1U/edit?usp=sharing"",""ชุม"&amp;"พร!Q63"")+IMPORTRANGE(""https://docs.google.com/spreadsheets/d/16pAz3pOhQEZBhvFNMa5KGgZS6iKWpsKX0pg6tQmwFpo/edit?usp=sharing"",""ตรัง!Q63"")+IMPORTRANGE(""https://docs.google.com/spreadsheets/d/1Dj4jcHCTV9JXKCaMoheSXS52JE63kDKyG7bPXnFogHk/edit?usp=sharing"&amp;""",""นครศรีธรรมราช!Q63"")+IMPORTRANGE(""https://docs.google.com/spreadsheets/d/1iodCdmuK2GR3jzUwk8tpccY2JHQQA-87DLOtJP-ooyU/edit?usp=sharing"",""นราธิวาส!Q63"")+IMPORTRANGE(""https://docs.google.com/spreadsheets/d/1SDNX3JhDdYRuIOsj0Wh2M-Qa_eaXl0NbWmhAOTbf"&amp;"QAs/edit?usp=sharing"",""ปัตตานี!Q63"")+IMPORTRANGE(""https://docs.google.com/spreadsheets/d/16JDLGguT8s5DsGCND1KcwHP_AWR_zDMTqLHPLJUKhaU/edit?usp=sharing"",""พังงา!Q63"")+IMPORTRANGE(""https://docs.google.com/spreadsheets/d/17ht0gPKzzT3PObBL1XJkeRmntBXI7"&amp;"wGjpLV7QorqlTk/edit?usp=sharing"",""พัทลุง!Q63"")+IMPORTRANGE(""https://docs.google.com/spreadsheets/d/1rd4qoM1q_hsgaolqNGfrim9gbsoLxQsda4-vOz5x_BM/edit?usp=sharing"",""ภูเก็ต!Q63"")+IMPORTRANGE(""https://docs.google.com/spreadsheets/d/1woKwKjgoLssDvPcPeV"&amp;"yezB5izizAn4X1JDrys69n6xI/edit?usp=sharing"",""ยะลา!Q63"")+IMPORTRANGE(""https://docs.google.com/spreadsheets/d/1qfrKjzMhm2HJfxQ-qVlJlJQ25Hne1d0khsySbZyGtPA/edit?usp=sharing"",""ระนอง!Q63"")+IMPORTRANGE(""https://docs.google.com/spreadsheets/d/1IbSCnFOKpZ"&amp;"snFogBHJnL_isstZVaOMnFiIN0fGTPZZw/edit?usp=sharing"",""สงขลา!Q63"")+IMPORTRANGE(""https://docs.google.com/spreadsheets/d/1q9nWasZJ-K8bFGvbE9n0qSRuKGA4Toe3Y89cKCiVtCU/edit?usp=sharing"",""สตูล!Q63"")+IMPORTRANGE(""https://docs.google.com/spreadsheets/d/18T"&amp;"20gbkS_WBjdscyTOV05cvq_JqvqQ17C81mpxf7Ncs/edit?usp=sharing"",""สุราษฎร์ธานี!Q63"")"),0)</f>
        <v>0</v>
      </c>
      <c r="R63" s="47">
        <f ca="1">IFERROR(__xludf.DUMMYFUNCTION("IMPORTRANGE(""https://docs.google.com/spreadsheets/d/1kKUcYdkIfrgTSj8iHHHB2MD2FAtwyyocFgqGQn6ADyI/edit?usp=sharing"",""กระบี่!R63"")+IMPORTRANGE(""https://docs.google.com/spreadsheets/d/1GwtLaSlNZkLk7iDqcyZz22giiy40b_usZZBXYciEN1U/edit?usp=sharing"",""ชุม"&amp;"พร!R63"")+IMPORTRANGE(""https://docs.google.com/spreadsheets/d/16pAz3pOhQEZBhvFNMa5KGgZS6iKWpsKX0pg6tQmwFpo/edit?usp=sharing"",""ตรัง!R63"")+IMPORTRANGE(""https://docs.google.com/spreadsheets/d/1Dj4jcHCTV9JXKCaMoheSXS52JE63kDKyG7bPXnFogHk/edit?usp=sharing"&amp;""",""นครศรีธรรมราช!R63"")+IMPORTRANGE(""https://docs.google.com/spreadsheets/d/1iodCdmuK2GR3jzUwk8tpccY2JHQQA-87DLOtJP-ooyU/edit?usp=sharing"",""นราธิวาส!R63"")+IMPORTRANGE(""https://docs.google.com/spreadsheets/d/1SDNX3JhDdYRuIOsj0Wh2M-Qa_eaXl0NbWmhAOTbf"&amp;"QAs/edit?usp=sharing"",""ปัตตานี!R63"")+IMPORTRANGE(""https://docs.google.com/spreadsheets/d/16JDLGguT8s5DsGCND1KcwHP_AWR_zDMTqLHPLJUKhaU/edit?usp=sharing"",""พังงา!R63"")+IMPORTRANGE(""https://docs.google.com/spreadsheets/d/17ht0gPKzzT3PObBL1XJkeRmntBXI7"&amp;"wGjpLV7QorqlTk/edit?usp=sharing"",""พัทลุง!R63"")+IMPORTRANGE(""https://docs.google.com/spreadsheets/d/1rd4qoM1q_hsgaolqNGfrim9gbsoLxQsda4-vOz5x_BM/edit?usp=sharing"",""ภูเก็ต!R63"")+IMPORTRANGE(""https://docs.google.com/spreadsheets/d/1woKwKjgoLssDvPcPeV"&amp;"yezB5izizAn4X1JDrys69n6xI/edit?usp=sharing"",""ยะลา!R63"")+IMPORTRANGE(""https://docs.google.com/spreadsheets/d/1qfrKjzMhm2HJfxQ-qVlJlJQ25Hne1d0khsySbZyGtPA/edit?usp=sharing"",""ระนอง!R63"")+IMPORTRANGE(""https://docs.google.com/spreadsheets/d/1IbSCnFOKpZ"&amp;"snFogBHJnL_isstZVaOMnFiIN0fGTPZZw/edit?usp=sharing"",""สงขลา!R63"")+IMPORTRANGE(""https://docs.google.com/spreadsheets/d/1q9nWasZJ-K8bFGvbE9n0qSRuKGA4Toe3Y89cKCiVtCU/edit?usp=sharing"",""สตูล!R63"")+IMPORTRANGE(""https://docs.google.com/spreadsheets/d/18T"&amp;"20gbkS_WBjdscyTOV05cvq_JqvqQ17C81mpxf7Ncs/edit?usp=sharing"",""สุราษฎร์ธานี!R63"")"),0)</f>
        <v>0</v>
      </c>
      <c r="S63" s="47">
        <f ca="1">IFERROR(__xludf.DUMMYFUNCTION("IMPORTRANGE(""https://docs.google.com/spreadsheets/d/1kKUcYdkIfrgTSj8iHHHB2MD2FAtwyyocFgqGQn6ADyI/edit?usp=sharing"",""กระบี่!S63"")+IMPORTRANGE(""https://docs.google.com/spreadsheets/d/1GwtLaSlNZkLk7iDqcyZz22giiy40b_usZZBXYciEN1U/edit?usp=sharing"",""ชุม"&amp;"พร!S63"")+IMPORTRANGE(""https://docs.google.com/spreadsheets/d/16pAz3pOhQEZBhvFNMa5KGgZS6iKWpsKX0pg6tQmwFpo/edit?usp=sharing"",""ตรัง!S63"")+IMPORTRANGE(""https://docs.google.com/spreadsheets/d/1Dj4jcHCTV9JXKCaMoheSXS52JE63kDKyG7bPXnFogHk/edit?usp=sharing"&amp;""",""นครศรีธรรมราช!S63"")+IMPORTRANGE(""https://docs.google.com/spreadsheets/d/1iodCdmuK2GR3jzUwk8tpccY2JHQQA-87DLOtJP-ooyU/edit?usp=sharing"",""นราธิวาส!S63"")+IMPORTRANGE(""https://docs.google.com/spreadsheets/d/1SDNX3JhDdYRuIOsj0Wh2M-Qa_eaXl0NbWmhAOTbf"&amp;"QAs/edit?usp=sharing"",""ปัตตานี!S63"")+IMPORTRANGE(""https://docs.google.com/spreadsheets/d/16JDLGguT8s5DsGCND1KcwHP_AWR_zDMTqLHPLJUKhaU/edit?usp=sharing"",""พังงา!S63"")+IMPORTRANGE(""https://docs.google.com/spreadsheets/d/17ht0gPKzzT3PObBL1XJkeRmntBXI7"&amp;"wGjpLV7QorqlTk/edit?usp=sharing"",""พัทลุง!S63"")+IMPORTRANGE(""https://docs.google.com/spreadsheets/d/1rd4qoM1q_hsgaolqNGfrim9gbsoLxQsda4-vOz5x_BM/edit?usp=sharing"",""ภูเก็ต!S63"")+IMPORTRANGE(""https://docs.google.com/spreadsheets/d/1woKwKjgoLssDvPcPeV"&amp;"yezB5izizAn4X1JDrys69n6xI/edit?usp=sharing"",""ยะลา!S63"")+IMPORTRANGE(""https://docs.google.com/spreadsheets/d/1qfrKjzMhm2HJfxQ-qVlJlJQ25Hne1d0khsySbZyGtPA/edit?usp=sharing"",""ระนอง!S63"")+IMPORTRANGE(""https://docs.google.com/spreadsheets/d/1IbSCnFOKpZ"&amp;"snFogBHJnL_isstZVaOMnFiIN0fGTPZZw/edit?usp=sharing"",""สงขลา!S63"")+IMPORTRANGE(""https://docs.google.com/spreadsheets/d/1q9nWasZJ-K8bFGvbE9n0qSRuKGA4Toe3Y89cKCiVtCU/edit?usp=sharing"",""สตูล!S63"")+IMPORTRANGE(""https://docs.google.com/spreadsheets/d/18T"&amp;"20gbkS_WBjdscyTOV05cvq_JqvqQ17C81mpxf7Ncs/edit?usp=sharing"",""สุราษฎร์ธานี!S63"")"),0)</f>
        <v>0</v>
      </c>
      <c r="T63" s="49">
        <f t="shared" ca="1" si="40"/>
        <v>0</v>
      </c>
      <c r="U63" s="49">
        <f t="shared" ca="1" si="41"/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7">
        <f ca="1">IFERROR(__xludf.DUMMYFUNCTION("IMPORTRANGE(""https://docs.google.com/spreadsheets/d/1kKUcYdkIfrgTSj8iHHHB2MD2FAtwyyocFgqGQn6ADyI/edit?usp=sharing"",""กระบี่!L64"")+IMPORTRANGE(""https://docs.google.com/spreadsheets/d/1GwtLaSlNZkLk7iDqcyZz22giiy40b_usZZBXYciEN1U/edit?usp=sharing"",""ชุม"&amp;"พร!L64"")+IMPORTRANGE(""https://docs.google.com/spreadsheets/d/16pAz3pOhQEZBhvFNMa5KGgZS6iKWpsKX0pg6tQmwFpo/edit?usp=sharing"",""ตรัง!L64"")+IMPORTRANGE(""https://docs.google.com/spreadsheets/d/1Dj4jcHCTV9JXKCaMoheSXS52JE63kDKyG7bPXnFogHk/edit?usp=sharing"&amp;""",""นครศรีธรรมราช!L64"")+IMPORTRANGE(""https://docs.google.com/spreadsheets/d/1iodCdmuK2GR3jzUwk8tpccY2JHQQA-87DLOtJP-ooyU/edit?usp=sharing"",""นราธิวาส!L64"")+IMPORTRANGE(""https://docs.google.com/spreadsheets/d/1SDNX3JhDdYRuIOsj0Wh2M-Qa_eaXl0NbWmhAOTbf"&amp;"QAs/edit?usp=sharing"",""ปัตตานี!L64"")+IMPORTRANGE(""https://docs.google.com/spreadsheets/d/16JDLGguT8s5DsGCND1KcwHP_AWR_zDMTqLHPLJUKhaU/edit?usp=sharing"",""พังงา!L64"")+IMPORTRANGE(""https://docs.google.com/spreadsheets/d/17ht0gPKzzT3PObBL1XJkeRmntBXI7"&amp;"wGjpLV7QorqlTk/edit?usp=sharing"",""พัทลุง!L64"")+IMPORTRANGE(""https://docs.google.com/spreadsheets/d/1rd4qoM1q_hsgaolqNGfrim9gbsoLxQsda4-vOz5x_BM/edit?usp=sharing"",""ภูเก็ต!L64"")+IMPORTRANGE(""https://docs.google.com/spreadsheets/d/1woKwKjgoLssDvPcPeV"&amp;"yezB5izizAn4X1JDrys69n6xI/edit?usp=sharing"",""ยะลา!L64"")+IMPORTRANGE(""https://docs.google.com/spreadsheets/d/1qfrKjzMhm2HJfxQ-qVlJlJQ25Hne1d0khsySbZyGtPA/edit?usp=sharing"",""ระนอง!L64"")+IMPORTRANGE(""https://docs.google.com/spreadsheets/d/1IbSCnFOKpZ"&amp;"snFogBHJnL_isstZVaOMnFiIN0fGTPZZw/edit?usp=sharing"",""สงขลา!L64"")+IMPORTRANGE(""https://docs.google.com/spreadsheets/d/1q9nWasZJ-K8bFGvbE9n0qSRuKGA4Toe3Y89cKCiVtCU/edit?usp=sharing"",""สตูล!L64"")+IMPORTRANGE(""https://docs.google.com/spreadsheets/d/18T"&amp;"20gbkS_WBjdscyTOV05cvq_JqvqQ17C81mpxf7Ncs/edit?usp=sharing"",""สุราษฎร์ธานี!L64"")"),8933700)</f>
        <v>8933700</v>
      </c>
      <c r="M64" s="47">
        <f ca="1">IFERROR(__xludf.DUMMYFUNCTION("IMPORTRANGE(""https://docs.google.com/spreadsheets/d/1kKUcYdkIfrgTSj8iHHHB2MD2FAtwyyocFgqGQn6ADyI/edit?usp=sharing"",""กระบี่!M64"")+IMPORTRANGE(""https://docs.google.com/spreadsheets/d/1GwtLaSlNZkLk7iDqcyZz22giiy40b_usZZBXYciEN1U/edit?usp=sharing"",""ชุม"&amp;"พร!M64"")+IMPORTRANGE(""https://docs.google.com/spreadsheets/d/16pAz3pOhQEZBhvFNMa5KGgZS6iKWpsKX0pg6tQmwFpo/edit?usp=sharing"",""ตรัง!M64"")+IMPORTRANGE(""https://docs.google.com/spreadsheets/d/1Dj4jcHCTV9JXKCaMoheSXS52JE63kDKyG7bPXnFogHk/edit?usp=sharing"&amp;""",""นครศรีธรรมราช!M64"")+IMPORTRANGE(""https://docs.google.com/spreadsheets/d/1iodCdmuK2GR3jzUwk8tpccY2JHQQA-87DLOtJP-ooyU/edit?usp=sharing"",""นราธิวาส!M64"")+IMPORTRANGE(""https://docs.google.com/spreadsheets/d/1SDNX3JhDdYRuIOsj0Wh2M-Qa_eaXl0NbWmhAOTbf"&amp;"QAs/edit?usp=sharing"",""ปัตตานี!M64"")+IMPORTRANGE(""https://docs.google.com/spreadsheets/d/16JDLGguT8s5DsGCND1KcwHP_AWR_zDMTqLHPLJUKhaU/edit?usp=sharing"",""พังงา!M64"")+IMPORTRANGE(""https://docs.google.com/spreadsheets/d/17ht0gPKzzT3PObBL1XJkeRmntBXI7"&amp;"wGjpLV7QorqlTk/edit?usp=sharing"",""พัทลุง!M64"")+IMPORTRANGE(""https://docs.google.com/spreadsheets/d/1rd4qoM1q_hsgaolqNGfrim9gbsoLxQsda4-vOz5x_BM/edit?usp=sharing"",""ภูเก็ต!M64"")+IMPORTRANGE(""https://docs.google.com/spreadsheets/d/1woKwKjgoLssDvPcPeV"&amp;"yezB5izizAn4X1JDrys69n6xI/edit?usp=sharing"",""ยะลา!M64"")+IMPORTRANGE(""https://docs.google.com/spreadsheets/d/1qfrKjzMhm2HJfxQ-qVlJlJQ25Hne1d0khsySbZyGtPA/edit?usp=sharing"",""ระนอง!M64"")+IMPORTRANGE(""https://docs.google.com/spreadsheets/d/1IbSCnFOKpZ"&amp;"snFogBHJnL_isstZVaOMnFiIN0fGTPZZw/edit?usp=sharing"",""สงขลา!M64"")+IMPORTRANGE(""https://docs.google.com/spreadsheets/d/1q9nWasZJ-K8bFGvbE9n0qSRuKGA4Toe3Y89cKCiVtCU/edit?usp=sharing"",""สตูล!M64"")+IMPORTRANGE(""https://docs.google.com/spreadsheets/d/18T"&amp;"20gbkS_WBjdscyTOV05cvq_JqvqQ17C81mpxf7Ncs/edit?usp=sharing"",""สุราษฎร์ธานี!M64"")"),9411722)</f>
        <v>9411722</v>
      </c>
      <c r="N64" s="47">
        <f ca="1">IFERROR(__xludf.DUMMYFUNCTION("IMPORTRANGE(""https://docs.google.com/spreadsheets/d/1kKUcYdkIfrgTSj8iHHHB2MD2FAtwyyocFgqGQn6ADyI/edit?usp=sharing"",""กระบี่!N64"")+IMPORTRANGE(""https://docs.google.com/spreadsheets/d/1GwtLaSlNZkLk7iDqcyZz22giiy40b_usZZBXYciEN1U/edit?usp=sharing"",""ชุม"&amp;"พร!N64"")+IMPORTRANGE(""https://docs.google.com/spreadsheets/d/16pAz3pOhQEZBhvFNMa5KGgZS6iKWpsKX0pg6tQmwFpo/edit?usp=sharing"",""ตรัง!N64"")+IMPORTRANGE(""https://docs.google.com/spreadsheets/d/1Dj4jcHCTV9JXKCaMoheSXS52JE63kDKyG7bPXnFogHk/edit?usp=sharing"&amp;""",""นครศรีธรรมราช!N64"")+IMPORTRANGE(""https://docs.google.com/spreadsheets/d/1iodCdmuK2GR3jzUwk8tpccY2JHQQA-87DLOtJP-ooyU/edit?usp=sharing"",""นราธิวาส!N64"")+IMPORTRANGE(""https://docs.google.com/spreadsheets/d/1SDNX3JhDdYRuIOsj0Wh2M-Qa_eaXl0NbWmhAOTbf"&amp;"QAs/edit?usp=sharing"",""ปัตตานี!N64"")+IMPORTRANGE(""https://docs.google.com/spreadsheets/d/16JDLGguT8s5DsGCND1KcwHP_AWR_zDMTqLHPLJUKhaU/edit?usp=sharing"",""พังงา!N64"")+IMPORTRANGE(""https://docs.google.com/spreadsheets/d/17ht0gPKzzT3PObBL1XJkeRmntBXI7"&amp;"wGjpLV7QorqlTk/edit?usp=sharing"",""พัทลุง!N64"")+IMPORTRANGE(""https://docs.google.com/spreadsheets/d/1rd4qoM1q_hsgaolqNGfrim9gbsoLxQsda4-vOz5x_BM/edit?usp=sharing"",""ภูเก็ต!N64"")+IMPORTRANGE(""https://docs.google.com/spreadsheets/d/1woKwKjgoLssDvPcPeV"&amp;"yezB5izizAn4X1JDrys69n6xI/edit?usp=sharing"",""ยะลา!N64"")+IMPORTRANGE(""https://docs.google.com/spreadsheets/d/1qfrKjzMhm2HJfxQ-qVlJlJQ25Hne1d0khsySbZyGtPA/edit?usp=sharing"",""ระนอง!N64"")+IMPORTRANGE(""https://docs.google.com/spreadsheets/d/1IbSCnFOKpZ"&amp;"snFogBHJnL_isstZVaOMnFiIN0fGTPZZw/edit?usp=sharing"",""สงขลา!N64"")+IMPORTRANGE(""https://docs.google.com/spreadsheets/d/1q9nWasZJ-K8bFGvbE9n0qSRuKGA4Toe3Y89cKCiVtCU/edit?usp=sharing"",""สตูล!N64"")+IMPORTRANGE(""https://docs.google.com/spreadsheets/d/18T"&amp;"20gbkS_WBjdscyTOV05cvq_JqvqQ17C81mpxf7Ncs/edit?usp=sharing"",""สุราษฎร์ธานี!N64"")"),6719607.28999999)</f>
        <v>6719607.2899999898</v>
      </c>
      <c r="O64" s="47">
        <f t="shared" ca="1" si="37"/>
        <v>75.21639734936241</v>
      </c>
      <c r="P64" s="47">
        <f t="shared" ca="1" si="38"/>
        <v>71.396151416286941</v>
      </c>
      <c r="Q64" s="47">
        <f ca="1">IFERROR(__xludf.DUMMYFUNCTION("IMPORTRANGE(""https://docs.google.com/spreadsheets/d/1kKUcYdkIfrgTSj8iHHHB2MD2FAtwyyocFgqGQn6ADyI/edit?usp=sharing"",""กระบี่!Q64"")+IMPORTRANGE(""https://docs.google.com/spreadsheets/d/1GwtLaSlNZkLk7iDqcyZz22giiy40b_usZZBXYciEN1U/edit?usp=sharing"",""ชุม"&amp;"พร!Q64"")+IMPORTRANGE(""https://docs.google.com/spreadsheets/d/16pAz3pOhQEZBhvFNMa5KGgZS6iKWpsKX0pg6tQmwFpo/edit?usp=sharing"",""ตรัง!Q64"")+IMPORTRANGE(""https://docs.google.com/spreadsheets/d/1Dj4jcHCTV9JXKCaMoheSXS52JE63kDKyG7bPXnFogHk/edit?usp=sharing"&amp;""",""นครศรีธรรมราช!Q64"")+IMPORTRANGE(""https://docs.google.com/spreadsheets/d/1iodCdmuK2GR3jzUwk8tpccY2JHQQA-87DLOtJP-ooyU/edit?usp=sharing"",""นราธิวาส!Q64"")+IMPORTRANGE(""https://docs.google.com/spreadsheets/d/1SDNX3JhDdYRuIOsj0Wh2M-Qa_eaXl0NbWmhAOTbf"&amp;"QAs/edit?usp=sharing"",""ปัตตานี!Q64"")+IMPORTRANGE(""https://docs.google.com/spreadsheets/d/16JDLGguT8s5DsGCND1KcwHP_AWR_zDMTqLHPLJUKhaU/edit?usp=sharing"",""พังงา!Q64"")+IMPORTRANGE(""https://docs.google.com/spreadsheets/d/17ht0gPKzzT3PObBL1XJkeRmntBXI7"&amp;"wGjpLV7QorqlTk/edit?usp=sharing"",""พัทลุง!Q64"")+IMPORTRANGE(""https://docs.google.com/spreadsheets/d/1rd4qoM1q_hsgaolqNGfrim9gbsoLxQsda4-vOz5x_BM/edit?usp=sharing"",""ภูเก็ต!Q64"")+IMPORTRANGE(""https://docs.google.com/spreadsheets/d/1woKwKjgoLssDvPcPeV"&amp;"yezB5izizAn4X1JDrys69n6xI/edit?usp=sharing"",""ยะลา!Q64"")+IMPORTRANGE(""https://docs.google.com/spreadsheets/d/1qfrKjzMhm2HJfxQ-qVlJlJQ25Hne1d0khsySbZyGtPA/edit?usp=sharing"",""ระนอง!Q64"")+IMPORTRANGE(""https://docs.google.com/spreadsheets/d/1IbSCnFOKpZ"&amp;"snFogBHJnL_isstZVaOMnFiIN0fGTPZZw/edit?usp=sharing"",""สงขลา!Q64"")+IMPORTRANGE(""https://docs.google.com/spreadsheets/d/1q9nWasZJ-K8bFGvbE9n0qSRuKGA4Toe3Y89cKCiVtCU/edit?usp=sharing"",""สตูล!Q64"")+IMPORTRANGE(""https://docs.google.com/spreadsheets/d/18T"&amp;"20gbkS_WBjdscyTOV05cvq_JqvqQ17C81mpxf7Ncs/edit?usp=sharing"",""สุราษฎร์ธานี!Q64"")"),0)</f>
        <v>0</v>
      </c>
      <c r="R64" s="47">
        <f ca="1">IFERROR(__xludf.DUMMYFUNCTION("IMPORTRANGE(""https://docs.google.com/spreadsheets/d/1kKUcYdkIfrgTSj8iHHHB2MD2FAtwyyocFgqGQn6ADyI/edit?usp=sharing"",""กระบี่!R64"")+IMPORTRANGE(""https://docs.google.com/spreadsheets/d/1GwtLaSlNZkLk7iDqcyZz22giiy40b_usZZBXYciEN1U/edit?usp=sharing"",""ชุม"&amp;"พร!R64"")+IMPORTRANGE(""https://docs.google.com/spreadsheets/d/16pAz3pOhQEZBhvFNMa5KGgZS6iKWpsKX0pg6tQmwFpo/edit?usp=sharing"",""ตรัง!R64"")+IMPORTRANGE(""https://docs.google.com/spreadsheets/d/1Dj4jcHCTV9JXKCaMoheSXS52JE63kDKyG7bPXnFogHk/edit?usp=sharing"&amp;""",""นครศรีธรรมราช!R64"")+IMPORTRANGE(""https://docs.google.com/spreadsheets/d/1iodCdmuK2GR3jzUwk8tpccY2JHQQA-87DLOtJP-ooyU/edit?usp=sharing"",""นราธิวาส!R64"")+IMPORTRANGE(""https://docs.google.com/spreadsheets/d/1SDNX3JhDdYRuIOsj0Wh2M-Qa_eaXl0NbWmhAOTbf"&amp;"QAs/edit?usp=sharing"",""ปัตตานี!R64"")+IMPORTRANGE(""https://docs.google.com/spreadsheets/d/16JDLGguT8s5DsGCND1KcwHP_AWR_zDMTqLHPLJUKhaU/edit?usp=sharing"",""พังงา!R64"")+IMPORTRANGE(""https://docs.google.com/spreadsheets/d/17ht0gPKzzT3PObBL1XJkeRmntBXI7"&amp;"wGjpLV7QorqlTk/edit?usp=sharing"",""พัทลุง!R64"")+IMPORTRANGE(""https://docs.google.com/spreadsheets/d/1rd4qoM1q_hsgaolqNGfrim9gbsoLxQsda4-vOz5x_BM/edit?usp=sharing"",""ภูเก็ต!R64"")+IMPORTRANGE(""https://docs.google.com/spreadsheets/d/1woKwKjgoLssDvPcPeV"&amp;"yezB5izizAn4X1JDrys69n6xI/edit?usp=sharing"",""ยะลา!R64"")+IMPORTRANGE(""https://docs.google.com/spreadsheets/d/1qfrKjzMhm2HJfxQ-qVlJlJQ25Hne1d0khsySbZyGtPA/edit?usp=sharing"",""ระนอง!R64"")+IMPORTRANGE(""https://docs.google.com/spreadsheets/d/1IbSCnFOKpZ"&amp;"snFogBHJnL_isstZVaOMnFiIN0fGTPZZw/edit?usp=sharing"",""สงขลา!R64"")+IMPORTRANGE(""https://docs.google.com/spreadsheets/d/1q9nWasZJ-K8bFGvbE9n0qSRuKGA4Toe3Y89cKCiVtCU/edit?usp=sharing"",""สตูล!R64"")+IMPORTRANGE(""https://docs.google.com/spreadsheets/d/18T"&amp;"20gbkS_WBjdscyTOV05cvq_JqvqQ17C81mpxf7Ncs/edit?usp=sharing"",""สุราษฎร์ธานี!R64"")"),0)</f>
        <v>0</v>
      </c>
      <c r="S64" s="47">
        <f ca="1">IFERROR(__xludf.DUMMYFUNCTION("IMPORTRANGE(""https://docs.google.com/spreadsheets/d/1kKUcYdkIfrgTSj8iHHHB2MD2FAtwyyocFgqGQn6ADyI/edit?usp=sharing"",""กระบี่!S64"")+IMPORTRANGE(""https://docs.google.com/spreadsheets/d/1GwtLaSlNZkLk7iDqcyZz22giiy40b_usZZBXYciEN1U/edit?usp=sharing"",""ชุม"&amp;"พร!S64"")+IMPORTRANGE(""https://docs.google.com/spreadsheets/d/16pAz3pOhQEZBhvFNMa5KGgZS6iKWpsKX0pg6tQmwFpo/edit?usp=sharing"",""ตรัง!S64"")+IMPORTRANGE(""https://docs.google.com/spreadsheets/d/1Dj4jcHCTV9JXKCaMoheSXS52JE63kDKyG7bPXnFogHk/edit?usp=sharing"&amp;""",""นครศรีธรรมราช!S64"")+IMPORTRANGE(""https://docs.google.com/spreadsheets/d/1iodCdmuK2GR3jzUwk8tpccY2JHQQA-87DLOtJP-ooyU/edit?usp=sharing"",""นราธิวาส!S64"")+IMPORTRANGE(""https://docs.google.com/spreadsheets/d/1SDNX3JhDdYRuIOsj0Wh2M-Qa_eaXl0NbWmhAOTbf"&amp;"QAs/edit?usp=sharing"",""ปัตตานี!S64"")+IMPORTRANGE(""https://docs.google.com/spreadsheets/d/16JDLGguT8s5DsGCND1KcwHP_AWR_zDMTqLHPLJUKhaU/edit?usp=sharing"",""พังงา!S64"")+IMPORTRANGE(""https://docs.google.com/spreadsheets/d/17ht0gPKzzT3PObBL1XJkeRmntBXI7"&amp;"wGjpLV7QorqlTk/edit?usp=sharing"",""พัทลุง!S64"")+IMPORTRANGE(""https://docs.google.com/spreadsheets/d/1rd4qoM1q_hsgaolqNGfrim9gbsoLxQsda4-vOz5x_BM/edit?usp=sharing"",""ภูเก็ต!S64"")+IMPORTRANGE(""https://docs.google.com/spreadsheets/d/1woKwKjgoLssDvPcPeV"&amp;"yezB5izizAn4X1JDrys69n6xI/edit?usp=sharing"",""ยะลา!S64"")+IMPORTRANGE(""https://docs.google.com/spreadsheets/d/1qfrKjzMhm2HJfxQ-qVlJlJQ25Hne1d0khsySbZyGtPA/edit?usp=sharing"",""ระนอง!S64"")+IMPORTRANGE(""https://docs.google.com/spreadsheets/d/1IbSCnFOKpZ"&amp;"snFogBHJnL_isstZVaOMnFiIN0fGTPZZw/edit?usp=sharing"",""สงขลา!S64"")+IMPORTRANGE(""https://docs.google.com/spreadsheets/d/1q9nWasZJ-K8bFGvbE9n0qSRuKGA4Toe3Y89cKCiVtCU/edit?usp=sharing"",""สตูล!S64"")+IMPORTRANGE(""https://docs.google.com/spreadsheets/d/18T"&amp;"20gbkS_WBjdscyTOV05cvq_JqvqQ17C81mpxf7Ncs/edit?usp=sharing"",""สุราษฎร์ธานี!S64"")"),0)</f>
        <v>0</v>
      </c>
      <c r="T64" s="47">
        <f t="shared" ca="1" si="40"/>
        <v>0</v>
      </c>
      <c r="U64" s="47">
        <f t="shared" ca="1" si="41"/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7">
        <f t="shared" ref="L65:N65" ca="1" si="48">L66+L67</f>
        <v>15946000</v>
      </c>
      <c r="M65" s="47">
        <f t="shared" ca="1" si="48"/>
        <v>15846000</v>
      </c>
      <c r="N65" s="47">
        <f t="shared" ca="1" si="48"/>
        <v>1537596.39</v>
      </c>
      <c r="O65" s="47">
        <f t="shared" ca="1" si="37"/>
        <v>9.6425209456917091</v>
      </c>
      <c r="P65" s="47">
        <f t="shared" ca="1" si="38"/>
        <v>9.7033723968193861</v>
      </c>
      <c r="Q65" s="47">
        <f t="shared" ref="Q65:S65" ca="1" si="49">Q66+Q67</f>
        <v>0</v>
      </c>
      <c r="R65" s="47">
        <f t="shared" ca="1" si="49"/>
        <v>0</v>
      </c>
      <c r="S65" s="47">
        <f t="shared" ca="1" si="49"/>
        <v>0</v>
      </c>
      <c r="T65" s="47">
        <f t="shared" ca="1" si="40"/>
        <v>0</v>
      </c>
      <c r="U65" s="47">
        <f t="shared" ca="1" si="41"/>
        <v>0</v>
      </c>
    </row>
    <row r="66" spans="1:21" ht="18.75" hidden="1" x14ac:dyDescent="0.25">
      <c r="A66" s="40"/>
      <c r="B66" s="41"/>
      <c r="C66" s="41"/>
      <c r="D66" s="41"/>
      <c r="E66" s="48" t="s">
        <v>20</v>
      </c>
      <c r="F66" s="41"/>
      <c r="G66" s="43"/>
      <c r="H66" s="44" t="s">
        <v>14</v>
      </c>
      <c r="I66" s="45"/>
      <c r="J66" s="45"/>
      <c r="K66" s="46"/>
      <c r="L66" s="47">
        <f ca="1">IFERROR(__xludf.DUMMYFUNCTION("IMPORTRANGE(""https://docs.google.com/spreadsheets/d/1kKUcYdkIfrgTSj8iHHHB2MD2FAtwyyocFgqGQn6ADyI/edit?usp=sharing"",""กระบี่!L66"")+IMPORTRANGE(""https://docs.google.com/spreadsheets/d/1GwtLaSlNZkLk7iDqcyZz22giiy40b_usZZBXYciEN1U/edit?usp=sharing"",""ชุม"&amp;"พร!L66"")+IMPORTRANGE(""https://docs.google.com/spreadsheets/d/16pAz3pOhQEZBhvFNMa5KGgZS6iKWpsKX0pg6tQmwFpo/edit?usp=sharing"",""ตรัง!L66"")+IMPORTRANGE(""https://docs.google.com/spreadsheets/d/1Dj4jcHCTV9JXKCaMoheSXS52JE63kDKyG7bPXnFogHk/edit?usp=sharing"&amp;""",""นครศรีธรรมราช!L66"")+IMPORTRANGE(""https://docs.google.com/spreadsheets/d/1iodCdmuK2GR3jzUwk8tpccY2JHQQA-87DLOtJP-ooyU/edit?usp=sharing"",""นราธิวาส!L66"")+IMPORTRANGE(""https://docs.google.com/spreadsheets/d/1SDNX3JhDdYRuIOsj0Wh2M-Qa_eaXl0NbWmhAOTbf"&amp;"QAs/edit?usp=sharing"",""ปัตตานี!L66"")+IMPORTRANGE(""https://docs.google.com/spreadsheets/d/16JDLGguT8s5DsGCND1KcwHP_AWR_zDMTqLHPLJUKhaU/edit?usp=sharing"",""พังงา!L66"")+IMPORTRANGE(""https://docs.google.com/spreadsheets/d/17ht0gPKzzT3PObBL1XJkeRmntBXI7"&amp;"wGjpLV7QorqlTk/edit?usp=sharing"",""พัทลุง!L66"")+IMPORTRANGE(""https://docs.google.com/spreadsheets/d/1rd4qoM1q_hsgaolqNGfrim9gbsoLxQsda4-vOz5x_BM/edit?usp=sharing"",""ภูเก็ต!L66"")+IMPORTRANGE(""https://docs.google.com/spreadsheets/d/1woKwKjgoLssDvPcPeV"&amp;"yezB5izizAn4X1JDrys69n6xI/edit?usp=sharing"",""ยะลา!L66"")+IMPORTRANGE(""https://docs.google.com/spreadsheets/d/1qfrKjzMhm2HJfxQ-qVlJlJQ25Hne1d0khsySbZyGtPA/edit?usp=sharing"",""ระนอง!L66"")+IMPORTRANGE(""https://docs.google.com/spreadsheets/d/1IbSCnFOKpZ"&amp;"snFogBHJnL_isstZVaOMnFiIN0fGTPZZw/edit?usp=sharing"",""สงขลา!L66"")+IMPORTRANGE(""https://docs.google.com/spreadsheets/d/1q9nWasZJ-K8bFGvbE9n0qSRuKGA4Toe3Y89cKCiVtCU/edit?usp=sharing"",""สตูล!L66"")+IMPORTRANGE(""https://docs.google.com/spreadsheets/d/18T"&amp;"20gbkS_WBjdscyTOV05cvq_JqvqQ17C81mpxf7Ncs/edit?usp=sharing"",""สุราษฎร์ธานี!L66"")"),0)</f>
        <v>0</v>
      </c>
      <c r="M66" s="47">
        <f ca="1">IFERROR(__xludf.DUMMYFUNCTION("IMPORTRANGE(""https://docs.google.com/spreadsheets/d/1kKUcYdkIfrgTSj8iHHHB2MD2FAtwyyocFgqGQn6ADyI/edit?usp=sharing"",""กระบี่!M66"")+IMPORTRANGE(""https://docs.google.com/spreadsheets/d/1GwtLaSlNZkLk7iDqcyZz22giiy40b_usZZBXYciEN1U/edit?usp=sharing"",""ชุม"&amp;"พร!M66"")+IMPORTRANGE(""https://docs.google.com/spreadsheets/d/16pAz3pOhQEZBhvFNMa5KGgZS6iKWpsKX0pg6tQmwFpo/edit?usp=sharing"",""ตรัง!M66"")+IMPORTRANGE(""https://docs.google.com/spreadsheets/d/1Dj4jcHCTV9JXKCaMoheSXS52JE63kDKyG7bPXnFogHk/edit?usp=sharing"&amp;""",""นครศรีธรรมราช!M66"")+IMPORTRANGE(""https://docs.google.com/spreadsheets/d/1iodCdmuK2GR3jzUwk8tpccY2JHQQA-87DLOtJP-ooyU/edit?usp=sharing"",""นราธิวาส!M66"")+IMPORTRANGE(""https://docs.google.com/spreadsheets/d/1SDNX3JhDdYRuIOsj0Wh2M-Qa_eaXl0NbWmhAOTbf"&amp;"QAs/edit?usp=sharing"",""ปัตตานี!M66"")+IMPORTRANGE(""https://docs.google.com/spreadsheets/d/16JDLGguT8s5DsGCND1KcwHP_AWR_zDMTqLHPLJUKhaU/edit?usp=sharing"",""พังงา!M66"")+IMPORTRANGE(""https://docs.google.com/spreadsheets/d/17ht0gPKzzT3PObBL1XJkeRmntBXI7"&amp;"wGjpLV7QorqlTk/edit?usp=sharing"",""พัทลุง!M66"")+IMPORTRANGE(""https://docs.google.com/spreadsheets/d/1rd4qoM1q_hsgaolqNGfrim9gbsoLxQsda4-vOz5x_BM/edit?usp=sharing"",""ภูเก็ต!M66"")+IMPORTRANGE(""https://docs.google.com/spreadsheets/d/1woKwKjgoLssDvPcPeV"&amp;"yezB5izizAn4X1JDrys69n6xI/edit?usp=sharing"",""ยะลา!M66"")+IMPORTRANGE(""https://docs.google.com/spreadsheets/d/1qfrKjzMhm2HJfxQ-qVlJlJQ25Hne1d0khsySbZyGtPA/edit?usp=sharing"",""ระนอง!M66"")+IMPORTRANGE(""https://docs.google.com/spreadsheets/d/1IbSCnFOKpZ"&amp;"snFogBHJnL_isstZVaOMnFiIN0fGTPZZw/edit?usp=sharing"",""สงขลา!M66"")+IMPORTRANGE(""https://docs.google.com/spreadsheets/d/1q9nWasZJ-K8bFGvbE9n0qSRuKGA4Toe3Y89cKCiVtCU/edit?usp=sharing"",""สตูล!M66"")+IMPORTRANGE(""https://docs.google.com/spreadsheets/d/18T"&amp;"20gbkS_WBjdscyTOV05cvq_JqvqQ17C81mpxf7Ncs/edit?usp=sharing"",""สุราษฎร์ธานี!M66"")"),0)</f>
        <v>0</v>
      </c>
      <c r="N66" s="47">
        <f ca="1">IFERROR(__xludf.DUMMYFUNCTION("IMPORTRANGE(""https://docs.google.com/spreadsheets/d/1kKUcYdkIfrgTSj8iHHHB2MD2FAtwyyocFgqGQn6ADyI/edit?usp=sharing"",""กระบี่!N66"")+IMPORTRANGE(""https://docs.google.com/spreadsheets/d/1GwtLaSlNZkLk7iDqcyZz22giiy40b_usZZBXYciEN1U/edit?usp=sharing"",""ชุม"&amp;"พร!N66"")+IMPORTRANGE(""https://docs.google.com/spreadsheets/d/16pAz3pOhQEZBhvFNMa5KGgZS6iKWpsKX0pg6tQmwFpo/edit?usp=sharing"",""ตรัง!N66"")+IMPORTRANGE(""https://docs.google.com/spreadsheets/d/1Dj4jcHCTV9JXKCaMoheSXS52JE63kDKyG7bPXnFogHk/edit?usp=sharing"&amp;""",""นครศรีธรรมราช!N66"")+IMPORTRANGE(""https://docs.google.com/spreadsheets/d/1iodCdmuK2GR3jzUwk8tpccY2JHQQA-87DLOtJP-ooyU/edit?usp=sharing"",""นราธิวาส!N66"")+IMPORTRANGE(""https://docs.google.com/spreadsheets/d/1SDNX3JhDdYRuIOsj0Wh2M-Qa_eaXl0NbWmhAOTbf"&amp;"QAs/edit?usp=sharing"",""ปัตตานี!N66"")+IMPORTRANGE(""https://docs.google.com/spreadsheets/d/16JDLGguT8s5DsGCND1KcwHP_AWR_zDMTqLHPLJUKhaU/edit?usp=sharing"",""พังงา!N66"")+IMPORTRANGE(""https://docs.google.com/spreadsheets/d/17ht0gPKzzT3PObBL1XJkeRmntBXI7"&amp;"wGjpLV7QorqlTk/edit?usp=sharing"",""พัทลุง!N66"")+IMPORTRANGE(""https://docs.google.com/spreadsheets/d/1rd4qoM1q_hsgaolqNGfrim9gbsoLxQsda4-vOz5x_BM/edit?usp=sharing"",""ภูเก็ต!N66"")+IMPORTRANGE(""https://docs.google.com/spreadsheets/d/1woKwKjgoLssDvPcPeV"&amp;"yezB5izizAn4X1JDrys69n6xI/edit?usp=sharing"",""ยะลา!N66"")+IMPORTRANGE(""https://docs.google.com/spreadsheets/d/1qfrKjzMhm2HJfxQ-qVlJlJQ25Hne1d0khsySbZyGtPA/edit?usp=sharing"",""ระนอง!N66"")+IMPORTRANGE(""https://docs.google.com/spreadsheets/d/1IbSCnFOKpZ"&amp;"snFogBHJnL_isstZVaOMnFiIN0fGTPZZw/edit?usp=sharing"",""สงขลา!N66"")+IMPORTRANGE(""https://docs.google.com/spreadsheets/d/1q9nWasZJ-K8bFGvbE9n0qSRuKGA4Toe3Y89cKCiVtCU/edit?usp=sharing"",""สตูล!N66"")+IMPORTRANGE(""https://docs.google.com/spreadsheets/d/18T"&amp;"20gbkS_WBjdscyTOV05cvq_JqvqQ17C81mpxf7Ncs/edit?usp=sharing"",""สุราษฎร์ธานี!N66"")"),0)</f>
        <v>0</v>
      </c>
      <c r="O66" s="47">
        <f t="shared" ca="1" si="37"/>
        <v>0</v>
      </c>
      <c r="P66" s="47">
        <f t="shared" ca="1" si="38"/>
        <v>0</v>
      </c>
      <c r="Q66" s="47">
        <f ca="1">IFERROR(__xludf.DUMMYFUNCTION("IMPORTRANGE(""https://docs.google.com/spreadsheets/d/1kKUcYdkIfrgTSj8iHHHB2MD2FAtwyyocFgqGQn6ADyI/edit?usp=sharing"",""กระบี่!Q66"")+IMPORTRANGE(""https://docs.google.com/spreadsheets/d/1GwtLaSlNZkLk7iDqcyZz22giiy40b_usZZBXYciEN1U/edit?usp=sharing"",""ชุม"&amp;"พร!Q66"")+IMPORTRANGE(""https://docs.google.com/spreadsheets/d/16pAz3pOhQEZBhvFNMa5KGgZS6iKWpsKX0pg6tQmwFpo/edit?usp=sharing"",""ตรัง!Q66"")+IMPORTRANGE(""https://docs.google.com/spreadsheets/d/1Dj4jcHCTV9JXKCaMoheSXS52JE63kDKyG7bPXnFogHk/edit?usp=sharing"&amp;""",""นครศรีธรรมราช!Q66"")+IMPORTRANGE(""https://docs.google.com/spreadsheets/d/1iodCdmuK2GR3jzUwk8tpccY2JHQQA-87DLOtJP-ooyU/edit?usp=sharing"",""นราธิวาส!Q66"")+IMPORTRANGE(""https://docs.google.com/spreadsheets/d/1SDNX3JhDdYRuIOsj0Wh2M-Qa_eaXl0NbWmhAOTbf"&amp;"QAs/edit?usp=sharing"",""ปัตตานี!Q66"")+IMPORTRANGE(""https://docs.google.com/spreadsheets/d/16JDLGguT8s5DsGCND1KcwHP_AWR_zDMTqLHPLJUKhaU/edit?usp=sharing"",""พังงา!Q66"")+IMPORTRANGE(""https://docs.google.com/spreadsheets/d/17ht0gPKzzT3PObBL1XJkeRmntBXI7"&amp;"wGjpLV7QorqlTk/edit?usp=sharing"",""พัทลุง!Q66"")+IMPORTRANGE(""https://docs.google.com/spreadsheets/d/1rd4qoM1q_hsgaolqNGfrim9gbsoLxQsda4-vOz5x_BM/edit?usp=sharing"",""ภูเก็ต!Q66"")+IMPORTRANGE(""https://docs.google.com/spreadsheets/d/1woKwKjgoLssDvPcPeV"&amp;"yezB5izizAn4X1JDrys69n6xI/edit?usp=sharing"",""ยะลา!Q66"")+IMPORTRANGE(""https://docs.google.com/spreadsheets/d/1qfrKjzMhm2HJfxQ-qVlJlJQ25Hne1d0khsySbZyGtPA/edit?usp=sharing"",""ระนอง!Q66"")+IMPORTRANGE(""https://docs.google.com/spreadsheets/d/1IbSCnFOKpZ"&amp;"snFogBHJnL_isstZVaOMnFiIN0fGTPZZw/edit?usp=sharing"",""สงขลา!Q66"")+IMPORTRANGE(""https://docs.google.com/spreadsheets/d/1q9nWasZJ-K8bFGvbE9n0qSRuKGA4Toe3Y89cKCiVtCU/edit?usp=sharing"",""สตูล!Q66"")+IMPORTRANGE(""https://docs.google.com/spreadsheets/d/18T"&amp;"20gbkS_WBjdscyTOV05cvq_JqvqQ17C81mpxf7Ncs/edit?usp=sharing"",""สุราษฎร์ธานี!Q66"")"),0)</f>
        <v>0</v>
      </c>
      <c r="R66" s="47">
        <f ca="1">IFERROR(__xludf.DUMMYFUNCTION("IMPORTRANGE(""https://docs.google.com/spreadsheets/d/1kKUcYdkIfrgTSj8iHHHB2MD2FAtwyyocFgqGQn6ADyI/edit?usp=sharing"",""กระบี่!R66"")+IMPORTRANGE(""https://docs.google.com/spreadsheets/d/1GwtLaSlNZkLk7iDqcyZz22giiy40b_usZZBXYciEN1U/edit?usp=sharing"",""ชุม"&amp;"พร!R66"")+IMPORTRANGE(""https://docs.google.com/spreadsheets/d/16pAz3pOhQEZBhvFNMa5KGgZS6iKWpsKX0pg6tQmwFpo/edit?usp=sharing"",""ตรัง!R66"")+IMPORTRANGE(""https://docs.google.com/spreadsheets/d/1Dj4jcHCTV9JXKCaMoheSXS52JE63kDKyG7bPXnFogHk/edit?usp=sharing"&amp;""",""นครศรีธรรมราช!R66"")+IMPORTRANGE(""https://docs.google.com/spreadsheets/d/1iodCdmuK2GR3jzUwk8tpccY2JHQQA-87DLOtJP-ooyU/edit?usp=sharing"",""นราธิวาส!R66"")+IMPORTRANGE(""https://docs.google.com/spreadsheets/d/1SDNX3JhDdYRuIOsj0Wh2M-Qa_eaXl0NbWmhAOTbf"&amp;"QAs/edit?usp=sharing"",""ปัตตานี!R66"")+IMPORTRANGE(""https://docs.google.com/spreadsheets/d/16JDLGguT8s5DsGCND1KcwHP_AWR_zDMTqLHPLJUKhaU/edit?usp=sharing"",""พังงา!R66"")+IMPORTRANGE(""https://docs.google.com/spreadsheets/d/17ht0gPKzzT3PObBL1XJkeRmntBXI7"&amp;"wGjpLV7QorqlTk/edit?usp=sharing"",""พัทลุง!R66"")+IMPORTRANGE(""https://docs.google.com/spreadsheets/d/1rd4qoM1q_hsgaolqNGfrim9gbsoLxQsda4-vOz5x_BM/edit?usp=sharing"",""ภูเก็ต!R66"")+IMPORTRANGE(""https://docs.google.com/spreadsheets/d/1woKwKjgoLssDvPcPeV"&amp;"yezB5izizAn4X1JDrys69n6xI/edit?usp=sharing"",""ยะลา!R66"")+IMPORTRANGE(""https://docs.google.com/spreadsheets/d/1qfrKjzMhm2HJfxQ-qVlJlJQ25Hne1d0khsySbZyGtPA/edit?usp=sharing"",""ระนอง!R66"")+IMPORTRANGE(""https://docs.google.com/spreadsheets/d/1IbSCnFOKpZ"&amp;"snFogBHJnL_isstZVaOMnFiIN0fGTPZZw/edit?usp=sharing"",""สงขลา!R66"")+IMPORTRANGE(""https://docs.google.com/spreadsheets/d/1q9nWasZJ-K8bFGvbE9n0qSRuKGA4Toe3Y89cKCiVtCU/edit?usp=sharing"",""สตูล!R66"")+IMPORTRANGE(""https://docs.google.com/spreadsheets/d/18T"&amp;"20gbkS_WBjdscyTOV05cvq_JqvqQ17C81mpxf7Ncs/edit?usp=sharing"",""สุราษฎร์ธานี!R66"")"),0)</f>
        <v>0</v>
      </c>
      <c r="S66" s="47">
        <f ca="1">IFERROR(__xludf.DUMMYFUNCTION("IMPORTRANGE(""https://docs.google.com/spreadsheets/d/1kKUcYdkIfrgTSj8iHHHB2MD2FAtwyyocFgqGQn6ADyI/edit?usp=sharing"",""กระบี่!S66"")+IMPORTRANGE(""https://docs.google.com/spreadsheets/d/1GwtLaSlNZkLk7iDqcyZz22giiy40b_usZZBXYciEN1U/edit?usp=sharing"",""ชุม"&amp;"พร!S66"")+IMPORTRANGE(""https://docs.google.com/spreadsheets/d/16pAz3pOhQEZBhvFNMa5KGgZS6iKWpsKX0pg6tQmwFpo/edit?usp=sharing"",""ตรัง!S66"")+IMPORTRANGE(""https://docs.google.com/spreadsheets/d/1Dj4jcHCTV9JXKCaMoheSXS52JE63kDKyG7bPXnFogHk/edit?usp=sharing"&amp;""",""นครศรีธรรมราช!S66"")+IMPORTRANGE(""https://docs.google.com/spreadsheets/d/1iodCdmuK2GR3jzUwk8tpccY2JHQQA-87DLOtJP-ooyU/edit?usp=sharing"",""นราธิวาส!S66"")+IMPORTRANGE(""https://docs.google.com/spreadsheets/d/1SDNX3JhDdYRuIOsj0Wh2M-Qa_eaXl0NbWmhAOTbf"&amp;"QAs/edit?usp=sharing"",""ปัตตานี!S66"")+IMPORTRANGE(""https://docs.google.com/spreadsheets/d/16JDLGguT8s5DsGCND1KcwHP_AWR_zDMTqLHPLJUKhaU/edit?usp=sharing"",""พังงา!S66"")+IMPORTRANGE(""https://docs.google.com/spreadsheets/d/17ht0gPKzzT3PObBL1XJkeRmntBXI7"&amp;"wGjpLV7QorqlTk/edit?usp=sharing"",""พัทลุง!S66"")+IMPORTRANGE(""https://docs.google.com/spreadsheets/d/1rd4qoM1q_hsgaolqNGfrim9gbsoLxQsda4-vOz5x_BM/edit?usp=sharing"",""ภูเก็ต!S66"")+IMPORTRANGE(""https://docs.google.com/spreadsheets/d/1woKwKjgoLssDvPcPeV"&amp;"yezB5izizAn4X1JDrys69n6xI/edit?usp=sharing"",""ยะลา!S66"")+IMPORTRANGE(""https://docs.google.com/spreadsheets/d/1qfrKjzMhm2HJfxQ-qVlJlJQ25Hne1d0khsySbZyGtPA/edit?usp=sharing"",""ระนอง!S66"")+IMPORTRANGE(""https://docs.google.com/spreadsheets/d/1IbSCnFOKpZ"&amp;"snFogBHJnL_isstZVaOMnFiIN0fGTPZZw/edit?usp=sharing"",""สงขลา!S66"")+IMPORTRANGE(""https://docs.google.com/spreadsheets/d/1q9nWasZJ-K8bFGvbE9n0qSRuKGA4Toe3Y89cKCiVtCU/edit?usp=sharing"",""สตูล!S66"")+IMPORTRANGE(""https://docs.google.com/spreadsheets/d/18T"&amp;"20gbkS_WBjdscyTOV05cvq_JqvqQ17C81mpxf7Ncs/edit?usp=sharing"",""สุราษฎร์ธานี!S66"")"),0)</f>
        <v>0</v>
      </c>
      <c r="T66" s="49">
        <f t="shared" ca="1" si="40"/>
        <v>0</v>
      </c>
      <c r="U66" s="49">
        <f t="shared" ca="1" si="41"/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111">
        <f ca="1">IFERROR(__xludf.DUMMYFUNCTION("IMPORTRANGE(""https://docs.google.com/spreadsheets/d/1kKUcYdkIfrgTSj8iHHHB2MD2FAtwyyocFgqGQn6ADyI/edit?usp=sharing"",""กระบี่!L67"")+IMPORTRANGE(""https://docs.google.com/spreadsheets/d/1GwtLaSlNZkLk7iDqcyZz22giiy40b_usZZBXYciEN1U/edit?usp=sharing"",""ชุม"&amp;"พร!L67"")+IMPORTRANGE(""https://docs.google.com/spreadsheets/d/16pAz3pOhQEZBhvFNMa5KGgZS6iKWpsKX0pg6tQmwFpo/edit?usp=sharing"",""ตรัง!L67"")+IMPORTRANGE(""https://docs.google.com/spreadsheets/d/1Dj4jcHCTV9JXKCaMoheSXS52JE63kDKyG7bPXnFogHk/edit?usp=sharing"&amp;""",""นครศรีธรรมราช!L67"")+IMPORTRANGE(""https://docs.google.com/spreadsheets/d/1iodCdmuK2GR3jzUwk8tpccY2JHQQA-87DLOtJP-ooyU/edit?usp=sharing"",""นราธิวาส!L67"")+IMPORTRANGE(""https://docs.google.com/spreadsheets/d/1SDNX3JhDdYRuIOsj0Wh2M-Qa_eaXl0NbWmhAOTbf"&amp;"QAs/edit?usp=sharing"",""ปัตตานี!L67"")+IMPORTRANGE(""https://docs.google.com/spreadsheets/d/16JDLGguT8s5DsGCND1KcwHP_AWR_zDMTqLHPLJUKhaU/edit?usp=sharing"",""พังงา!L67"")+IMPORTRANGE(""https://docs.google.com/spreadsheets/d/17ht0gPKzzT3PObBL1XJkeRmntBXI7"&amp;"wGjpLV7QorqlTk/edit?usp=sharing"",""พัทลุง!L67"")+IMPORTRANGE(""https://docs.google.com/spreadsheets/d/1rd4qoM1q_hsgaolqNGfrim9gbsoLxQsda4-vOz5x_BM/edit?usp=sharing"",""ภูเก็ต!L67"")+IMPORTRANGE(""https://docs.google.com/spreadsheets/d/1woKwKjgoLssDvPcPeV"&amp;"yezB5izizAn4X1JDrys69n6xI/edit?usp=sharing"",""ยะลา!L67"")+IMPORTRANGE(""https://docs.google.com/spreadsheets/d/1qfrKjzMhm2HJfxQ-qVlJlJQ25Hne1d0khsySbZyGtPA/edit?usp=sharing"",""ระนอง!L67"")+IMPORTRANGE(""https://docs.google.com/spreadsheets/d/1IbSCnFOKpZ"&amp;"snFogBHJnL_isstZVaOMnFiIN0fGTPZZw/edit?usp=sharing"",""สงขลา!L67"")+IMPORTRANGE(""https://docs.google.com/spreadsheets/d/1q9nWasZJ-K8bFGvbE9n0qSRuKGA4Toe3Y89cKCiVtCU/edit?usp=sharing"",""สตูล!L67"")+IMPORTRANGE(""https://docs.google.com/spreadsheets/d/18T"&amp;"20gbkS_WBjdscyTOV05cvq_JqvqQ17C81mpxf7Ncs/edit?usp=sharing"",""สุราษฎร์ธานี!L67"")"),15946000)</f>
        <v>15946000</v>
      </c>
      <c r="M67" s="111">
        <f ca="1">IFERROR(__xludf.DUMMYFUNCTION("IMPORTRANGE(""https://docs.google.com/spreadsheets/d/1kKUcYdkIfrgTSj8iHHHB2MD2FAtwyyocFgqGQn6ADyI/edit?usp=sharing"",""กระบี่!M67"")+IMPORTRANGE(""https://docs.google.com/spreadsheets/d/1GwtLaSlNZkLk7iDqcyZz22giiy40b_usZZBXYciEN1U/edit?usp=sharing"",""ชุม"&amp;"พร!M67"")+IMPORTRANGE(""https://docs.google.com/spreadsheets/d/16pAz3pOhQEZBhvFNMa5KGgZS6iKWpsKX0pg6tQmwFpo/edit?usp=sharing"",""ตรัง!M67"")+IMPORTRANGE(""https://docs.google.com/spreadsheets/d/1Dj4jcHCTV9JXKCaMoheSXS52JE63kDKyG7bPXnFogHk/edit?usp=sharing"&amp;""",""นครศรีธรรมราช!M67"")+IMPORTRANGE(""https://docs.google.com/spreadsheets/d/1iodCdmuK2GR3jzUwk8tpccY2JHQQA-87DLOtJP-ooyU/edit?usp=sharing"",""นราธิวาส!M67"")+IMPORTRANGE(""https://docs.google.com/spreadsheets/d/1SDNX3JhDdYRuIOsj0Wh2M-Qa_eaXl0NbWmhAOTbf"&amp;"QAs/edit?usp=sharing"",""ปัตตานี!M67"")+IMPORTRANGE(""https://docs.google.com/spreadsheets/d/16JDLGguT8s5DsGCND1KcwHP_AWR_zDMTqLHPLJUKhaU/edit?usp=sharing"",""พังงา!M67"")+IMPORTRANGE(""https://docs.google.com/spreadsheets/d/17ht0gPKzzT3PObBL1XJkeRmntBXI7"&amp;"wGjpLV7QorqlTk/edit?usp=sharing"",""พัทลุง!M67"")+IMPORTRANGE(""https://docs.google.com/spreadsheets/d/1rd4qoM1q_hsgaolqNGfrim9gbsoLxQsda4-vOz5x_BM/edit?usp=sharing"",""ภูเก็ต!M67"")+IMPORTRANGE(""https://docs.google.com/spreadsheets/d/1woKwKjgoLssDvPcPeV"&amp;"yezB5izizAn4X1JDrys69n6xI/edit?usp=sharing"",""ยะลา!M67"")+IMPORTRANGE(""https://docs.google.com/spreadsheets/d/1qfrKjzMhm2HJfxQ-qVlJlJQ25Hne1d0khsySbZyGtPA/edit?usp=sharing"",""ระนอง!M67"")+IMPORTRANGE(""https://docs.google.com/spreadsheets/d/1IbSCnFOKpZ"&amp;"snFogBHJnL_isstZVaOMnFiIN0fGTPZZw/edit?usp=sharing"",""สงขลา!M67"")+IMPORTRANGE(""https://docs.google.com/spreadsheets/d/1q9nWasZJ-K8bFGvbE9n0qSRuKGA4Toe3Y89cKCiVtCU/edit?usp=sharing"",""สตูล!M67"")+IMPORTRANGE(""https://docs.google.com/spreadsheets/d/18T"&amp;"20gbkS_WBjdscyTOV05cvq_JqvqQ17C81mpxf7Ncs/edit?usp=sharing"",""สุราษฎร์ธานี!M67"")"),15846000)</f>
        <v>15846000</v>
      </c>
      <c r="N67" s="111">
        <f ca="1">IFERROR(__xludf.DUMMYFUNCTION("IMPORTRANGE(""https://docs.google.com/spreadsheets/d/1kKUcYdkIfrgTSj8iHHHB2MD2FAtwyyocFgqGQn6ADyI/edit?usp=sharing"",""กระบี่!N67"")+IMPORTRANGE(""https://docs.google.com/spreadsheets/d/1GwtLaSlNZkLk7iDqcyZz22giiy40b_usZZBXYciEN1U/edit?usp=sharing"",""ชุม"&amp;"พร!N67"")+IMPORTRANGE(""https://docs.google.com/spreadsheets/d/16pAz3pOhQEZBhvFNMa5KGgZS6iKWpsKX0pg6tQmwFpo/edit?usp=sharing"",""ตรัง!N67"")+IMPORTRANGE(""https://docs.google.com/spreadsheets/d/1Dj4jcHCTV9JXKCaMoheSXS52JE63kDKyG7bPXnFogHk/edit?usp=sharing"&amp;""",""นครศรีธรรมราช!N67"")+IMPORTRANGE(""https://docs.google.com/spreadsheets/d/1iodCdmuK2GR3jzUwk8tpccY2JHQQA-87DLOtJP-ooyU/edit?usp=sharing"",""นราธิวาส!N67"")+IMPORTRANGE(""https://docs.google.com/spreadsheets/d/1SDNX3JhDdYRuIOsj0Wh2M-Qa_eaXl0NbWmhAOTbf"&amp;"QAs/edit?usp=sharing"",""ปัตตานี!N67"")+IMPORTRANGE(""https://docs.google.com/spreadsheets/d/16JDLGguT8s5DsGCND1KcwHP_AWR_zDMTqLHPLJUKhaU/edit?usp=sharing"",""พังงา!N67"")+IMPORTRANGE(""https://docs.google.com/spreadsheets/d/17ht0gPKzzT3PObBL1XJkeRmntBXI7"&amp;"wGjpLV7QorqlTk/edit?usp=sharing"",""พัทลุง!N67"")+IMPORTRANGE(""https://docs.google.com/spreadsheets/d/1rd4qoM1q_hsgaolqNGfrim9gbsoLxQsda4-vOz5x_BM/edit?usp=sharing"",""ภูเก็ต!N67"")+IMPORTRANGE(""https://docs.google.com/spreadsheets/d/1woKwKjgoLssDvPcPeV"&amp;"yezB5izizAn4X1JDrys69n6xI/edit?usp=sharing"",""ยะลา!N67"")+IMPORTRANGE(""https://docs.google.com/spreadsheets/d/1qfrKjzMhm2HJfxQ-qVlJlJQ25Hne1d0khsySbZyGtPA/edit?usp=sharing"",""ระนอง!N67"")+IMPORTRANGE(""https://docs.google.com/spreadsheets/d/1IbSCnFOKpZ"&amp;"snFogBHJnL_isstZVaOMnFiIN0fGTPZZw/edit?usp=sharing"",""สงขลา!N67"")+IMPORTRANGE(""https://docs.google.com/spreadsheets/d/1q9nWasZJ-K8bFGvbE9n0qSRuKGA4Toe3Y89cKCiVtCU/edit?usp=sharing"",""สตูล!N67"")+IMPORTRANGE(""https://docs.google.com/spreadsheets/d/18T"&amp;"20gbkS_WBjdscyTOV05cvq_JqvqQ17C81mpxf7Ncs/edit?usp=sharing"",""สุราษฎร์ธานี!N67"")"),1537596.39)</f>
        <v>1537596.39</v>
      </c>
      <c r="O67" s="111">
        <f t="shared" ca="1" si="37"/>
        <v>9.6425209456917091</v>
      </c>
      <c r="P67" s="111">
        <f t="shared" ca="1" si="38"/>
        <v>9.7033723968193861</v>
      </c>
      <c r="Q67" s="111">
        <f ca="1">IFERROR(__xludf.DUMMYFUNCTION("IMPORTRANGE(""https://docs.google.com/spreadsheets/d/1kKUcYdkIfrgTSj8iHHHB2MD2FAtwyyocFgqGQn6ADyI/edit?usp=sharing"",""กระบี่!Q67"")+IMPORTRANGE(""https://docs.google.com/spreadsheets/d/1GwtLaSlNZkLk7iDqcyZz22giiy40b_usZZBXYciEN1U/edit?usp=sharing"",""ชุม"&amp;"พร!Q67"")+IMPORTRANGE(""https://docs.google.com/spreadsheets/d/16pAz3pOhQEZBhvFNMa5KGgZS6iKWpsKX0pg6tQmwFpo/edit?usp=sharing"",""ตรัง!Q67"")+IMPORTRANGE(""https://docs.google.com/spreadsheets/d/1Dj4jcHCTV9JXKCaMoheSXS52JE63kDKyG7bPXnFogHk/edit?usp=sharing"&amp;""",""นครศรีธรรมราช!Q67"")+IMPORTRANGE(""https://docs.google.com/spreadsheets/d/1iodCdmuK2GR3jzUwk8tpccY2JHQQA-87DLOtJP-ooyU/edit?usp=sharing"",""นราธิวาส!Q67"")+IMPORTRANGE(""https://docs.google.com/spreadsheets/d/1SDNX3JhDdYRuIOsj0Wh2M-Qa_eaXl0NbWmhAOTbf"&amp;"QAs/edit?usp=sharing"",""ปัตตานี!Q67"")+IMPORTRANGE(""https://docs.google.com/spreadsheets/d/16JDLGguT8s5DsGCND1KcwHP_AWR_zDMTqLHPLJUKhaU/edit?usp=sharing"",""พังงา!Q67"")+IMPORTRANGE(""https://docs.google.com/spreadsheets/d/17ht0gPKzzT3PObBL1XJkeRmntBXI7"&amp;"wGjpLV7QorqlTk/edit?usp=sharing"",""พัทลุง!Q67"")+IMPORTRANGE(""https://docs.google.com/spreadsheets/d/1rd4qoM1q_hsgaolqNGfrim9gbsoLxQsda4-vOz5x_BM/edit?usp=sharing"",""ภูเก็ต!Q67"")+IMPORTRANGE(""https://docs.google.com/spreadsheets/d/1woKwKjgoLssDvPcPeV"&amp;"yezB5izizAn4X1JDrys69n6xI/edit?usp=sharing"",""ยะลา!Q67"")+IMPORTRANGE(""https://docs.google.com/spreadsheets/d/1qfrKjzMhm2HJfxQ-qVlJlJQ25Hne1d0khsySbZyGtPA/edit?usp=sharing"",""ระนอง!Q67"")+IMPORTRANGE(""https://docs.google.com/spreadsheets/d/1IbSCnFOKpZ"&amp;"snFogBHJnL_isstZVaOMnFiIN0fGTPZZw/edit?usp=sharing"",""สงขลา!Q67"")+IMPORTRANGE(""https://docs.google.com/spreadsheets/d/1q9nWasZJ-K8bFGvbE9n0qSRuKGA4Toe3Y89cKCiVtCU/edit?usp=sharing"",""สตูล!Q67"")+IMPORTRANGE(""https://docs.google.com/spreadsheets/d/18T"&amp;"20gbkS_WBjdscyTOV05cvq_JqvqQ17C81mpxf7Ncs/edit?usp=sharing"",""สุราษฎร์ธานี!Q67"")"),0)</f>
        <v>0</v>
      </c>
      <c r="R67" s="111">
        <f ca="1">IFERROR(__xludf.DUMMYFUNCTION("IMPORTRANGE(""https://docs.google.com/spreadsheets/d/1kKUcYdkIfrgTSj8iHHHB2MD2FAtwyyocFgqGQn6ADyI/edit?usp=sharing"",""กระบี่!R67"")+IMPORTRANGE(""https://docs.google.com/spreadsheets/d/1GwtLaSlNZkLk7iDqcyZz22giiy40b_usZZBXYciEN1U/edit?usp=sharing"",""ชุม"&amp;"พร!R67"")+IMPORTRANGE(""https://docs.google.com/spreadsheets/d/16pAz3pOhQEZBhvFNMa5KGgZS6iKWpsKX0pg6tQmwFpo/edit?usp=sharing"",""ตรัง!R67"")+IMPORTRANGE(""https://docs.google.com/spreadsheets/d/1Dj4jcHCTV9JXKCaMoheSXS52JE63kDKyG7bPXnFogHk/edit?usp=sharing"&amp;""",""นครศรีธรรมราช!R67"")+IMPORTRANGE(""https://docs.google.com/spreadsheets/d/1iodCdmuK2GR3jzUwk8tpccY2JHQQA-87DLOtJP-ooyU/edit?usp=sharing"",""นราธิวาส!R67"")+IMPORTRANGE(""https://docs.google.com/spreadsheets/d/1SDNX3JhDdYRuIOsj0Wh2M-Qa_eaXl0NbWmhAOTbf"&amp;"QAs/edit?usp=sharing"",""ปัตตานี!R67"")+IMPORTRANGE(""https://docs.google.com/spreadsheets/d/16JDLGguT8s5DsGCND1KcwHP_AWR_zDMTqLHPLJUKhaU/edit?usp=sharing"",""พังงา!R67"")+IMPORTRANGE(""https://docs.google.com/spreadsheets/d/17ht0gPKzzT3PObBL1XJkeRmntBXI7"&amp;"wGjpLV7QorqlTk/edit?usp=sharing"",""พัทลุง!R67"")+IMPORTRANGE(""https://docs.google.com/spreadsheets/d/1rd4qoM1q_hsgaolqNGfrim9gbsoLxQsda4-vOz5x_BM/edit?usp=sharing"",""ภูเก็ต!R67"")+IMPORTRANGE(""https://docs.google.com/spreadsheets/d/1woKwKjgoLssDvPcPeV"&amp;"yezB5izizAn4X1JDrys69n6xI/edit?usp=sharing"",""ยะลา!R67"")+IMPORTRANGE(""https://docs.google.com/spreadsheets/d/1qfrKjzMhm2HJfxQ-qVlJlJQ25Hne1d0khsySbZyGtPA/edit?usp=sharing"",""ระนอง!R67"")+IMPORTRANGE(""https://docs.google.com/spreadsheets/d/1IbSCnFOKpZ"&amp;"snFogBHJnL_isstZVaOMnFiIN0fGTPZZw/edit?usp=sharing"",""สงขลา!R67"")+IMPORTRANGE(""https://docs.google.com/spreadsheets/d/1q9nWasZJ-K8bFGvbE9n0qSRuKGA4Toe3Y89cKCiVtCU/edit?usp=sharing"",""สตูล!R67"")+IMPORTRANGE(""https://docs.google.com/spreadsheets/d/18T"&amp;"20gbkS_WBjdscyTOV05cvq_JqvqQ17C81mpxf7Ncs/edit?usp=sharing"",""สุราษฎร์ธานี!R67"")"),0)</f>
        <v>0</v>
      </c>
      <c r="S67" s="111">
        <f ca="1">IFERROR(__xludf.DUMMYFUNCTION("IMPORTRANGE(""https://docs.google.com/spreadsheets/d/1kKUcYdkIfrgTSj8iHHHB2MD2FAtwyyocFgqGQn6ADyI/edit?usp=sharing"",""กระบี่!S67"")+IMPORTRANGE(""https://docs.google.com/spreadsheets/d/1GwtLaSlNZkLk7iDqcyZz22giiy40b_usZZBXYciEN1U/edit?usp=sharing"",""ชุม"&amp;"พร!S67"")+IMPORTRANGE(""https://docs.google.com/spreadsheets/d/16pAz3pOhQEZBhvFNMa5KGgZS6iKWpsKX0pg6tQmwFpo/edit?usp=sharing"",""ตรัง!S67"")+IMPORTRANGE(""https://docs.google.com/spreadsheets/d/1Dj4jcHCTV9JXKCaMoheSXS52JE63kDKyG7bPXnFogHk/edit?usp=sharing"&amp;""",""นครศรีธรรมราช!S67"")+IMPORTRANGE(""https://docs.google.com/spreadsheets/d/1iodCdmuK2GR3jzUwk8tpccY2JHQQA-87DLOtJP-ooyU/edit?usp=sharing"",""นราธิวาส!S67"")+IMPORTRANGE(""https://docs.google.com/spreadsheets/d/1SDNX3JhDdYRuIOsj0Wh2M-Qa_eaXl0NbWmhAOTbf"&amp;"QAs/edit?usp=sharing"",""ปัตตานี!S67"")+IMPORTRANGE(""https://docs.google.com/spreadsheets/d/16JDLGguT8s5DsGCND1KcwHP_AWR_zDMTqLHPLJUKhaU/edit?usp=sharing"",""พังงา!S67"")+IMPORTRANGE(""https://docs.google.com/spreadsheets/d/17ht0gPKzzT3PObBL1XJkeRmntBXI7"&amp;"wGjpLV7QorqlTk/edit?usp=sharing"",""พัทลุง!S67"")+IMPORTRANGE(""https://docs.google.com/spreadsheets/d/1rd4qoM1q_hsgaolqNGfrim9gbsoLxQsda4-vOz5x_BM/edit?usp=sharing"",""ภูเก็ต!S67"")+IMPORTRANGE(""https://docs.google.com/spreadsheets/d/1woKwKjgoLssDvPcPeV"&amp;"yezB5izizAn4X1JDrys69n6xI/edit?usp=sharing"",""ยะลา!S67"")+IMPORTRANGE(""https://docs.google.com/spreadsheets/d/1qfrKjzMhm2HJfxQ-qVlJlJQ25Hne1d0khsySbZyGtPA/edit?usp=sharing"",""ระนอง!S67"")+IMPORTRANGE(""https://docs.google.com/spreadsheets/d/1IbSCnFOKpZ"&amp;"snFogBHJnL_isstZVaOMnFiIN0fGTPZZw/edit?usp=sharing"",""สงขลา!S67"")+IMPORTRANGE(""https://docs.google.com/spreadsheets/d/1q9nWasZJ-K8bFGvbE9n0qSRuKGA4Toe3Y89cKCiVtCU/edit?usp=sharing"",""สตูล!S67"")+IMPORTRANGE(""https://docs.google.com/spreadsheets/d/18T"&amp;"20gbkS_WBjdscyTOV05cvq_JqvqQ17C81mpxf7Ncs/edit?usp=sharing"",""สุราษฎร์ธานี!S67"")"),0)</f>
        <v>0</v>
      </c>
      <c r="T67" s="111">
        <f t="shared" ca="1" si="40"/>
        <v>0</v>
      </c>
      <c r="U67" s="111">
        <f t="shared" ca="1" si="41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t="shared" ref="I70:J70" ca="1" si="50">I82</f>
        <v>4</v>
      </c>
      <c r="J70" s="127">
        <f t="shared" ca="1" si="50"/>
        <v>2</v>
      </c>
      <c r="K70" s="35">
        <f t="shared" ref="K70:K71" ca="1" si="51">IF(I70&gt;0,J70*100/I70,0)</f>
        <v>50</v>
      </c>
      <c r="L70" s="34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t="shared" ref="I71:J71" ca="1" si="52">I83</f>
        <v>121</v>
      </c>
      <c r="J71" s="127">
        <f t="shared" ca="1" si="52"/>
        <v>61</v>
      </c>
      <c r="K71" s="35">
        <f t="shared" ca="1" si="51"/>
        <v>50.413223140495866</v>
      </c>
      <c r="L71" s="34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130" t="s">
        <v>19</v>
      </c>
      <c r="E72" s="41"/>
      <c r="F72" s="41"/>
      <c r="G72" s="43"/>
      <c r="H72" s="131" t="s">
        <v>14</v>
      </c>
      <c r="I72" s="45"/>
      <c r="J72" s="45"/>
      <c r="K72" s="46"/>
      <c r="L72" s="132">
        <f t="shared" ref="L72:N72" ca="1" si="53">L73+L74</f>
        <v>639900</v>
      </c>
      <c r="M72" s="132">
        <f t="shared" ca="1" si="53"/>
        <v>795900</v>
      </c>
      <c r="N72" s="132">
        <f t="shared" ca="1" si="53"/>
        <v>532332.77</v>
      </c>
      <c r="O72" s="132">
        <f t="shared" ref="O72:O80" ca="1" si="54">IF(L72&gt;0,N72*100/L72,0)</f>
        <v>83.189993749023287</v>
      </c>
      <c r="P72" s="132">
        <f t="shared" ref="P72:P80" ca="1" si="55">IF(M72&gt;0,N72*100/M72,0)</f>
        <v>66.8843786907903</v>
      </c>
      <c r="Q72" s="132">
        <f t="shared" ref="Q72:S72" ca="1" si="56">Q73+Q74</f>
        <v>1525812</v>
      </c>
      <c r="R72" s="132">
        <f t="shared" ca="1" si="56"/>
        <v>1525812</v>
      </c>
      <c r="S72" s="132">
        <f t="shared" ca="1" si="56"/>
        <v>171514</v>
      </c>
      <c r="T72" s="132">
        <f t="shared" ref="T72:T80" ca="1" si="57">IF(Q72&gt;0,S72*100/Q72,0)</f>
        <v>11.240834388509199</v>
      </c>
      <c r="U72" s="132">
        <f t="shared" ref="U72:U80" ca="1" si="58">IF(R72&gt;0,S72*100/R72,0)</f>
        <v>11.240834388509199</v>
      </c>
    </row>
    <row r="73" spans="1:21" ht="18.75" hidden="1" x14ac:dyDescent="0.25">
      <c r="A73" s="128"/>
      <c r="B73" s="41"/>
      <c r="C73" s="41"/>
      <c r="D73" s="41"/>
      <c r="E73" s="48" t="s">
        <v>20</v>
      </c>
      <c r="F73" s="41"/>
      <c r="G73" s="43"/>
      <c r="H73" s="133" t="s">
        <v>14</v>
      </c>
      <c r="I73" s="45"/>
      <c r="J73" s="45"/>
      <c r="K73" s="46"/>
      <c r="L73" s="47">
        <f t="shared" ref="L73:N73" ca="1" si="59">L76+L79</f>
        <v>0</v>
      </c>
      <c r="M73" s="47">
        <f t="shared" ca="1" si="59"/>
        <v>0</v>
      </c>
      <c r="N73" s="47">
        <f t="shared" ca="1" si="59"/>
        <v>0</v>
      </c>
      <c r="O73" s="47">
        <f t="shared" ca="1" si="54"/>
        <v>0</v>
      </c>
      <c r="P73" s="47">
        <f t="shared" ca="1" si="55"/>
        <v>0</v>
      </c>
      <c r="Q73" s="47">
        <f t="shared" ref="Q73:S73" ca="1" si="60">Q76+Q79</f>
        <v>0</v>
      </c>
      <c r="R73" s="47">
        <f t="shared" ca="1" si="60"/>
        <v>0</v>
      </c>
      <c r="S73" s="47">
        <f t="shared" ca="1" si="60"/>
        <v>0</v>
      </c>
      <c r="T73" s="49">
        <f t="shared" ca="1" si="57"/>
        <v>0</v>
      </c>
      <c r="U73" s="49">
        <f t="shared" ca="1" si="58"/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7">
        <f t="shared" ref="L74:N74" ca="1" si="61">L77+L80</f>
        <v>639900</v>
      </c>
      <c r="M74" s="47">
        <f t="shared" ca="1" si="61"/>
        <v>795900</v>
      </c>
      <c r="N74" s="47">
        <f t="shared" ca="1" si="61"/>
        <v>532332.77</v>
      </c>
      <c r="O74" s="47">
        <f t="shared" ca="1" si="54"/>
        <v>83.189993749023287</v>
      </c>
      <c r="P74" s="47">
        <f t="shared" ca="1" si="55"/>
        <v>66.8843786907903</v>
      </c>
      <c r="Q74" s="47">
        <f t="shared" ref="Q74:S74" ca="1" si="62">Q77+Q80</f>
        <v>1525812</v>
      </c>
      <c r="R74" s="47">
        <f t="shared" ca="1" si="62"/>
        <v>1525812</v>
      </c>
      <c r="S74" s="47">
        <f t="shared" ca="1" si="62"/>
        <v>171514</v>
      </c>
      <c r="T74" s="47">
        <f t="shared" ca="1" si="57"/>
        <v>11.240834388509199</v>
      </c>
      <c r="U74" s="47">
        <f t="shared" ca="1" si="58"/>
        <v>11.240834388509199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7">
        <f t="shared" ref="L75:N75" ca="1" si="63">L76+L77</f>
        <v>639900</v>
      </c>
      <c r="M75" s="47">
        <f t="shared" ca="1" si="63"/>
        <v>795900</v>
      </c>
      <c r="N75" s="47">
        <f t="shared" ca="1" si="63"/>
        <v>532332.77</v>
      </c>
      <c r="O75" s="47">
        <f t="shared" ca="1" si="54"/>
        <v>83.189993749023287</v>
      </c>
      <c r="P75" s="47">
        <f t="shared" ca="1" si="55"/>
        <v>66.8843786907903</v>
      </c>
      <c r="Q75" s="47">
        <f t="shared" ref="Q75:S75" ca="1" si="64">Q76+Q77</f>
        <v>1525812</v>
      </c>
      <c r="R75" s="47">
        <f t="shared" ca="1" si="64"/>
        <v>1525812</v>
      </c>
      <c r="S75" s="47">
        <f t="shared" ca="1" si="64"/>
        <v>171514</v>
      </c>
      <c r="T75" s="47">
        <f t="shared" ca="1" si="57"/>
        <v>11.240834388509199</v>
      </c>
      <c r="U75" s="47">
        <f t="shared" ca="1" si="58"/>
        <v>11.240834388509199</v>
      </c>
    </row>
    <row r="76" spans="1:21" ht="18.75" hidden="1" x14ac:dyDescent="0.25">
      <c r="A76" s="128"/>
      <c r="B76" s="41"/>
      <c r="C76" s="41"/>
      <c r="D76" s="41"/>
      <c r="E76" s="48" t="s">
        <v>36</v>
      </c>
      <c r="F76" s="41"/>
      <c r="G76" s="43"/>
      <c r="H76" s="134" t="s">
        <v>14</v>
      </c>
      <c r="I76" s="135"/>
      <c r="J76" s="135"/>
      <c r="K76" s="136"/>
      <c r="L76" s="47">
        <f ca="1">IFERROR(__xludf.DUMMYFUNCTION("IMPORTRANGE(""https://docs.google.com/spreadsheets/d/1kKUcYdkIfrgTSj8iHHHB2MD2FAtwyyocFgqGQn6ADyI/edit?usp=sharing"",""กระบี่!L76"")+IMPORTRANGE(""https://docs.google.com/spreadsheets/d/1GwtLaSlNZkLk7iDqcyZz22giiy40b_usZZBXYciEN1U/edit?usp=sharing"",""ชุม"&amp;"พร!L76"")+IMPORTRANGE(""https://docs.google.com/spreadsheets/d/16pAz3pOhQEZBhvFNMa5KGgZS6iKWpsKX0pg6tQmwFpo/edit?usp=sharing"",""ตรัง!L76"")+IMPORTRANGE(""https://docs.google.com/spreadsheets/d/1Dj4jcHCTV9JXKCaMoheSXS52JE63kDKyG7bPXnFogHk/edit?usp=sharing"&amp;""",""นครศรีธรรมราช!L76"")+IMPORTRANGE(""https://docs.google.com/spreadsheets/d/1iodCdmuK2GR3jzUwk8tpccY2JHQQA-87DLOtJP-ooyU/edit?usp=sharing"",""นราธิวาส!L76"")+IMPORTRANGE(""https://docs.google.com/spreadsheets/d/1SDNX3JhDdYRuIOsj0Wh2M-Qa_eaXl0NbWmhAOTbf"&amp;"QAs/edit?usp=sharing"",""ปัตตานี!L76"")+IMPORTRANGE(""https://docs.google.com/spreadsheets/d/16JDLGguT8s5DsGCND1KcwHP_AWR_zDMTqLHPLJUKhaU/edit?usp=sharing"",""พังงา!L76"")+IMPORTRANGE(""https://docs.google.com/spreadsheets/d/17ht0gPKzzT3PObBL1XJkeRmntBXI7"&amp;"wGjpLV7QorqlTk/edit?usp=sharing"",""พัทลุง!L76"")+IMPORTRANGE(""https://docs.google.com/spreadsheets/d/1rd4qoM1q_hsgaolqNGfrim9gbsoLxQsda4-vOz5x_BM/edit?usp=sharing"",""ภูเก็ต!L76"")+IMPORTRANGE(""https://docs.google.com/spreadsheets/d/1woKwKjgoLssDvPcPeV"&amp;"yezB5izizAn4X1JDrys69n6xI/edit?usp=sharing"",""ยะลา!L76"")+IMPORTRANGE(""https://docs.google.com/spreadsheets/d/1qfrKjzMhm2HJfxQ-qVlJlJQ25Hne1d0khsySbZyGtPA/edit?usp=sharing"",""ระนอง!L76"")+IMPORTRANGE(""https://docs.google.com/spreadsheets/d/1IbSCnFOKpZ"&amp;"snFogBHJnL_isstZVaOMnFiIN0fGTPZZw/edit?usp=sharing"",""สงขลา!L76"")+IMPORTRANGE(""https://docs.google.com/spreadsheets/d/1q9nWasZJ-K8bFGvbE9n0qSRuKGA4Toe3Y89cKCiVtCU/edit?usp=sharing"",""สตูล!L76"")+IMPORTRANGE(""https://docs.google.com/spreadsheets/d/18T"&amp;"20gbkS_WBjdscyTOV05cvq_JqvqQ17C81mpxf7Ncs/edit?usp=sharing"",""สุราษฎร์ธานี!L76"")"),0)</f>
        <v>0</v>
      </c>
      <c r="M76" s="47">
        <f ca="1">IFERROR(__xludf.DUMMYFUNCTION("IMPORTRANGE(""https://docs.google.com/spreadsheets/d/1kKUcYdkIfrgTSj8iHHHB2MD2FAtwyyocFgqGQn6ADyI/edit?usp=sharing"",""กระบี่!M76"")+IMPORTRANGE(""https://docs.google.com/spreadsheets/d/1GwtLaSlNZkLk7iDqcyZz22giiy40b_usZZBXYciEN1U/edit?usp=sharing"",""ชุม"&amp;"พร!M76"")+IMPORTRANGE(""https://docs.google.com/spreadsheets/d/16pAz3pOhQEZBhvFNMa5KGgZS6iKWpsKX0pg6tQmwFpo/edit?usp=sharing"",""ตรัง!M76"")+IMPORTRANGE(""https://docs.google.com/spreadsheets/d/1Dj4jcHCTV9JXKCaMoheSXS52JE63kDKyG7bPXnFogHk/edit?usp=sharing"&amp;""",""นครศรีธรรมราช!M76"")+IMPORTRANGE(""https://docs.google.com/spreadsheets/d/1iodCdmuK2GR3jzUwk8tpccY2JHQQA-87DLOtJP-ooyU/edit?usp=sharing"",""นราธิวาส!M76"")+IMPORTRANGE(""https://docs.google.com/spreadsheets/d/1SDNX3JhDdYRuIOsj0Wh2M-Qa_eaXl0NbWmhAOTbf"&amp;"QAs/edit?usp=sharing"",""ปัตตานี!M76"")+IMPORTRANGE(""https://docs.google.com/spreadsheets/d/16JDLGguT8s5DsGCND1KcwHP_AWR_zDMTqLHPLJUKhaU/edit?usp=sharing"",""พังงา!M76"")+IMPORTRANGE(""https://docs.google.com/spreadsheets/d/17ht0gPKzzT3PObBL1XJkeRmntBXI7"&amp;"wGjpLV7QorqlTk/edit?usp=sharing"",""พัทลุง!M76"")+IMPORTRANGE(""https://docs.google.com/spreadsheets/d/1rd4qoM1q_hsgaolqNGfrim9gbsoLxQsda4-vOz5x_BM/edit?usp=sharing"",""ภูเก็ต!M76"")+IMPORTRANGE(""https://docs.google.com/spreadsheets/d/1woKwKjgoLssDvPcPeV"&amp;"yezB5izizAn4X1JDrys69n6xI/edit?usp=sharing"",""ยะลา!M76"")+IMPORTRANGE(""https://docs.google.com/spreadsheets/d/1qfrKjzMhm2HJfxQ-qVlJlJQ25Hne1d0khsySbZyGtPA/edit?usp=sharing"",""ระนอง!M76"")+IMPORTRANGE(""https://docs.google.com/spreadsheets/d/1IbSCnFOKpZ"&amp;"snFogBHJnL_isstZVaOMnFiIN0fGTPZZw/edit?usp=sharing"",""สงขลา!M76"")+IMPORTRANGE(""https://docs.google.com/spreadsheets/d/1q9nWasZJ-K8bFGvbE9n0qSRuKGA4Toe3Y89cKCiVtCU/edit?usp=sharing"",""สตูล!M76"")+IMPORTRANGE(""https://docs.google.com/spreadsheets/d/18T"&amp;"20gbkS_WBjdscyTOV05cvq_JqvqQ17C81mpxf7Ncs/edit?usp=sharing"",""สุราษฎร์ธานี!M76"")"),0)</f>
        <v>0</v>
      </c>
      <c r="N76" s="47">
        <f ca="1">IFERROR(__xludf.DUMMYFUNCTION("IMPORTRANGE(""https://docs.google.com/spreadsheets/d/1kKUcYdkIfrgTSj8iHHHB2MD2FAtwyyocFgqGQn6ADyI/edit?usp=sharing"",""กระบี่!N76"")+IMPORTRANGE(""https://docs.google.com/spreadsheets/d/1GwtLaSlNZkLk7iDqcyZz22giiy40b_usZZBXYciEN1U/edit?usp=sharing"",""ชุม"&amp;"พร!N76"")+IMPORTRANGE(""https://docs.google.com/spreadsheets/d/16pAz3pOhQEZBhvFNMa5KGgZS6iKWpsKX0pg6tQmwFpo/edit?usp=sharing"",""ตรัง!N76"")+IMPORTRANGE(""https://docs.google.com/spreadsheets/d/1Dj4jcHCTV9JXKCaMoheSXS52JE63kDKyG7bPXnFogHk/edit?usp=sharing"&amp;""",""นครศรีธรรมราช!N76"")+IMPORTRANGE(""https://docs.google.com/spreadsheets/d/1iodCdmuK2GR3jzUwk8tpccY2JHQQA-87DLOtJP-ooyU/edit?usp=sharing"",""นราธิวาส!N76"")+IMPORTRANGE(""https://docs.google.com/spreadsheets/d/1SDNX3JhDdYRuIOsj0Wh2M-Qa_eaXl0NbWmhAOTbf"&amp;"QAs/edit?usp=sharing"",""ปัตตานี!N76"")+IMPORTRANGE(""https://docs.google.com/spreadsheets/d/16JDLGguT8s5DsGCND1KcwHP_AWR_zDMTqLHPLJUKhaU/edit?usp=sharing"",""พังงา!N76"")+IMPORTRANGE(""https://docs.google.com/spreadsheets/d/17ht0gPKzzT3PObBL1XJkeRmntBXI7"&amp;"wGjpLV7QorqlTk/edit?usp=sharing"",""พัทลุง!N76"")+IMPORTRANGE(""https://docs.google.com/spreadsheets/d/1rd4qoM1q_hsgaolqNGfrim9gbsoLxQsda4-vOz5x_BM/edit?usp=sharing"",""ภูเก็ต!N76"")+IMPORTRANGE(""https://docs.google.com/spreadsheets/d/1woKwKjgoLssDvPcPeV"&amp;"yezB5izizAn4X1JDrys69n6xI/edit?usp=sharing"",""ยะลา!N76"")+IMPORTRANGE(""https://docs.google.com/spreadsheets/d/1qfrKjzMhm2HJfxQ-qVlJlJQ25Hne1d0khsySbZyGtPA/edit?usp=sharing"",""ระนอง!N76"")+IMPORTRANGE(""https://docs.google.com/spreadsheets/d/1IbSCnFOKpZ"&amp;"snFogBHJnL_isstZVaOMnFiIN0fGTPZZw/edit?usp=sharing"",""สงขลา!N76"")+IMPORTRANGE(""https://docs.google.com/spreadsheets/d/1q9nWasZJ-K8bFGvbE9n0qSRuKGA4Toe3Y89cKCiVtCU/edit?usp=sharing"",""สตูล!N76"")+IMPORTRANGE(""https://docs.google.com/spreadsheets/d/18T"&amp;"20gbkS_WBjdscyTOV05cvq_JqvqQ17C81mpxf7Ncs/edit?usp=sharing"",""สุราษฎร์ธานี!N76"")"),0)</f>
        <v>0</v>
      </c>
      <c r="O76" s="47">
        <f t="shared" ca="1" si="54"/>
        <v>0</v>
      </c>
      <c r="P76" s="47">
        <f t="shared" ca="1" si="55"/>
        <v>0</v>
      </c>
      <c r="Q76" s="47">
        <f ca="1">IFERROR(__xludf.DUMMYFUNCTION("IMPORTRANGE(""https://docs.google.com/spreadsheets/d/1kKUcYdkIfrgTSj8iHHHB2MD2FAtwyyocFgqGQn6ADyI/edit?usp=sharing"",""กระบี่!Q76"")+IMPORTRANGE(""https://docs.google.com/spreadsheets/d/1GwtLaSlNZkLk7iDqcyZz22giiy40b_usZZBXYciEN1U/edit?usp=sharing"",""ชุม"&amp;"พร!Q76"")+IMPORTRANGE(""https://docs.google.com/spreadsheets/d/16pAz3pOhQEZBhvFNMa5KGgZS6iKWpsKX0pg6tQmwFpo/edit?usp=sharing"",""ตรัง!Q76"")+IMPORTRANGE(""https://docs.google.com/spreadsheets/d/1Dj4jcHCTV9JXKCaMoheSXS52JE63kDKyG7bPXnFogHk/edit?usp=sharing"&amp;""",""นครศรีธรรมราช!Q76"")+IMPORTRANGE(""https://docs.google.com/spreadsheets/d/1iodCdmuK2GR3jzUwk8tpccY2JHQQA-87DLOtJP-ooyU/edit?usp=sharing"",""นราธิวาส!Q76"")+IMPORTRANGE(""https://docs.google.com/spreadsheets/d/1SDNX3JhDdYRuIOsj0Wh2M-Qa_eaXl0NbWmhAOTbf"&amp;"QAs/edit?usp=sharing"",""ปัตตานี!Q76"")+IMPORTRANGE(""https://docs.google.com/spreadsheets/d/16JDLGguT8s5DsGCND1KcwHP_AWR_zDMTqLHPLJUKhaU/edit?usp=sharing"",""พังงา!Q76"")+IMPORTRANGE(""https://docs.google.com/spreadsheets/d/17ht0gPKzzT3PObBL1XJkeRmntBXI7"&amp;"wGjpLV7QorqlTk/edit?usp=sharing"",""พัทลุง!Q76"")+IMPORTRANGE(""https://docs.google.com/spreadsheets/d/1rd4qoM1q_hsgaolqNGfrim9gbsoLxQsda4-vOz5x_BM/edit?usp=sharing"",""ภูเก็ต!Q76"")+IMPORTRANGE(""https://docs.google.com/spreadsheets/d/1woKwKjgoLssDvPcPeV"&amp;"yezB5izizAn4X1JDrys69n6xI/edit?usp=sharing"",""ยะลา!Q76"")+IMPORTRANGE(""https://docs.google.com/spreadsheets/d/1qfrKjzMhm2HJfxQ-qVlJlJQ25Hne1d0khsySbZyGtPA/edit?usp=sharing"",""ระนอง!Q76"")+IMPORTRANGE(""https://docs.google.com/spreadsheets/d/1IbSCnFOKpZ"&amp;"snFogBHJnL_isstZVaOMnFiIN0fGTPZZw/edit?usp=sharing"",""สงขลา!Q76"")+IMPORTRANGE(""https://docs.google.com/spreadsheets/d/1q9nWasZJ-K8bFGvbE9n0qSRuKGA4Toe3Y89cKCiVtCU/edit?usp=sharing"",""สตูล!Q76"")+IMPORTRANGE(""https://docs.google.com/spreadsheets/d/18T"&amp;"20gbkS_WBjdscyTOV05cvq_JqvqQ17C81mpxf7Ncs/edit?usp=sharing"",""สุราษฎร์ธานี!Q76"")"),0)</f>
        <v>0</v>
      </c>
      <c r="R76" s="47">
        <f ca="1">IFERROR(__xludf.DUMMYFUNCTION("IMPORTRANGE(""https://docs.google.com/spreadsheets/d/1kKUcYdkIfrgTSj8iHHHB2MD2FAtwyyocFgqGQn6ADyI/edit?usp=sharing"",""กระบี่!R76"")+IMPORTRANGE(""https://docs.google.com/spreadsheets/d/1GwtLaSlNZkLk7iDqcyZz22giiy40b_usZZBXYciEN1U/edit?usp=sharing"",""ชุม"&amp;"พร!R76"")+IMPORTRANGE(""https://docs.google.com/spreadsheets/d/16pAz3pOhQEZBhvFNMa5KGgZS6iKWpsKX0pg6tQmwFpo/edit?usp=sharing"",""ตรัง!R76"")+IMPORTRANGE(""https://docs.google.com/spreadsheets/d/1Dj4jcHCTV9JXKCaMoheSXS52JE63kDKyG7bPXnFogHk/edit?usp=sharing"&amp;""",""นครศรีธรรมราช!R76"")+IMPORTRANGE(""https://docs.google.com/spreadsheets/d/1iodCdmuK2GR3jzUwk8tpccY2JHQQA-87DLOtJP-ooyU/edit?usp=sharing"",""นราธิวาส!R76"")+IMPORTRANGE(""https://docs.google.com/spreadsheets/d/1SDNX3JhDdYRuIOsj0Wh2M-Qa_eaXl0NbWmhAOTbf"&amp;"QAs/edit?usp=sharing"",""ปัตตานี!R76"")+IMPORTRANGE(""https://docs.google.com/spreadsheets/d/16JDLGguT8s5DsGCND1KcwHP_AWR_zDMTqLHPLJUKhaU/edit?usp=sharing"",""พังงา!R76"")+IMPORTRANGE(""https://docs.google.com/spreadsheets/d/17ht0gPKzzT3PObBL1XJkeRmntBXI7"&amp;"wGjpLV7QorqlTk/edit?usp=sharing"",""พัทลุง!R76"")+IMPORTRANGE(""https://docs.google.com/spreadsheets/d/1rd4qoM1q_hsgaolqNGfrim9gbsoLxQsda4-vOz5x_BM/edit?usp=sharing"",""ภูเก็ต!R76"")+IMPORTRANGE(""https://docs.google.com/spreadsheets/d/1woKwKjgoLssDvPcPeV"&amp;"yezB5izizAn4X1JDrys69n6xI/edit?usp=sharing"",""ยะลา!R76"")+IMPORTRANGE(""https://docs.google.com/spreadsheets/d/1qfrKjzMhm2HJfxQ-qVlJlJQ25Hne1d0khsySbZyGtPA/edit?usp=sharing"",""ระนอง!R76"")+IMPORTRANGE(""https://docs.google.com/spreadsheets/d/1IbSCnFOKpZ"&amp;"snFogBHJnL_isstZVaOMnFiIN0fGTPZZw/edit?usp=sharing"",""สงขลา!R76"")+IMPORTRANGE(""https://docs.google.com/spreadsheets/d/1q9nWasZJ-K8bFGvbE9n0qSRuKGA4Toe3Y89cKCiVtCU/edit?usp=sharing"",""สตูล!R76"")+IMPORTRANGE(""https://docs.google.com/spreadsheets/d/18T"&amp;"20gbkS_WBjdscyTOV05cvq_JqvqQ17C81mpxf7Ncs/edit?usp=sharing"",""สุราษฎร์ธานี!R76"")"),0)</f>
        <v>0</v>
      </c>
      <c r="S76" s="47">
        <f ca="1">IFERROR(__xludf.DUMMYFUNCTION("IMPORTRANGE(""https://docs.google.com/spreadsheets/d/1kKUcYdkIfrgTSj8iHHHB2MD2FAtwyyocFgqGQn6ADyI/edit?usp=sharing"",""กระบี่!S76"")+IMPORTRANGE(""https://docs.google.com/spreadsheets/d/1GwtLaSlNZkLk7iDqcyZz22giiy40b_usZZBXYciEN1U/edit?usp=sharing"",""ชุม"&amp;"พร!S76"")+IMPORTRANGE(""https://docs.google.com/spreadsheets/d/16pAz3pOhQEZBhvFNMa5KGgZS6iKWpsKX0pg6tQmwFpo/edit?usp=sharing"",""ตรัง!S76"")+IMPORTRANGE(""https://docs.google.com/spreadsheets/d/1Dj4jcHCTV9JXKCaMoheSXS52JE63kDKyG7bPXnFogHk/edit?usp=sharing"&amp;""",""นครศรีธรรมราช!S76"")+IMPORTRANGE(""https://docs.google.com/spreadsheets/d/1iodCdmuK2GR3jzUwk8tpccY2JHQQA-87DLOtJP-ooyU/edit?usp=sharing"",""นราธิวาส!S76"")+IMPORTRANGE(""https://docs.google.com/spreadsheets/d/1SDNX3JhDdYRuIOsj0Wh2M-Qa_eaXl0NbWmhAOTbf"&amp;"QAs/edit?usp=sharing"",""ปัตตานี!S76"")+IMPORTRANGE(""https://docs.google.com/spreadsheets/d/16JDLGguT8s5DsGCND1KcwHP_AWR_zDMTqLHPLJUKhaU/edit?usp=sharing"",""พังงา!S76"")+IMPORTRANGE(""https://docs.google.com/spreadsheets/d/17ht0gPKzzT3PObBL1XJkeRmntBXI7"&amp;"wGjpLV7QorqlTk/edit?usp=sharing"",""พัทลุง!S76"")+IMPORTRANGE(""https://docs.google.com/spreadsheets/d/1rd4qoM1q_hsgaolqNGfrim9gbsoLxQsda4-vOz5x_BM/edit?usp=sharing"",""ภูเก็ต!S76"")+IMPORTRANGE(""https://docs.google.com/spreadsheets/d/1woKwKjgoLssDvPcPeV"&amp;"yezB5izizAn4X1JDrys69n6xI/edit?usp=sharing"",""ยะลา!S76"")+IMPORTRANGE(""https://docs.google.com/spreadsheets/d/1qfrKjzMhm2HJfxQ-qVlJlJQ25Hne1d0khsySbZyGtPA/edit?usp=sharing"",""ระนอง!S76"")+IMPORTRANGE(""https://docs.google.com/spreadsheets/d/1IbSCnFOKpZ"&amp;"snFogBHJnL_isstZVaOMnFiIN0fGTPZZw/edit?usp=sharing"",""สงขลา!S76"")+IMPORTRANGE(""https://docs.google.com/spreadsheets/d/1q9nWasZJ-K8bFGvbE9n0qSRuKGA4Toe3Y89cKCiVtCU/edit?usp=sharing"",""สตูล!S76"")+IMPORTRANGE(""https://docs.google.com/spreadsheets/d/18T"&amp;"20gbkS_WBjdscyTOV05cvq_JqvqQ17C81mpxf7Ncs/edit?usp=sharing"",""สุราษฎร์ธานี!S76"")"),0)</f>
        <v>0</v>
      </c>
      <c r="T76" s="49">
        <f t="shared" ca="1" si="57"/>
        <v>0</v>
      </c>
      <c r="U76" s="49">
        <f t="shared" ca="1" si="58"/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7">
        <f ca="1">IFERROR(__xludf.DUMMYFUNCTION("IMPORTRANGE(""https://docs.google.com/spreadsheets/d/1kKUcYdkIfrgTSj8iHHHB2MD2FAtwyyocFgqGQn6ADyI/edit?usp=sharing"",""กระบี่!L77"")+IMPORTRANGE(""https://docs.google.com/spreadsheets/d/1GwtLaSlNZkLk7iDqcyZz22giiy40b_usZZBXYciEN1U/edit?usp=sharing"",""ชุม"&amp;"พร!L77"")+IMPORTRANGE(""https://docs.google.com/spreadsheets/d/16pAz3pOhQEZBhvFNMa5KGgZS6iKWpsKX0pg6tQmwFpo/edit?usp=sharing"",""ตรัง!L77"")+IMPORTRANGE(""https://docs.google.com/spreadsheets/d/1Dj4jcHCTV9JXKCaMoheSXS52JE63kDKyG7bPXnFogHk/edit?usp=sharing"&amp;""",""นครศรีธรรมราช!L77"")+IMPORTRANGE(""https://docs.google.com/spreadsheets/d/1iodCdmuK2GR3jzUwk8tpccY2JHQQA-87DLOtJP-ooyU/edit?usp=sharing"",""นราธิวาส!L77"")+IMPORTRANGE(""https://docs.google.com/spreadsheets/d/1SDNX3JhDdYRuIOsj0Wh2M-Qa_eaXl0NbWmhAOTbf"&amp;"QAs/edit?usp=sharing"",""ปัตตานี!L77"")+IMPORTRANGE(""https://docs.google.com/spreadsheets/d/16JDLGguT8s5DsGCND1KcwHP_AWR_zDMTqLHPLJUKhaU/edit?usp=sharing"",""พังงา!L77"")+IMPORTRANGE(""https://docs.google.com/spreadsheets/d/17ht0gPKzzT3PObBL1XJkeRmntBXI7"&amp;"wGjpLV7QorqlTk/edit?usp=sharing"",""พัทลุง!L77"")+IMPORTRANGE(""https://docs.google.com/spreadsheets/d/1rd4qoM1q_hsgaolqNGfrim9gbsoLxQsda4-vOz5x_BM/edit?usp=sharing"",""ภูเก็ต!L77"")+IMPORTRANGE(""https://docs.google.com/spreadsheets/d/1woKwKjgoLssDvPcPeV"&amp;"yezB5izizAn4X1JDrys69n6xI/edit?usp=sharing"",""ยะลา!L77"")+IMPORTRANGE(""https://docs.google.com/spreadsheets/d/1qfrKjzMhm2HJfxQ-qVlJlJQ25Hne1d0khsySbZyGtPA/edit?usp=sharing"",""ระนอง!L77"")+IMPORTRANGE(""https://docs.google.com/spreadsheets/d/1IbSCnFOKpZ"&amp;"snFogBHJnL_isstZVaOMnFiIN0fGTPZZw/edit?usp=sharing"",""สงขลา!L77"")+IMPORTRANGE(""https://docs.google.com/spreadsheets/d/1q9nWasZJ-K8bFGvbE9n0qSRuKGA4Toe3Y89cKCiVtCU/edit?usp=sharing"",""สตูล!L77"")+IMPORTRANGE(""https://docs.google.com/spreadsheets/d/18T"&amp;"20gbkS_WBjdscyTOV05cvq_JqvqQ17C81mpxf7Ncs/edit?usp=sharing"",""สุราษฎร์ธานี!L77"")"),639900)</f>
        <v>639900</v>
      </c>
      <c r="M77" s="47">
        <f ca="1">IFERROR(__xludf.DUMMYFUNCTION("IMPORTRANGE(""https://docs.google.com/spreadsheets/d/1kKUcYdkIfrgTSj8iHHHB2MD2FAtwyyocFgqGQn6ADyI/edit?usp=sharing"",""กระบี่!M77"")+IMPORTRANGE(""https://docs.google.com/spreadsheets/d/1GwtLaSlNZkLk7iDqcyZz22giiy40b_usZZBXYciEN1U/edit?usp=sharing"",""ชุม"&amp;"พร!M77"")+IMPORTRANGE(""https://docs.google.com/spreadsheets/d/16pAz3pOhQEZBhvFNMa5KGgZS6iKWpsKX0pg6tQmwFpo/edit?usp=sharing"",""ตรัง!M77"")+IMPORTRANGE(""https://docs.google.com/spreadsheets/d/1Dj4jcHCTV9JXKCaMoheSXS52JE63kDKyG7bPXnFogHk/edit?usp=sharing"&amp;""",""นครศรีธรรมราช!M77"")+IMPORTRANGE(""https://docs.google.com/spreadsheets/d/1iodCdmuK2GR3jzUwk8tpccY2JHQQA-87DLOtJP-ooyU/edit?usp=sharing"",""นราธิวาส!M77"")+IMPORTRANGE(""https://docs.google.com/spreadsheets/d/1SDNX3JhDdYRuIOsj0Wh2M-Qa_eaXl0NbWmhAOTbf"&amp;"QAs/edit?usp=sharing"",""ปัตตานี!M77"")+IMPORTRANGE(""https://docs.google.com/spreadsheets/d/16JDLGguT8s5DsGCND1KcwHP_AWR_zDMTqLHPLJUKhaU/edit?usp=sharing"",""พังงา!M77"")+IMPORTRANGE(""https://docs.google.com/spreadsheets/d/17ht0gPKzzT3PObBL1XJkeRmntBXI7"&amp;"wGjpLV7QorqlTk/edit?usp=sharing"",""พัทลุง!M77"")+IMPORTRANGE(""https://docs.google.com/spreadsheets/d/1rd4qoM1q_hsgaolqNGfrim9gbsoLxQsda4-vOz5x_BM/edit?usp=sharing"",""ภูเก็ต!M77"")+IMPORTRANGE(""https://docs.google.com/spreadsheets/d/1woKwKjgoLssDvPcPeV"&amp;"yezB5izizAn4X1JDrys69n6xI/edit?usp=sharing"",""ยะลา!M77"")+IMPORTRANGE(""https://docs.google.com/spreadsheets/d/1qfrKjzMhm2HJfxQ-qVlJlJQ25Hne1d0khsySbZyGtPA/edit?usp=sharing"",""ระนอง!M77"")+IMPORTRANGE(""https://docs.google.com/spreadsheets/d/1IbSCnFOKpZ"&amp;"snFogBHJnL_isstZVaOMnFiIN0fGTPZZw/edit?usp=sharing"",""สงขลา!M77"")+IMPORTRANGE(""https://docs.google.com/spreadsheets/d/1q9nWasZJ-K8bFGvbE9n0qSRuKGA4Toe3Y89cKCiVtCU/edit?usp=sharing"",""สตูล!M77"")+IMPORTRANGE(""https://docs.google.com/spreadsheets/d/18T"&amp;"20gbkS_WBjdscyTOV05cvq_JqvqQ17C81mpxf7Ncs/edit?usp=sharing"",""สุราษฎร์ธานี!M77"")"),795900)</f>
        <v>795900</v>
      </c>
      <c r="N77" s="47">
        <f ca="1">IFERROR(__xludf.DUMMYFUNCTION("IMPORTRANGE(""https://docs.google.com/spreadsheets/d/1kKUcYdkIfrgTSj8iHHHB2MD2FAtwyyocFgqGQn6ADyI/edit?usp=sharing"",""กระบี่!N77"")+IMPORTRANGE(""https://docs.google.com/spreadsheets/d/1GwtLaSlNZkLk7iDqcyZz22giiy40b_usZZBXYciEN1U/edit?usp=sharing"",""ชุม"&amp;"พร!N77"")+IMPORTRANGE(""https://docs.google.com/spreadsheets/d/16pAz3pOhQEZBhvFNMa5KGgZS6iKWpsKX0pg6tQmwFpo/edit?usp=sharing"",""ตรัง!N77"")+IMPORTRANGE(""https://docs.google.com/spreadsheets/d/1Dj4jcHCTV9JXKCaMoheSXS52JE63kDKyG7bPXnFogHk/edit?usp=sharing"&amp;""",""นครศรีธรรมราช!N77"")+IMPORTRANGE(""https://docs.google.com/spreadsheets/d/1iodCdmuK2GR3jzUwk8tpccY2JHQQA-87DLOtJP-ooyU/edit?usp=sharing"",""นราธิวาส!N77"")+IMPORTRANGE(""https://docs.google.com/spreadsheets/d/1SDNX3JhDdYRuIOsj0Wh2M-Qa_eaXl0NbWmhAOTbf"&amp;"QAs/edit?usp=sharing"",""ปัตตานี!N77"")+IMPORTRANGE(""https://docs.google.com/spreadsheets/d/16JDLGguT8s5DsGCND1KcwHP_AWR_zDMTqLHPLJUKhaU/edit?usp=sharing"",""พังงา!N77"")+IMPORTRANGE(""https://docs.google.com/spreadsheets/d/17ht0gPKzzT3PObBL1XJkeRmntBXI7"&amp;"wGjpLV7QorqlTk/edit?usp=sharing"",""พัทลุง!N77"")+IMPORTRANGE(""https://docs.google.com/spreadsheets/d/1rd4qoM1q_hsgaolqNGfrim9gbsoLxQsda4-vOz5x_BM/edit?usp=sharing"",""ภูเก็ต!N77"")+IMPORTRANGE(""https://docs.google.com/spreadsheets/d/1woKwKjgoLssDvPcPeV"&amp;"yezB5izizAn4X1JDrys69n6xI/edit?usp=sharing"",""ยะลา!N77"")+IMPORTRANGE(""https://docs.google.com/spreadsheets/d/1qfrKjzMhm2HJfxQ-qVlJlJQ25Hne1d0khsySbZyGtPA/edit?usp=sharing"",""ระนอง!N77"")+IMPORTRANGE(""https://docs.google.com/spreadsheets/d/1IbSCnFOKpZ"&amp;"snFogBHJnL_isstZVaOMnFiIN0fGTPZZw/edit?usp=sharing"",""สงขลา!N77"")+IMPORTRANGE(""https://docs.google.com/spreadsheets/d/1q9nWasZJ-K8bFGvbE9n0qSRuKGA4Toe3Y89cKCiVtCU/edit?usp=sharing"",""สตูล!N77"")+IMPORTRANGE(""https://docs.google.com/spreadsheets/d/18T"&amp;"20gbkS_WBjdscyTOV05cvq_JqvqQ17C81mpxf7Ncs/edit?usp=sharing"",""สุราษฎร์ธานี!N77"")"),532332.77)</f>
        <v>532332.77</v>
      </c>
      <c r="O77" s="47">
        <f t="shared" ca="1" si="54"/>
        <v>83.189993749023287</v>
      </c>
      <c r="P77" s="47">
        <f t="shared" ca="1" si="55"/>
        <v>66.8843786907903</v>
      </c>
      <c r="Q77" s="47">
        <f ca="1">IFERROR(__xludf.DUMMYFUNCTION("IMPORTRANGE(""https://docs.google.com/spreadsheets/d/1kKUcYdkIfrgTSj8iHHHB2MD2FAtwyyocFgqGQn6ADyI/edit?usp=sharing"",""กระบี่!Q77"")+IMPORTRANGE(""https://docs.google.com/spreadsheets/d/1GwtLaSlNZkLk7iDqcyZz22giiy40b_usZZBXYciEN1U/edit?usp=sharing"",""ชุม"&amp;"พร!Q77"")+IMPORTRANGE(""https://docs.google.com/spreadsheets/d/16pAz3pOhQEZBhvFNMa5KGgZS6iKWpsKX0pg6tQmwFpo/edit?usp=sharing"",""ตรัง!Q77"")+IMPORTRANGE(""https://docs.google.com/spreadsheets/d/1Dj4jcHCTV9JXKCaMoheSXS52JE63kDKyG7bPXnFogHk/edit?usp=sharing"&amp;""",""นครศรีธรรมราช!Q77"")+IMPORTRANGE(""https://docs.google.com/spreadsheets/d/1iodCdmuK2GR3jzUwk8tpccY2JHQQA-87DLOtJP-ooyU/edit?usp=sharing"",""นราธิวาส!Q77"")+IMPORTRANGE(""https://docs.google.com/spreadsheets/d/1SDNX3JhDdYRuIOsj0Wh2M-Qa_eaXl0NbWmhAOTbf"&amp;"QAs/edit?usp=sharing"",""ปัตตานี!Q77"")+IMPORTRANGE(""https://docs.google.com/spreadsheets/d/16JDLGguT8s5DsGCND1KcwHP_AWR_zDMTqLHPLJUKhaU/edit?usp=sharing"",""พังงา!Q77"")+IMPORTRANGE(""https://docs.google.com/spreadsheets/d/17ht0gPKzzT3PObBL1XJkeRmntBXI7"&amp;"wGjpLV7QorqlTk/edit?usp=sharing"",""พัทลุง!Q77"")+IMPORTRANGE(""https://docs.google.com/spreadsheets/d/1rd4qoM1q_hsgaolqNGfrim9gbsoLxQsda4-vOz5x_BM/edit?usp=sharing"",""ภูเก็ต!Q77"")+IMPORTRANGE(""https://docs.google.com/spreadsheets/d/1woKwKjgoLssDvPcPeV"&amp;"yezB5izizAn4X1JDrys69n6xI/edit?usp=sharing"",""ยะลา!Q77"")+IMPORTRANGE(""https://docs.google.com/spreadsheets/d/1qfrKjzMhm2HJfxQ-qVlJlJQ25Hne1d0khsySbZyGtPA/edit?usp=sharing"",""ระนอง!Q77"")+IMPORTRANGE(""https://docs.google.com/spreadsheets/d/1IbSCnFOKpZ"&amp;"snFogBHJnL_isstZVaOMnFiIN0fGTPZZw/edit?usp=sharing"",""สงขลา!Q77"")+IMPORTRANGE(""https://docs.google.com/spreadsheets/d/1q9nWasZJ-K8bFGvbE9n0qSRuKGA4Toe3Y89cKCiVtCU/edit?usp=sharing"",""สตูล!Q77"")+IMPORTRANGE(""https://docs.google.com/spreadsheets/d/18T"&amp;"20gbkS_WBjdscyTOV05cvq_JqvqQ17C81mpxf7Ncs/edit?usp=sharing"",""สุราษฎร์ธานี!Q77"")"),1525812)</f>
        <v>1525812</v>
      </c>
      <c r="R77" s="47">
        <f ca="1">IFERROR(__xludf.DUMMYFUNCTION("IMPORTRANGE(""https://docs.google.com/spreadsheets/d/1kKUcYdkIfrgTSj8iHHHB2MD2FAtwyyocFgqGQn6ADyI/edit?usp=sharing"",""กระบี่!R77"")+IMPORTRANGE(""https://docs.google.com/spreadsheets/d/1GwtLaSlNZkLk7iDqcyZz22giiy40b_usZZBXYciEN1U/edit?usp=sharing"",""ชุม"&amp;"พร!R77"")+IMPORTRANGE(""https://docs.google.com/spreadsheets/d/16pAz3pOhQEZBhvFNMa5KGgZS6iKWpsKX0pg6tQmwFpo/edit?usp=sharing"",""ตรัง!R77"")+IMPORTRANGE(""https://docs.google.com/spreadsheets/d/1Dj4jcHCTV9JXKCaMoheSXS52JE63kDKyG7bPXnFogHk/edit?usp=sharing"&amp;""",""นครศรีธรรมราช!R77"")+IMPORTRANGE(""https://docs.google.com/spreadsheets/d/1iodCdmuK2GR3jzUwk8tpccY2JHQQA-87DLOtJP-ooyU/edit?usp=sharing"",""นราธิวาส!R77"")+IMPORTRANGE(""https://docs.google.com/spreadsheets/d/1SDNX3JhDdYRuIOsj0Wh2M-Qa_eaXl0NbWmhAOTbf"&amp;"QAs/edit?usp=sharing"",""ปัตตานี!R77"")+IMPORTRANGE(""https://docs.google.com/spreadsheets/d/16JDLGguT8s5DsGCND1KcwHP_AWR_zDMTqLHPLJUKhaU/edit?usp=sharing"",""พังงา!R77"")+IMPORTRANGE(""https://docs.google.com/spreadsheets/d/17ht0gPKzzT3PObBL1XJkeRmntBXI7"&amp;"wGjpLV7QorqlTk/edit?usp=sharing"",""พัทลุง!R77"")+IMPORTRANGE(""https://docs.google.com/spreadsheets/d/1rd4qoM1q_hsgaolqNGfrim9gbsoLxQsda4-vOz5x_BM/edit?usp=sharing"",""ภูเก็ต!R77"")+IMPORTRANGE(""https://docs.google.com/spreadsheets/d/1woKwKjgoLssDvPcPeV"&amp;"yezB5izizAn4X1JDrys69n6xI/edit?usp=sharing"",""ยะลา!R77"")+IMPORTRANGE(""https://docs.google.com/spreadsheets/d/1qfrKjzMhm2HJfxQ-qVlJlJQ25Hne1d0khsySbZyGtPA/edit?usp=sharing"",""ระนอง!R77"")+IMPORTRANGE(""https://docs.google.com/spreadsheets/d/1IbSCnFOKpZ"&amp;"snFogBHJnL_isstZVaOMnFiIN0fGTPZZw/edit?usp=sharing"",""สงขลา!R77"")+IMPORTRANGE(""https://docs.google.com/spreadsheets/d/1q9nWasZJ-K8bFGvbE9n0qSRuKGA4Toe3Y89cKCiVtCU/edit?usp=sharing"",""สตูล!R77"")+IMPORTRANGE(""https://docs.google.com/spreadsheets/d/18T"&amp;"20gbkS_WBjdscyTOV05cvq_JqvqQ17C81mpxf7Ncs/edit?usp=sharing"",""สุราษฎร์ธานี!R77"")"),1525812)</f>
        <v>1525812</v>
      </c>
      <c r="S77" s="47">
        <f ca="1">IFERROR(__xludf.DUMMYFUNCTION("IMPORTRANGE(""https://docs.google.com/spreadsheets/d/1kKUcYdkIfrgTSj8iHHHB2MD2FAtwyyocFgqGQn6ADyI/edit?usp=sharing"",""กระบี่!S77"")+IMPORTRANGE(""https://docs.google.com/spreadsheets/d/1GwtLaSlNZkLk7iDqcyZz22giiy40b_usZZBXYciEN1U/edit?usp=sharing"",""ชุม"&amp;"พร!S77"")+IMPORTRANGE(""https://docs.google.com/spreadsheets/d/16pAz3pOhQEZBhvFNMa5KGgZS6iKWpsKX0pg6tQmwFpo/edit?usp=sharing"",""ตรัง!S77"")+IMPORTRANGE(""https://docs.google.com/spreadsheets/d/1Dj4jcHCTV9JXKCaMoheSXS52JE63kDKyG7bPXnFogHk/edit?usp=sharing"&amp;""",""นครศรีธรรมราช!S77"")+IMPORTRANGE(""https://docs.google.com/spreadsheets/d/1iodCdmuK2GR3jzUwk8tpccY2JHQQA-87DLOtJP-ooyU/edit?usp=sharing"",""นราธิวาส!S77"")+IMPORTRANGE(""https://docs.google.com/spreadsheets/d/1SDNX3JhDdYRuIOsj0Wh2M-Qa_eaXl0NbWmhAOTbf"&amp;"QAs/edit?usp=sharing"",""ปัตตานี!S77"")+IMPORTRANGE(""https://docs.google.com/spreadsheets/d/16JDLGguT8s5DsGCND1KcwHP_AWR_zDMTqLHPLJUKhaU/edit?usp=sharing"",""พังงา!S77"")+IMPORTRANGE(""https://docs.google.com/spreadsheets/d/17ht0gPKzzT3PObBL1XJkeRmntBXI7"&amp;"wGjpLV7QorqlTk/edit?usp=sharing"",""พัทลุง!S77"")+IMPORTRANGE(""https://docs.google.com/spreadsheets/d/1rd4qoM1q_hsgaolqNGfrim9gbsoLxQsda4-vOz5x_BM/edit?usp=sharing"",""ภูเก็ต!S77"")+IMPORTRANGE(""https://docs.google.com/spreadsheets/d/1woKwKjgoLssDvPcPeV"&amp;"yezB5izizAn4X1JDrys69n6xI/edit?usp=sharing"",""ยะลา!S77"")+IMPORTRANGE(""https://docs.google.com/spreadsheets/d/1qfrKjzMhm2HJfxQ-qVlJlJQ25Hne1d0khsySbZyGtPA/edit?usp=sharing"",""ระนอง!S77"")+IMPORTRANGE(""https://docs.google.com/spreadsheets/d/1IbSCnFOKpZ"&amp;"snFogBHJnL_isstZVaOMnFiIN0fGTPZZw/edit?usp=sharing"",""สงขลา!S77"")+IMPORTRANGE(""https://docs.google.com/spreadsheets/d/1q9nWasZJ-K8bFGvbE9n0qSRuKGA4Toe3Y89cKCiVtCU/edit?usp=sharing"",""สตูล!S77"")+IMPORTRANGE(""https://docs.google.com/spreadsheets/d/18T"&amp;"20gbkS_WBjdscyTOV05cvq_JqvqQ17C81mpxf7Ncs/edit?usp=sharing"",""สุราษฎร์ธานี!S77"")"),171514)</f>
        <v>171514</v>
      </c>
      <c r="T77" s="47">
        <f t="shared" ca="1" si="57"/>
        <v>11.240834388509199</v>
      </c>
      <c r="U77" s="47">
        <f t="shared" ca="1" si="58"/>
        <v>11.240834388509199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7">
        <f t="shared" ref="L78:N78" ca="1" si="65">L79+L80</f>
        <v>0</v>
      </c>
      <c r="M78" s="47">
        <f t="shared" ca="1" si="65"/>
        <v>0</v>
      </c>
      <c r="N78" s="47">
        <f t="shared" ca="1" si="65"/>
        <v>0</v>
      </c>
      <c r="O78" s="47">
        <f t="shared" ca="1" si="54"/>
        <v>0</v>
      </c>
      <c r="P78" s="47">
        <f t="shared" ca="1" si="55"/>
        <v>0</v>
      </c>
      <c r="Q78" s="47">
        <f t="shared" ref="Q78:S78" ca="1" si="66">Q79+Q80</f>
        <v>0</v>
      </c>
      <c r="R78" s="47">
        <f t="shared" ca="1" si="66"/>
        <v>0</v>
      </c>
      <c r="S78" s="47">
        <f t="shared" ca="1" si="66"/>
        <v>0</v>
      </c>
      <c r="T78" s="47">
        <f t="shared" ca="1" si="57"/>
        <v>0</v>
      </c>
      <c r="U78" s="47">
        <f t="shared" ca="1" si="58"/>
        <v>0</v>
      </c>
    </row>
    <row r="79" spans="1:21" ht="18.75" hidden="1" x14ac:dyDescent="0.25">
      <c r="A79" s="128"/>
      <c r="B79" s="41"/>
      <c r="C79" s="41"/>
      <c r="D79" s="41"/>
      <c r="E79" s="48" t="s">
        <v>20</v>
      </c>
      <c r="F79" s="41"/>
      <c r="G79" s="43"/>
      <c r="H79" s="134" t="s">
        <v>14</v>
      </c>
      <c r="I79" s="135"/>
      <c r="J79" s="135"/>
      <c r="K79" s="136"/>
      <c r="L79" s="47">
        <f ca="1">IFERROR(__xludf.DUMMYFUNCTION("IMPORTRANGE(""https://docs.google.com/spreadsheets/d/1kKUcYdkIfrgTSj8iHHHB2MD2FAtwyyocFgqGQn6ADyI/edit?usp=sharing"",""กระบี่!L79"")+IMPORTRANGE(""https://docs.google.com/spreadsheets/d/1GwtLaSlNZkLk7iDqcyZz22giiy40b_usZZBXYciEN1U/edit?usp=sharing"",""ชุม"&amp;"พร!L79"")+IMPORTRANGE(""https://docs.google.com/spreadsheets/d/16pAz3pOhQEZBhvFNMa5KGgZS6iKWpsKX0pg6tQmwFpo/edit?usp=sharing"",""ตรัง!L79"")+IMPORTRANGE(""https://docs.google.com/spreadsheets/d/1Dj4jcHCTV9JXKCaMoheSXS52JE63kDKyG7bPXnFogHk/edit?usp=sharing"&amp;""",""นครศรีธรรมราช!L79"")+IMPORTRANGE(""https://docs.google.com/spreadsheets/d/1iodCdmuK2GR3jzUwk8tpccY2JHQQA-87DLOtJP-ooyU/edit?usp=sharing"",""นราธิวาส!L79"")+IMPORTRANGE(""https://docs.google.com/spreadsheets/d/1SDNX3JhDdYRuIOsj0Wh2M-Qa_eaXl0NbWmhAOTbf"&amp;"QAs/edit?usp=sharing"",""ปัตตานี!L79"")+IMPORTRANGE(""https://docs.google.com/spreadsheets/d/16JDLGguT8s5DsGCND1KcwHP_AWR_zDMTqLHPLJUKhaU/edit?usp=sharing"",""พังงา!L79"")+IMPORTRANGE(""https://docs.google.com/spreadsheets/d/17ht0gPKzzT3PObBL1XJkeRmntBXI7"&amp;"wGjpLV7QorqlTk/edit?usp=sharing"",""พัทลุง!L79"")+IMPORTRANGE(""https://docs.google.com/spreadsheets/d/1rd4qoM1q_hsgaolqNGfrim9gbsoLxQsda4-vOz5x_BM/edit?usp=sharing"",""ภูเก็ต!L79"")+IMPORTRANGE(""https://docs.google.com/spreadsheets/d/1woKwKjgoLssDvPcPeV"&amp;"yezB5izizAn4X1JDrys69n6xI/edit?usp=sharing"",""ยะลา!L79"")+IMPORTRANGE(""https://docs.google.com/spreadsheets/d/1qfrKjzMhm2HJfxQ-qVlJlJQ25Hne1d0khsySbZyGtPA/edit?usp=sharing"",""ระนอง!L79"")+IMPORTRANGE(""https://docs.google.com/spreadsheets/d/1IbSCnFOKpZ"&amp;"snFogBHJnL_isstZVaOMnFiIN0fGTPZZw/edit?usp=sharing"",""สงขลา!L79"")+IMPORTRANGE(""https://docs.google.com/spreadsheets/d/1q9nWasZJ-K8bFGvbE9n0qSRuKGA4Toe3Y89cKCiVtCU/edit?usp=sharing"",""สตูล!L79"")+IMPORTRANGE(""https://docs.google.com/spreadsheets/d/18T"&amp;"20gbkS_WBjdscyTOV05cvq_JqvqQ17C81mpxf7Ncs/edit?usp=sharing"",""สุราษฎร์ธานี!L79"")"),0)</f>
        <v>0</v>
      </c>
      <c r="M79" s="47">
        <f ca="1">IFERROR(__xludf.DUMMYFUNCTION("IMPORTRANGE(""https://docs.google.com/spreadsheets/d/1kKUcYdkIfrgTSj8iHHHB2MD2FAtwyyocFgqGQn6ADyI/edit?usp=sharing"",""กระบี่!M79"")+IMPORTRANGE(""https://docs.google.com/spreadsheets/d/1GwtLaSlNZkLk7iDqcyZz22giiy40b_usZZBXYciEN1U/edit?usp=sharing"",""ชุม"&amp;"พร!M79"")+IMPORTRANGE(""https://docs.google.com/spreadsheets/d/16pAz3pOhQEZBhvFNMa5KGgZS6iKWpsKX0pg6tQmwFpo/edit?usp=sharing"",""ตรัง!M79"")+IMPORTRANGE(""https://docs.google.com/spreadsheets/d/1Dj4jcHCTV9JXKCaMoheSXS52JE63kDKyG7bPXnFogHk/edit?usp=sharing"&amp;""",""นครศรีธรรมราช!M79"")+IMPORTRANGE(""https://docs.google.com/spreadsheets/d/1iodCdmuK2GR3jzUwk8tpccY2JHQQA-87DLOtJP-ooyU/edit?usp=sharing"",""นราธิวาส!M79"")+IMPORTRANGE(""https://docs.google.com/spreadsheets/d/1SDNX3JhDdYRuIOsj0Wh2M-Qa_eaXl0NbWmhAOTbf"&amp;"QAs/edit?usp=sharing"",""ปัตตานี!M79"")+IMPORTRANGE(""https://docs.google.com/spreadsheets/d/16JDLGguT8s5DsGCND1KcwHP_AWR_zDMTqLHPLJUKhaU/edit?usp=sharing"",""พังงา!M79"")+IMPORTRANGE(""https://docs.google.com/spreadsheets/d/17ht0gPKzzT3PObBL1XJkeRmntBXI7"&amp;"wGjpLV7QorqlTk/edit?usp=sharing"",""พัทลุง!M79"")+IMPORTRANGE(""https://docs.google.com/spreadsheets/d/1rd4qoM1q_hsgaolqNGfrim9gbsoLxQsda4-vOz5x_BM/edit?usp=sharing"",""ภูเก็ต!M79"")+IMPORTRANGE(""https://docs.google.com/spreadsheets/d/1woKwKjgoLssDvPcPeV"&amp;"yezB5izizAn4X1JDrys69n6xI/edit?usp=sharing"",""ยะลา!M79"")+IMPORTRANGE(""https://docs.google.com/spreadsheets/d/1qfrKjzMhm2HJfxQ-qVlJlJQ25Hne1d0khsySbZyGtPA/edit?usp=sharing"",""ระนอง!M79"")+IMPORTRANGE(""https://docs.google.com/spreadsheets/d/1IbSCnFOKpZ"&amp;"snFogBHJnL_isstZVaOMnFiIN0fGTPZZw/edit?usp=sharing"",""สงขลา!M79"")+IMPORTRANGE(""https://docs.google.com/spreadsheets/d/1q9nWasZJ-K8bFGvbE9n0qSRuKGA4Toe3Y89cKCiVtCU/edit?usp=sharing"",""สตูล!M79"")+IMPORTRANGE(""https://docs.google.com/spreadsheets/d/18T"&amp;"20gbkS_WBjdscyTOV05cvq_JqvqQ17C81mpxf7Ncs/edit?usp=sharing"",""สุราษฎร์ธานี!M79"")"),0)</f>
        <v>0</v>
      </c>
      <c r="N79" s="47">
        <f ca="1">IFERROR(__xludf.DUMMYFUNCTION("IMPORTRANGE(""https://docs.google.com/spreadsheets/d/1kKUcYdkIfrgTSj8iHHHB2MD2FAtwyyocFgqGQn6ADyI/edit?usp=sharing"",""กระบี่!N79"")+IMPORTRANGE(""https://docs.google.com/spreadsheets/d/1GwtLaSlNZkLk7iDqcyZz22giiy40b_usZZBXYciEN1U/edit?usp=sharing"",""ชุม"&amp;"พร!N79"")+IMPORTRANGE(""https://docs.google.com/spreadsheets/d/16pAz3pOhQEZBhvFNMa5KGgZS6iKWpsKX0pg6tQmwFpo/edit?usp=sharing"",""ตรัง!N79"")+IMPORTRANGE(""https://docs.google.com/spreadsheets/d/1Dj4jcHCTV9JXKCaMoheSXS52JE63kDKyG7bPXnFogHk/edit?usp=sharing"&amp;""",""นครศรีธรรมราช!N79"")+IMPORTRANGE(""https://docs.google.com/spreadsheets/d/1iodCdmuK2GR3jzUwk8tpccY2JHQQA-87DLOtJP-ooyU/edit?usp=sharing"",""นราธิวาส!N79"")+IMPORTRANGE(""https://docs.google.com/spreadsheets/d/1SDNX3JhDdYRuIOsj0Wh2M-Qa_eaXl0NbWmhAOTbf"&amp;"QAs/edit?usp=sharing"",""ปัตตานี!N79"")+IMPORTRANGE(""https://docs.google.com/spreadsheets/d/16JDLGguT8s5DsGCND1KcwHP_AWR_zDMTqLHPLJUKhaU/edit?usp=sharing"",""พังงา!N79"")+IMPORTRANGE(""https://docs.google.com/spreadsheets/d/17ht0gPKzzT3PObBL1XJkeRmntBXI7"&amp;"wGjpLV7QorqlTk/edit?usp=sharing"",""พัทลุง!N79"")+IMPORTRANGE(""https://docs.google.com/spreadsheets/d/1rd4qoM1q_hsgaolqNGfrim9gbsoLxQsda4-vOz5x_BM/edit?usp=sharing"",""ภูเก็ต!N79"")+IMPORTRANGE(""https://docs.google.com/spreadsheets/d/1woKwKjgoLssDvPcPeV"&amp;"yezB5izizAn4X1JDrys69n6xI/edit?usp=sharing"",""ยะลา!N79"")+IMPORTRANGE(""https://docs.google.com/spreadsheets/d/1qfrKjzMhm2HJfxQ-qVlJlJQ25Hne1d0khsySbZyGtPA/edit?usp=sharing"",""ระนอง!N79"")+IMPORTRANGE(""https://docs.google.com/spreadsheets/d/1IbSCnFOKpZ"&amp;"snFogBHJnL_isstZVaOMnFiIN0fGTPZZw/edit?usp=sharing"",""สงขลา!N79"")+IMPORTRANGE(""https://docs.google.com/spreadsheets/d/1q9nWasZJ-K8bFGvbE9n0qSRuKGA4Toe3Y89cKCiVtCU/edit?usp=sharing"",""สตูล!N79"")+IMPORTRANGE(""https://docs.google.com/spreadsheets/d/18T"&amp;"20gbkS_WBjdscyTOV05cvq_JqvqQ17C81mpxf7Ncs/edit?usp=sharing"",""สุราษฎร์ธานี!N79"")"),0)</f>
        <v>0</v>
      </c>
      <c r="O79" s="47">
        <f t="shared" ca="1" si="54"/>
        <v>0</v>
      </c>
      <c r="P79" s="47">
        <f t="shared" ca="1" si="55"/>
        <v>0</v>
      </c>
      <c r="Q79" s="47">
        <f ca="1">IFERROR(__xludf.DUMMYFUNCTION("IMPORTRANGE(""https://docs.google.com/spreadsheets/d/1kKUcYdkIfrgTSj8iHHHB2MD2FAtwyyocFgqGQn6ADyI/edit?usp=sharing"",""กระบี่!Q79"")+IMPORTRANGE(""https://docs.google.com/spreadsheets/d/1GwtLaSlNZkLk7iDqcyZz22giiy40b_usZZBXYciEN1U/edit?usp=sharing"",""ชุม"&amp;"พร!Q79"")+IMPORTRANGE(""https://docs.google.com/spreadsheets/d/16pAz3pOhQEZBhvFNMa5KGgZS6iKWpsKX0pg6tQmwFpo/edit?usp=sharing"",""ตรัง!Q79"")+IMPORTRANGE(""https://docs.google.com/spreadsheets/d/1Dj4jcHCTV9JXKCaMoheSXS52JE63kDKyG7bPXnFogHk/edit?usp=sharing"&amp;""",""นครศรีธรรมราช!Q79"")+IMPORTRANGE(""https://docs.google.com/spreadsheets/d/1iodCdmuK2GR3jzUwk8tpccY2JHQQA-87DLOtJP-ooyU/edit?usp=sharing"",""นราธิวาส!Q79"")+IMPORTRANGE(""https://docs.google.com/spreadsheets/d/1SDNX3JhDdYRuIOsj0Wh2M-Qa_eaXl0NbWmhAOTbf"&amp;"QAs/edit?usp=sharing"",""ปัตตานี!Q79"")+IMPORTRANGE(""https://docs.google.com/spreadsheets/d/16JDLGguT8s5DsGCND1KcwHP_AWR_zDMTqLHPLJUKhaU/edit?usp=sharing"",""พังงา!Q79"")+IMPORTRANGE(""https://docs.google.com/spreadsheets/d/17ht0gPKzzT3PObBL1XJkeRmntBXI7"&amp;"wGjpLV7QorqlTk/edit?usp=sharing"",""พัทลุง!Q79"")+IMPORTRANGE(""https://docs.google.com/spreadsheets/d/1rd4qoM1q_hsgaolqNGfrim9gbsoLxQsda4-vOz5x_BM/edit?usp=sharing"",""ภูเก็ต!Q79"")+IMPORTRANGE(""https://docs.google.com/spreadsheets/d/1woKwKjgoLssDvPcPeV"&amp;"yezB5izizAn4X1JDrys69n6xI/edit?usp=sharing"",""ยะลา!Q79"")+IMPORTRANGE(""https://docs.google.com/spreadsheets/d/1qfrKjzMhm2HJfxQ-qVlJlJQ25Hne1d0khsySbZyGtPA/edit?usp=sharing"",""ระนอง!Q79"")+IMPORTRANGE(""https://docs.google.com/spreadsheets/d/1IbSCnFOKpZ"&amp;"snFogBHJnL_isstZVaOMnFiIN0fGTPZZw/edit?usp=sharing"",""สงขลา!Q79"")+IMPORTRANGE(""https://docs.google.com/spreadsheets/d/1q9nWasZJ-K8bFGvbE9n0qSRuKGA4Toe3Y89cKCiVtCU/edit?usp=sharing"",""สตูล!Q79"")+IMPORTRANGE(""https://docs.google.com/spreadsheets/d/18T"&amp;"20gbkS_WBjdscyTOV05cvq_JqvqQ17C81mpxf7Ncs/edit?usp=sharing"",""สุราษฎร์ธานี!Q79"")"),0)</f>
        <v>0</v>
      </c>
      <c r="R79" s="47">
        <f ca="1">IFERROR(__xludf.DUMMYFUNCTION("IMPORTRANGE(""https://docs.google.com/spreadsheets/d/1kKUcYdkIfrgTSj8iHHHB2MD2FAtwyyocFgqGQn6ADyI/edit?usp=sharing"",""กระบี่!R79"")+IMPORTRANGE(""https://docs.google.com/spreadsheets/d/1GwtLaSlNZkLk7iDqcyZz22giiy40b_usZZBXYciEN1U/edit?usp=sharing"",""ชุม"&amp;"พร!R79"")+IMPORTRANGE(""https://docs.google.com/spreadsheets/d/16pAz3pOhQEZBhvFNMa5KGgZS6iKWpsKX0pg6tQmwFpo/edit?usp=sharing"",""ตรัง!R79"")+IMPORTRANGE(""https://docs.google.com/spreadsheets/d/1Dj4jcHCTV9JXKCaMoheSXS52JE63kDKyG7bPXnFogHk/edit?usp=sharing"&amp;""",""นครศรีธรรมราช!R79"")+IMPORTRANGE(""https://docs.google.com/spreadsheets/d/1iodCdmuK2GR3jzUwk8tpccY2JHQQA-87DLOtJP-ooyU/edit?usp=sharing"",""นราธิวาส!R79"")+IMPORTRANGE(""https://docs.google.com/spreadsheets/d/1SDNX3JhDdYRuIOsj0Wh2M-Qa_eaXl0NbWmhAOTbf"&amp;"QAs/edit?usp=sharing"",""ปัตตานี!R79"")+IMPORTRANGE(""https://docs.google.com/spreadsheets/d/16JDLGguT8s5DsGCND1KcwHP_AWR_zDMTqLHPLJUKhaU/edit?usp=sharing"",""พังงา!R79"")+IMPORTRANGE(""https://docs.google.com/spreadsheets/d/17ht0gPKzzT3PObBL1XJkeRmntBXI7"&amp;"wGjpLV7QorqlTk/edit?usp=sharing"",""พัทลุง!R79"")+IMPORTRANGE(""https://docs.google.com/spreadsheets/d/1rd4qoM1q_hsgaolqNGfrim9gbsoLxQsda4-vOz5x_BM/edit?usp=sharing"",""ภูเก็ต!R79"")+IMPORTRANGE(""https://docs.google.com/spreadsheets/d/1woKwKjgoLssDvPcPeV"&amp;"yezB5izizAn4X1JDrys69n6xI/edit?usp=sharing"",""ยะลา!R79"")+IMPORTRANGE(""https://docs.google.com/spreadsheets/d/1qfrKjzMhm2HJfxQ-qVlJlJQ25Hne1d0khsySbZyGtPA/edit?usp=sharing"",""ระนอง!R79"")+IMPORTRANGE(""https://docs.google.com/spreadsheets/d/1IbSCnFOKpZ"&amp;"snFogBHJnL_isstZVaOMnFiIN0fGTPZZw/edit?usp=sharing"",""สงขลา!R79"")+IMPORTRANGE(""https://docs.google.com/spreadsheets/d/1q9nWasZJ-K8bFGvbE9n0qSRuKGA4Toe3Y89cKCiVtCU/edit?usp=sharing"",""สตูล!R79"")+IMPORTRANGE(""https://docs.google.com/spreadsheets/d/18T"&amp;"20gbkS_WBjdscyTOV05cvq_JqvqQ17C81mpxf7Ncs/edit?usp=sharing"",""สุราษฎร์ธานี!R79"")"),0)</f>
        <v>0</v>
      </c>
      <c r="S79" s="47">
        <f ca="1">IFERROR(__xludf.DUMMYFUNCTION("IMPORTRANGE(""https://docs.google.com/spreadsheets/d/1kKUcYdkIfrgTSj8iHHHB2MD2FAtwyyocFgqGQn6ADyI/edit?usp=sharing"",""กระบี่!S79"")+IMPORTRANGE(""https://docs.google.com/spreadsheets/d/1GwtLaSlNZkLk7iDqcyZz22giiy40b_usZZBXYciEN1U/edit?usp=sharing"",""ชุม"&amp;"พร!S79"")+IMPORTRANGE(""https://docs.google.com/spreadsheets/d/16pAz3pOhQEZBhvFNMa5KGgZS6iKWpsKX0pg6tQmwFpo/edit?usp=sharing"",""ตรัง!S79"")+IMPORTRANGE(""https://docs.google.com/spreadsheets/d/1Dj4jcHCTV9JXKCaMoheSXS52JE63kDKyG7bPXnFogHk/edit?usp=sharing"&amp;""",""นครศรีธรรมราช!S79"")+IMPORTRANGE(""https://docs.google.com/spreadsheets/d/1iodCdmuK2GR3jzUwk8tpccY2JHQQA-87DLOtJP-ooyU/edit?usp=sharing"",""นราธิวาส!S79"")+IMPORTRANGE(""https://docs.google.com/spreadsheets/d/1SDNX3JhDdYRuIOsj0Wh2M-Qa_eaXl0NbWmhAOTbf"&amp;"QAs/edit?usp=sharing"",""ปัตตานี!S79"")+IMPORTRANGE(""https://docs.google.com/spreadsheets/d/16JDLGguT8s5DsGCND1KcwHP_AWR_zDMTqLHPLJUKhaU/edit?usp=sharing"",""พังงา!S79"")+IMPORTRANGE(""https://docs.google.com/spreadsheets/d/17ht0gPKzzT3PObBL1XJkeRmntBXI7"&amp;"wGjpLV7QorqlTk/edit?usp=sharing"",""พัทลุง!S79"")+IMPORTRANGE(""https://docs.google.com/spreadsheets/d/1rd4qoM1q_hsgaolqNGfrim9gbsoLxQsda4-vOz5x_BM/edit?usp=sharing"",""ภูเก็ต!S79"")+IMPORTRANGE(""https://docs.google.com/spreadsheets/d/1woKwKjgoLssDvPcPeV"&amp;"yezB5izizAn4X1JDrys69n6xI/edit?usp=sharing"",""ยะลา!S79"")+IMPORTRANGE(""https://docs.google.com/spreadsheets/d/1qfrKjzMhm2HJfxQ-qVlJlJQ25Hne1d0khsySbZyGtPA/edit?usp=sharing"",""ระนอง!S79"")+IMPORTRANGE(""https://docs.google.com/spreadsheets/d/1IbSCnFOKpZ"&amp;"snFogBHJnL_isstZVaOMnFiIN0fGTPZZw/edit?usp=sharing"",""สงขลา!S79"")+IMPORTRANGE(""https://docs.google.com/spreadsheets/d/1q9nWasZJ-K8bFGvbE9n0qSRuKGA4Toe3Y89cKCiVtCU/edit?usp=sharing"",""สตูล!S79"")+IMPORTRANGE(""https://docs.google.com/spreadsheets/d/18T"&amp;"20gbkS_WBjdscyTOV05cvq_JqvqQ17C81mpxf7Ncs/edit?usp=sharing"",""สุราษฎร์ธานี!S79"")"),0)</f>
        <v>0</v>
      </c>
      <c r="T79" s="49">
        <f t="shared" ca="1" si="57"/>
        <v>0</v>
      </c>
      <c r="U79" s="49">
        <f t="shared" ca="1" si="58"/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7">
        <f ca="1">IFERROR(__xludf.DUMMYFUNCTION("IMPORTRANGE(""https://docs.google.com/spreadsheets/d/1kKUcYdkIfrgTSj8iHHHB2MD2FAtwyyocFgqGQn6ADyI/edit?usp=sharing"",""กระบี่!L80"")+IMPORTRANGE(""https://docs.google.com/spreadsheets/d/1GwtLaSlNZkLk7iDqcyZz22giiy40b_usZZBXYciEN1U/edit?usp=sharing"",""ชุม"&amp;"พร!L80"")+IMPORTRANGE(""https://docs.google.com/spreadsheets/d/16pAz3pOhQEZBhvFNMa5KGgZS6iKWpsKX0pg6tQmwFpo/edit?usp=sharing"",""ตรัง!L80"")+IMPORTRANGE(""https://docs.google.com/spreadsheets/d/1Dj4jcHCTV9JXKCaMoheSXS52JE63kDKyG7bPXnFogHk/edit?usp=sharing"&amp;""",""นครศรีธรรมราช!L80"")+IMPORTRANGE(""https://docs.google.com/spreadsheets/d/1iodCdmuK2GR3jzUwk8tpccY2JHQQA-87DLOtJP-ooyU/edit?usp=sharing"",""นราธิวาส!L80"")+IMPORTRANGE(""https://docs.google.com/spreadsheets/d/1SDNX3JhDdYRuIOsj0Wh2M-Qa_eaXl0NbWmhAOTbf"&amp;"QAs/edit?usp=sharing"",""ปัตตานี!L80"")+IMPORTRANGE(""https://docs.google.com/spreadsheets/d/16JDLGguT8s5DsGCND1KcwHP_AWR_zDMTqLHPLJUKhaU/edit?usp=sharing"",""พังงา!L80"")+IMPORTRANGE(""https://docs.google.com/spreadsheets/d/17ht0gPKzzT3PObBL1XJkeRmntBXI7"&amp;"wGjpLV7QorqlTk/edit?usp=sharing"",""พัทลุง!L80"")+IMPORTRANGE(""https://docs.google.com/spreadsheets/d/1rd4qoM1q_hsgaolqNGfrim9gbsoLxQsda4-vOz5x_BM/edit?usp=sharing"",""ภูเก็ต!L80"")+IMPORTRANGE(""https://docs.google.com/spreadsheets/d/1woKwKjgoLssDvPcPeV"&amp;"yezB5izizAn4X1JDrys69n6xI/edit?usp=sharing"",""ยะลา!L80"")+IMPORTRANGE(""https://docs.google.com/spreadsheets/d/1qfrKjzMhm2HJfxQ-qVlJlJQ25Hne1d0khsySbZyGtPA/edit?usp=sharing"",""ระนอง!L80"")+IMPORTRANGE(""https://docs.google.com/spreadsheets/d/1IbSCnFOKpZ"&amp;"snFogBHJnL_isstZVaOMnFiIN0fGTPZZw/edit?usp=sharing"",""สงขลา!L80"")+IMPORTRANGE(""https://docs.google.com/spreadsheets/d/1q9nWasZJ-K8bFGvbE9n0qSRuKGA4Toe3Y89cKCiVtCU/edit?usp=sharing"",""สตูล!L80"")+IMPORTRANGE(""https://docs.google.com/spreadsheets/d/18T"&amp;"20gbkS_WBjdscyTOV05cvq_JqvqQ17C81mpxf7Ncs/edit?usp=sharing"",""สุราษฎร์ธานี!L80"")"),0)</f>
        <v>0</v>
      </c>
      <c r="M80" s="47">
        <f ca="1">IFERROR(__xludf.DUMMYFUNCTION("IMPORTRANGE(""https://docs.google.com/spreadsheets/d/1kKUcYdkIfrgTSj8iHHHB2MD2FAtwyyocFgqGQn6ADyI/edit?usp=sharing"",""กระบี่!M80"")+IMPORTRANGE(""https://docs.google.com/spreadsheets/d/1GwtLaSlNZkLk7iDqcyZz22giiy40b_usZZBXYciEN1U/edit?usp=sharing"",""ชุม"&amp;"พร!M80"")+IMPORTRANGE(""https://docs.google.com/spreadsheets/d/16pAz3pOhQEZBhvFNMa5KGgZS6iKWpsKX0pg6tQmwFpo/edit?usp=sharing"",""ตรัง!M80"")+IMPORTRANGE(""https://docs.google.com/spreadsheets/d/1Dj4jcHCTV9JXKCaMoheSXS52JE63kDKyG7bPXnFogHk/edit?usp=sharing"&amp;""",""นครศรีธรรมราช!M80"")+IMPORTRANGE(""https://docs.google.com/spreadsheets/d/1iodCdmuK2GR3jzUwk8tpccY2JHQQA-87DLOtJP-ooyU/edit?usp=sharing"",""นราธิวาส!M80"")+IMPORTRANGE(""https://docs.google.com/spreadsheets/d/1SDNX3JhDdYRuIOsj0Wh2M-Qa_eaXl0NbWmhAOTbf"&amp;"QAs/edit?usp=sharing"",""ปัตตานี!M80"")+IMPORTRANGE(""https://docs.google.com/spreadsheets/d/16JDLGguT8s5DsGCND1KcwHP_AWR_zDMTqLHPLJUKhaU/edit?usp=sharing"",""พังงา!M80"")+IMPORTRANGE(""https://docs.google.com/spreadsheets/d/17ht0gPKzzT3PObBL1XJkeRmntBXI7"&amp;"wGjpLV7QorqlTk/edit?usp=sharing"",""พัทลุง!M80"")+IMPORTRANGE(""https://docs.google.com/spreadsheets/d/1rd4qoM1q_hsgaolqNGfrim9gbsoLxQsda4-vOz5x_BM/edit?usp=sharing"",""ภูเก็ต!M80"")+IMPORTRANGE(""https://docs.google.com/spreadsheets/d/1woKwKjgoLssDvPcPeV"&amp;"yezB5izizAn4X1JDrys69n6xI/edit?usp=sharing"",""ยะลา!M80"")+IMPORTRANGE(""https://docs.google.com/spreadsheets/d/1qfrKjzMhm2HJfxQ-qVlJlJQ25Hne1d0khsySbZyGtPA/edit?usp=sharing"",""ระนอง!M80"")+IMPORTRANGE(""https://docs.google.com/spreadsheets/d/1IbSCnFOKpZ"&amp;"snFogBHJnL_isstZVaOMnFiIN0fGTPZZw/edit?usp=sharing"",""สงขลา!M80"")+IMPORTRANGE(""https://docs.google.com/spreadsheets/d/1q9nWasZJ-K8bFGvbE9n0qSRuKGA4Toe3Y89cKCiVtCU/edit?usp=sharing"",""สตูล!M80"")+IMPORTRANGE(""https://docs.google.com/spreadsheets/d/18T"&amp;"20gbkS_WBjdscyTOV05cvq_JqvqQ17C81mpxf7Ncs/edit?usp=sharing"",""สุราษฎร์ธานี!M80"")"),0)</f>
        <v>0</v>
      </c>
      <c r="N80" s="47">
        <f ca="1">IFERROR(__xludf.DUMMYFUNCTION("IMPORTRANGE(""https://docs.google.com/spreadsheets/d/1kKUcYdkIfrgTSj8iHHHB2MD2FAtwyyocFgqGQn6ADyI/edit?usp=sharing"",""กระบี่!N80"")+IMPORTRANGE(""https://docs.google.com/spreadsheets/d/1GwtLaSlNZkLk7iDqcyZz22giiy40b_usZZBXYciEN1U/edit?usp=sharing"",""ชุม"&amp;"พร!N80"")+IMPORTRANGE(""https://docs.google.com/spreadsheets/d/16pAz3pOhQEZBhvFNMa5KGgZS6iKWpsKX0pg6tQmwFpo/edit?usp=sharing"",""ตรัง!N80"")+IMPORTRANGE(""https://docs.google.com/spreadsheets/d/1Dj4jcHCTV9JXKCaMoheSXS52JE63kDKyG7bPXnFogHk/edit?usp=sharing"&amp;""",""นครศรีธรรมราช!N80"")+IMPORTRANGE(""https://docs.google.com/spreadsheets/d/1iodCdmuK2GR3jzUwk8tpccY2JHQQA-87DLOtJP-ooyU/edit?usp=sharing"",""นราธิวาส!N80"")+IMPORTRANGE(""https://docs.google.com/spreadsheets/d/1SDNX3JhDdYRuIOsj0Wh2M-Qa_eaXl0NbWmhAOTbf"&amp;"QAs/edit?usp=sharing"",""ปัตตานี!N80"")+IMPORTRANGE(""https://docs.google.com/spreadsheets/d/16JDLGguT8s5DsGCND1KcwHP_AWR_zDMTqLHPLJUKhaU/edit?usp=sharing"",""พังงา!N80"")+IMPORTRANGE(""https://docs.google.com/spreadsheets/d/17ht0gPKzzT3PObBL1XJkeRmntBXI7"&amp;"wGjpLV7QorqlTk/edit?usp=sharing"",""พัทลุง!N80"")+IMPORTRANGE(""https://docs.google.com/spreadsheets/d/1rd4qoM1q_hsgaolqNGfrim9gbsoLxQsda4-vOz5x_BM/edit?usp=sharing"",""ภูเก็ต!N80"")+IMPORTRANGE(""https://docs.google.com/spreadsheets/d/1woKwKjgoLssDvPcPeV"&amp;"yezB5izizAn4X1JDrys69n6xI/edit?usp=sharing"",""ยะลา!N80"")+IMPORTRANGE(""https://docs.google.com/spreadsheets/d/1qfrKjzMhm2HJfxQ-qVlJlJQ25Hne1d0khsySbZyGtPA/edit?usp=sharing"",""ระนอง!N80"")+IMPORTRANGE(""https://docs.google.com/spreadsheets/d/1IbSCnFOKpZ"&amp;"snFogBHJnL_isstZVaOMnFiIN0fGTPZZw/edit?usp=sharing"",""สงขลา!N80"")+IMPORTRANGE(""https://docs.google.com/spreadsheets/d/1q9nWasZJ-K8bFGvbE9n0qSRuKGA4Toe3Y89cKCiVtCU/edit?usp=sharing"",""สตูล!N80"")+IMPORTRANGE(""https://docs.google.com/spreadsheets/d/18T"&amp;"20gbkS_WBjdscyTOV05cvq_JqvqQ17C81mpxf7Ncs/edit?usp=sharing"",""สุราษฎร์ธานี!N80"")"),0)</f>
        <v>0</v>
      </c>
      <c r="O80" s="47">
        <f t="shared" ca="1" si="54"/>
        <v>0</v>
      </c>
      <c r="P80" s="47">
        <f t="shared" ca="1" si="55"/>
        <v>0</v>
      </c>
      <c r="Q80" s="47">
        <f ca="1">IFERROR(__xludf.DUMMYFUNCTION("IMPORTRANGE(""https://docs.google.com/spreadsheets/d/1kKUcYdkIfrgTSj8iHHHB2MD2FAtwyyocFgqGQn6ADyI/edit?usp=sharing"",""กระบี่!Q80"")+IMPORTRANGE(""https://docs.google.com/spreadsheets/d/1GwtLaSlNZkLk7iDqcyZz22giiy40b_usZZBXYciEN1U/edit?usp=sharing"",""ชุม"&amp;"พร!Q80"")+IMPORTRANGE(""https://docs.google.com/spreadsheets/d/16pAz3pOhQEZBhvFNMa5KGgZS6iKWpsKX0pg6tQmwFpo/edit?usp=sharing"",""ตรัง!Q80"")+IMPORTRANGE(""https://docs.google.com/spreadsheets/d/1Dj4jcHCTV9JXKCaMoheSXS52JE63kDKyG7bPXnFogHk/edit?usp=sharing"&amp;""",""นครศรีธรรมราช!Q80"")+IMPORTRANGE(""https://docs.google.com/spreadsheets/d/1iodCdmuK2GR3jzUwk8tpccY2JHQQA-87DLOtJP-ooyU/edit?usp=sharing"",""นราธิวาส!Q80"")+IMPORTRANGE(""https://docs.google.com/spreadsheets/d/1SDNX3JhDdYRuIOsj0Wh2M-Qa_eaXl0NbWmhAOTbf"&amp;"QAs/edit?usp=sharing"",""ปัตตานี!Q80"")+IMPORTRANGE(""https://docs.google.com/spreadsheets/d/16JDLGguT8s5DsGCND1KcwHP_AWR_zDMTqLHPLJUKhaU/edit?usp=sharing"",""พังงา!Q80"")+IMPORTRANGE(""https://docs.google.com/spreadsheets/d/17ht0gPKzzT3PObBL1XJkeRmntBXI7"&amp;"wGjpLV7QorqlTk/edit?usp=sharing"",""พัทลุง!Q80"")+IMPORTRANGE(""https://docs.google.com/spreadsheets/d/1rd4qoM1q_hsgaolqNGfrim9gbsoLxQsda4-vOz5x_BM/edit?usp=sharing"",""ภูเก็ต!Q80"")+IMPORTRANGE(""https://docs.google.com/spreadsheets/d/1woKwKjgoLssDvPcPeV"&amp;"yezB5izizAn4X1JDrys69n6xI/edit?usp=sharing"",""ยะลา!Q80"")+IMPORTRANGE(""https://docs.google.com/spreadsheets/d/1qfrKjzMhm2HJfxQ-qVlJlJQ25Hne1d0khsySbZyGtPA/edit?usp=sharing"",""ระนอง!Q80"")+IMPORTRANGE(""https://docs.google.com/spreadsheets/d/1IbSCnFOKpZ"&amp;"snFogBHJnL_isstZVaOMnFiIN0fGTPZZw/edit?usp=sharing"",""สงขลา!Q80"")+IMPORTRANGE(""https://docs.google.com/spreadsheets/d/1q9nWasZJ-K8bFGvbE9n0qSRuKGA4Toe3Y89cKCiVtCU/edit?usp=sharing"",""สตูล!Q80"")+IMPORTRANGE(""https://docs.google.com/spreadsheets/d/18T"&amp;"20gbkS_WBjdscyTOV05cvq_JqvqQ17C81mpxf7Ncs/edit?usp=sharing"",""สุราษฎร์ธานี!Q80"")"),0)</f>
        <v>0</v>
      </c>
      <c r="R80" s="47">
        <f ca="1">IFERROR(__xludf.DUMMYFUNCTION("IMPORTRANGE(""https://docs.google.com/spreadsheets/d/1kKUcYdkIfrgTSj8iHHHB2MD2FAtwyyocFgqGQn6ADyI/edit?usp=sharing"",""กระบี่!R80"")+IMPORTRANGE(""https://docs.google.com/spreadsheets/d/1GwtLaSlNZkLk7iDqcyZz22giiy40b_usZZBXYciEN1U/edit?usp=sharing"",""ชุม"&amp;"พร!R80"")+IMPORTRANGE(""https://docs.google.com/spreadsheets/d/16pAz3pOhQEZBhvFNMa5KGgZS6iKWpsKX0pg6tQmwFpo/edit?usp=sharing"",""ตรัง!R80"")+IMPORTRANGE(""https://docs.google.com/spreadsheets/d/1Dj4jcHCTV9JXKCaMoheSXS52JE63kDKyG7bPXnFogHk/edit?usp=sharing"&amp;""",""นครศรีธรรมราช!R80"")+IMPORTRANGE(""https://docs.google.com/spreadsheets/d/1iodCdmuK2GR3jzUwk8tpccY2JHQQA-87DLOtJP-ooyU/edit?usp=sharing"",""นราธิวาส!R80"")+IMPORTRANGE(""https://docs.google.com/spreadsheets/d/1SDNX3JhDdYRuIOsj0Wh2M-Qa_eaXl0NbWmhAOTbf"&amp;"QAs/edit?usp=sharing"",""ปัตตานี!R80"")+IMPORTRANGE(""https://docs.google.com/spreadsheets/d/16JDLGguT8s5DsGCND1KcwHP_AWR_zDMTqLHPLJUKhaU/edit?usp=sharing"",""พังงา!R80"")+IMPORTRANGE(""https://docs.google.com/spreadsheets/d/17ht0gPKzzT3PObBL1XJkeRmntBXI7"&amp;"wGjpLV7QorqlTk/edit?usp=sharing"",""พัทลุง!R80"")+IMPORTRANGE(""https://docs.google.com/spreadsheets/d/1rd4qoM1q_hsgaolqNGfrim9gbsoLxQsda4-vOz5x_BM/edit?usp=sharing"",""ภูเก็ต!R80"")+IMPORTRANGE(""https://docs.google.com/spreadsheets/d/1woKwKjgoLssDvPcPeV"&amp;"yezB5izizAn4X1JDrys69n6xI/edit?usp=sharing"",""ยะลา!R80"")+IMPORTRANGE(""https://docs.google.com/spreadsheets/d/1qfrKjzMhm2HJfxQ-qVlJlJQ25Hne1d0khsySbZyGtPA/edit?usp=sharing"",""ระนอง!R80"")+IMPORTRANGE(""https://docs.google.com/spreadsheets/d/1IbSCnFOKpZ"&amp;"snFogBHJnL_isstZVaOMnFiIN0fGTPZZw/edit?usp=sharing"",""สงขลา!R80"")+IMPORTRANGE(""https://docs.google.com/spreadsheets/d/1q9nWasZJ-K8bFGvbE9n0qSRuKGA4Toe3Y89cKCiVtCU/edit?usp=sharing"",""สตูล!R80"")+IMPORTRANGE(""https://docs.google.com/spreadsheets/d/18T"&amp;"20gbkS_WBjdscyTOV05cvq_JqvqQ17C81mpxf7Ncs/edit?usp=sharing"",""สุราษฎร์ธานี!R80"")"),0)</f>
        <v>0</v>
      </c>
      <c r="S80" s="47">
        <f ca="1">IFERROR(__xludf.DUMMYFUNCTION("IMPORTRANGE(""https://docs.google.com/spreadsheets/d/1kKUcYdkIfrgTSj8iHHHB2MD2FAtwyyocFgqGQn6ADyI/edit?usp=sharing"",""กระบี่!S80"")+IMPORTRANGE(""https://docs.google.com/spreadsheets/d/1GwtLaSlNZkLk7iDqcyZz22giiy40b_usZZBXYciEN1U/edit?usp=sharing"",""ชุม"&amp;"พร!S80"")+IMPORTRANGE(""https://docs.google.com/spreadsheets/d/16pAz3pOhQEZBhvFNMa5KGgZS6iKWpsKX0pg6tQmwFpo/edit?usp=sharing"",""ตรัง!S80"")+IMPORTRANGE(""https://docs.google.com/spreadsheets/d/1Dj4jcHCTV9JXKCaMoheSXS52JE63kDKyG7bPXnFogHk/edit?usp=sharing"&amp;""",""นครศรีธรรมราช!S80"")+IMPORTRANGE(""https://docs.google.com/spreadsheets/d/1iodCdmuK2GR3jzUwk8tpccY2JHQQA-87DLOtJP-ooyU/edit?usp=sharing"",""นราธิวาส!S80"")+IMPORTRANGE(""https://docs.google.com/spreadsheets/d/1SDNX3JhDdYRuIOsj0Wh2M-Qa_eaXl0NbWmhAOTbf"&amp;"QAs/edit?usp=sharing"",""ปัตตานี!S80"")+IMPORTRANGE(""https://docs.google.com/spreadsheets/d/16JDLGguT8s5DsGCND1KcwHP_AWR_zDMTqLHPLJUKhaU/edit?usp=sharing"",""พังงา!S80"")+IMPORTRANGE(""https://docs.google.com/spreadsheets/d/17ht0gPKzzT3PObBL1XJkeRmntBXI7"&amp;"wGjpLV7QorqlTk/edit?usp=sharing"",""พัทลุง!S80"")+IMPORTRANGE(""https://docs.google.com/spreadsheets/d/1rd4qoM1q_hsgaolqNGfrim9gbsoLxQsda4-vOz5x_BM/edit?usp=sharing"",""ภูเก็ต!S80"")+IMPORTRANGE(""https://docs.google.com/spreadsheets/d/1woKwKjgoLssDvPcPeV"&amp;"yezB5izizAn4X1JDrys69n6xI/edit?usp=sharing"",""ยะลา!S80"")+IMPORTRANGE(""https://docs.google.com/spreadsheets/d/1qfrKjzMhm2HJfxQ-qVlJlJQ25Hne1d0khsySbZyGtPA/edit?usp=sharing"",""ระนอง!S80"")+IMPORTRANGE(""https://docs.google.com/spreadsheets/d/1IbSCnFOKpZ"&amp;"snFogBHJnL_isstZVaOMnFiIN0fGTPZZw/edit?usp=sharing"",""สงขลา!S80"")+IMPORTRANGE(""https://docs.google.com/spreadsheets/d/1q9nWasZJ-K8bFGvbE9n0qSRuKGA4Toe3Y89cKCiVtCU/edit?usp=sharing"",""สตูล!S80"")+IMPORTRANGE(""https://docs.google.com/spreadsheets/d/18T"&amp;"20gbkS_WBjdscyTOV05cvq_JqvqQ17C81mpxf7Ncs/edit?usp=sharing"",""สุราษฎร์ธานี!S80"")"),0)</f>
        <v>0</v>
      </c>
      <c r="T80" s="47">
        <f t="shared" ca="1" si="57"/>
        <v>0</v>
      </c>
      <c r="U80" s="47">
        <f t="shared" ca="1" si="58"/>
        <v>0</v>
      </c>
    </row>
    <row r="81" spans="1:21" ht="19.5" x14ac:dyDescent="0.3">
      <c r="A81" s="138"/>
      <c r="B81" s="139"/>
      <c r="C81" s="129" t="s">
        <v>18</v>
      </c>
      <c r="D81" s="140" t="s">
        <v>38</v>
      </c>
      <c r="E81" s="141"/>
      <c r="F81" s="141"/>
      <c r="G81" s="142"/>
      <c r="H81" s="143"/>
      <c r="I81" s="135"/>
      <c r="J81" s="135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t="shared" ref="I82:J82" ca="1" si="67">I84+I86+I88</f>
        <v>4</v>
      </c>
      <c r="J82" s="147">
        <f t="shared" ca="1" si="67"/>
        <v>2</v>
      </c>
      <c r="K82" s="148">
        <f t="shared" ref="K82:K90" ca="1" si="68">IF(I82&gt;0,J82*100/I82,0)</f>
        <v>50</v>
      </c>
      <c r="L82" s="136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t="shared" ref="I83:J83" ca="1" si="69">I85+I87+I89</f>
        <v>121</v>
      </c>
      <c r="J83" s="147">
        <f t="shared" ca="1" si="69"/>
        <v>61</v>
      </c>
      <c r="K83" s="148">
        <f t="shared" ca="1" si="68"/>
        <v>50.413223140495866</v>
      </c>
      <c r="L83" s="136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kKUcYdkIfrgTSj8iHHHB2MD2FAtwyyocFgqGQn6ADyI/edit?usp=sharing"",""กระบี่!I84"")+IMPORTRANGE(""https://docs.google.com/spreadsheets/d/1GwtLaSlNZkLk7iDqcyZz22giiy40b_usZZBXYciEN1U/edit?usp=sharing"",""ชุม"&amp;"พร!I84"")+IMPORTRANGE(""https://docs.google.com/spreadsheets/d/16pAz3pOhQEZBhvFNMa5KGgZS6iKWpsKX0pg6tQmwFpo/edit?usp=sharing"",""ตรัง!I84"")+IMPORTRANGE(""https://docs.google.com/spreadsheets/d/1Dj4jcHCTV9JXKCaMoheSXS52JE63kDKyG7bPXnFogHk/edit?usp=sharing"&amp;""",""นครศรีธรรมราช!I84"")+IMPORTRANGE(""https://docs.google.com/spreadsheets/d/1iodCdmuK2GR3jzUwk8tpccY2JHQQA-87DLOtJP-ooyU/edit?usp=sharing"",""นราธิวาส!I84"")+IMPORTRANGE(""https://docs.google.com/spreadsheets/d/1SDNX3JhDdYRuIOsj0Wh2M-Qa_eaXl0NbWmhAOTbf"&amp;"QAs/edit?usp=sharing"",""ปัตตานี!I84"")+IMPORTRANGE(""https://docs.google.com/spreadsheets/d/16JDLGguT8s5DsGCND1KcwHP_AWR_zDMTqLHPLJUKhaU/edit?usp=sharing"",""พังงา!I84"")+IMPORTRANGE(""https://docs.google.com/spreadsheets/d/17ht0gPKzzT3PObBL1XJkeRmntBXI7"&amp;"wGjpLV7QorqlTk/edit?usp=sharing"",""พัทลุง!I84"")+IMPORTRANGE(""https://docs.google.com/spreadsheets/d/1rd4qoM1q_hsgaolqNGfrim9gbsoLxQsda4-vOz5x_BM/edit?usp=sharing"",""ภูเก็ต!I84"")+IMPORTRANGE(""https://docs.google.com/spreadsheets/d/1woKwKjgoLssDvPcPeV"&amp;"yezB5izizAn4X1JDrys69n6xI/edit?usp=sharing"",""ยะลา!I84"")+IMPORTRANGE(""https://docs.google.com/spreadsheets/d/1qfrKjzMhm2HJfxQ-qVlJlJQ25Hne1d0khsySbZyGtPA/edit?usp=sharing"",""ระนอง!I84"")+IMPORTRANGE(""https://docs.google.com/spreadsheets/d/1IbSCnFOKpZ"&amp;"snFogBHJnL_isstZVaOMnFiIN0fGTPZZw/edit?usp=sharing"",""สงขลา!I84"")+IMPORTRANGE(""https://docs.google.com/spreadsheets/d/1q9nWasZJ-K8bFGvbE9n0qSRuKGA4Toe3Y89cKCiVtCU/edit?usp=sharing"",""สตูล!I84"")+IMPORTRANGE(""https://docs.google.com/spreadsheets/d/18T"&amp;"20gbkS_WBjdscyTOV05cvq_JqvqQ17C81mpxf7Ncs/edit?usp=sharing"",""สุราษฎร์ธานี!I84"")"),1)</f>
        <v>1</v>
      </c>
      <c r="J84" s="152">
        <f ca="1">IFERROR(__xludf.DUMMYFUNCTION("IMPORTRANGE(""https://docs.google.com/spreadsheets/d/1kKUcYdkIfrgTSj8iHHHB2MD2FAtwyyocFgqGQn6ADyI/edit?usp=sharing"",""กระบี่!J84"")+IMPORTRANGE(""https://docs.google.com/spreadsheets/d/1GwtLaSlNZkLk7iDqcyZz22giiy40b_usZZBXYciEN1U/edit?usp=sharing"",""ชุม"&amp;"พร!J84"")+IMPORTRANGE(""https://docs.google.com/spreadsheets/d/16pAz3pOhQEZBhvFNMa5KGgZS6iKWpsKX0pg6tQmwFpo/edit?usp=sharing"",""ตรัง!J84"")+IMPORTRANGE(""https://docs.google.com/spreadsheets/d/1Dj4jcHCTV9JXKCaMoheSXS52JE63kDKyG7bPXnFogHk/edit?usp=sharing"&amp;""",""นครศรีธรรมราช!J84"")+IMPORTRANGE(""https://docs.google.com/spreadsheets/d/1iodCdmuK2GR3jzUwk8tpccY2JHQQA-87DLOtJP-ooyU/edit?usp=sharing"",""นราธิวาส!J84"")+IMPORTRANGE(""https://docs.google.com/spreadsheets/d/1SDNX3JhDdYRuIOsj0Wh2M-Qa_eaXl0NbWmhAOTbf"&amp;"QAs/edit?usp=sharing"",""ปัตตานี!J84"")+IMPORTRANGE(""https://docs.google.com/spreadsheets/d/16JDLGguT8s5DsGCND1KcwHP_AWR_zDMTqLHPLJUKhaU/edit?usp=sharing"",""พังงา!J84"")+IMPORTRANGE(""https://docs.google.com/spreadsheets/d/17ht0gPKzzT3PObBL1XJkeRmntBXI7"&amp;"wGjpLV7QorqlTk/edit?usp=sharing"",""พัทลุง!J84"")+IMPORTRANGE(""https://docs.google.com/spreadsheets/d/1rd4qoM1q_hsgaolqNGfrim9gbsoLxQsda4-vOz5x_BM/edit?usp=sharing"",""ภูเก็ต!J84"")+IMPORTRANGE(""https://docs.google.com/spreadsheets/d/1woKwKjgoLssDvPcPeV"&amp;"yezB5izizAn4X1JDrys69n6xI/edit?usp=sharing"",""ยะลา!J84"")+IMPORTRANGE(""https://docs.google.com/spreadsheets/d/1qfrKjzMhm2HJfxQ-qVlJlJQ25Hne1d0khsySbZyGtPA/edit?usp=sharing"",""ระนอง!J84"")+IMPORTRANGE(""https://docs.google.com/spreadsheets/d/1IbSCnFOKpZ"&amp;"snFogBHJnL_isstZVaOMnFiIN0fGTPZZw/edit?usp=sharing"",""สงขลา!J84"")+IMPORTRANGE(""https://docs.google.com/spreadsheets/d/1q9nWasZJ-K8bFGvbE9n0qSRuKGA4Toe3Y89cKCiVtCU/edit?usp=sharing"",""สตูล!J84"")+IMPORTRANGE(""https://docs.google.com/spreadsheets/d/18T"&amp;"20gbkS_WBjdscyTOV05cvq_JqvqQ17C81mpxf7Ncs/edit?usp=sharing"",""สุราษฎร์ธานี!J84"")"),1)</f>
        <v>1</v>
      </c>
      <c r="K84" s="153">
        <f t="shared" ca="1" si="68"/>
        <v>100</v>
      </c>
      <c r="L84" s="136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kKUcYdkIfrgTSj8iHHHB2MD2FAtwyyocFgqGQn6ADyI/edit?usp=sharing"",""กระบี่!I85"")+IMPORTRANGE(""https://docs.google.com/spreadsheets/d/1GwtLaSlNZkLk7iDqcyZz22giiy40b_usZZBXYciEN1U/edit?usp=sharing"",""ชุม"&amp;"พร!I85"")+IMPORTRANGE(""https://docs.google.com/spreadsheets/d/16pAz3pOhQEZBhvFNMa5KGgZS6iKWpsKX0pg6tQmwFpo/edit?usp=sharing"",""ตรัง!I85"")+IMPORTRANGE(""https://docs.google.com/spreadsheets/d/1Dj4jcHCTV9JXKCaMoheSXS52JE63kDKyG7bPXnFogHk/edit?usp=sharing"&amp;""",""นครศรีธรรมราช!I85"")+IMPORTRANGE(""https://docs.google.com/spreadsheets/d/1iodCdmuK2GR3jzUwk8tpccY2JHQQA-87DLOtJP-ooyU/edit?usp=sharing"",""นราธิวาส!I85"")+IMPORTRANGE(""https://docs.google.com/spreadsheets/d/1SDNX3JhDdYRuIOsj0Wh2M-Qa_eaXl0NbWmhAOTbf"&amp;"QAs/edit?usp=sharing"",""ปัตตานี!I85"")+IMPORTRANGE(""https://docs.google.com/spreadsheets/d/16JDLGguT8s5DsGCND1KcwHP_AWR_zDMTqLHPLJUKhaU/edit?usp=sharing"",""พังงา!I85"")+IMPORTRANGE(""https://docs.google.com/spreadsheets/d/17ht0gPKzzT3PObBL1XJkeRmntBXI7"&amp;"wGjpLV7QorqlTk/edit?usp=sharing"",""พัทลุง!I85"")+IMPORTRANGE(""https://docs.google.com/spreadsheets/d/1rd4qoM1q_hsgaolqNGfrim9gbsoLxQsda4-vOz5x_BM/edit?usp=sharing"",""ภูเก็ต!I85"")+IMPORTRANGE(""https://docs.google.com/spreadsheets/d/1woKwKjgoLssDvPcPeV"&amp;"yezB5izizAn4X1JDrys69n6xI/edit?usp=sharing"",""ยะลา!I85"")+IMPORTRANGE(""https://docs.google.com/spreadsheets/d/1qfrKjzMhm2HJfxQ-qVlJlJQ25Hne1d0khsySbZyGtPA/edit?usp=sharing"",""ระนอง!I85"")+IMPORTRANGE(""https://docs.google.com/spreadsheets/d/1IbSCnFOKpZ"&amp;"snFogBHJnL_isstZVaOMnFiIN0fGTPZZw/edit?usp=sharing"",""สงขลา!I85"")+IMPORTRANGE(""https://docs.google.com/spreadsheets/d/1q9nWasZJ-K8bFGvbE9n0qSRuKGA4Toe3Y89cKCiVtCU/edit?usp=sharing"",""สตูล!I85"")+IMPORTRANGE(""https://docs.google.com/spreadsheets/d/18T"&amp;"20gbkS_WBjdscyTOV05cvq_JqvqQ17C81mpxf7Ncs/edit?usp=sharing"",""สุราษฎร์ธานี!I85"")"),31)</f>
        <v>31</v>
      </c>
      <c r="J85" s="152">
        <f ca="1">IFERROR(__xludf.DUMMYFUNCTION("IMPORTRANGE(""https://docs.google.com/spreadsheets/d/1kKUcYdkIfrgTSj8iHHHB2MD2FAtwyyocFgqGQn6ADyI/edit?usp=sharing"",""กระบี่!J85"")+IMPORTRANGE(""https://docs.google.com/spreadsheets/d/1GwtLaSlNZkLk7iDqcyZz22giiy40b_usZZBXYciEN1U/edit?usp=sharing"",""ชุม"&amp;"พร!J85"")+IMPORTRANGE(""https://docs.google.com/spreadsheets/d/16pAz3pOhQEZBhvFNMa5KGgZS6iKWpsKX0pg6tQmwFpo/edit?usp=sharing"",""ตรัง!J85"")+IMPORTRANGE(""https://docs.google.com/spreadsheets/d/1Dj4jcHCTV9JXKCaMoheSXS52JE63kDKyG7bPXnFogHk/edit?usp=sharing"&amp;""",""นครศรีธรรมราช!J85"")+IMPORTRANGE(""https://docs.google.com/spreadsheets/d/1iodCdmuK2GR3jzUwk8tpccY2JHQQA-87DLOtJP-ooyU/edit?usp=sharing"",""นราธิวาส!J85"")+IMPORTRANGE(""https://docs.google.com/spreadsheets/d/1SDNX3JhDdYRuIOsj0Wh2M-Qa_eaXl0NbWmhAOTbf"&amp;"QAs/edit?usp=sharing"",""ปัตตานี!J85"")+IMPORTRANGE(""https://docs.google.com/spreadsheets/d/16JDLGguT8s5DsGCND1KcwHP_AWR_zDMTqLHPLJUKhaU/edit?usp=sharing"",""พังงา!J85"")+IMPORTRANGE(""https://docs.google.com/spreadsheets/d/17ht0gPKzzT3PObBL1XJkeRmntBXI7"&amp;"wGjpLV7QorqlTk/edit?usp=sharing"",""พัทลุง!J85"")+IMPORTRANGE(""https://docs.google.com/spreadsheets/d/1rd4qoM1q_hsgaolqNGfrim9gbsoLxQsda4-vOz5x_BM/edit?usp=sharing"",""ภูเก็ต!J85"")+IMPORTRANGE(""https://docs.google.com/spreadsheets/d/1woKwKjgoLssDvPcPeV"&amp;"yezB5izizAn4X1JDrys69n6xI/edit?usp=sharing"",""ยะลา!J85"")+IMPORTRANGE(""https://docs.google.com/spreadsheets/d/1qfrKjzMhm2HJfxQ-qVlJlJQ25Hne1d0khsySbZyGtPA/edit?usp=sharing"",""ระนอง!J85"")+IMPORTRANGE(""https://docs.google.com/spreadsheets/d/1IbSCnFOKpZ"&amp;"snFogBHJnL_isstZVaOMnFiIN0fGTPZZw/edit?usp=sharing"",""สงขลา!J85"")+IMPORTRANGE(""https://docs.google.com/spreadsheets/d/1q9nWasZJ-K8bFGvbE9n0qSRuKGA4Toe3Y89cKCiVtCU/edit?usp=sharing"",""สตูล!J85"")+IMPORTRANGE(""https://docs.google.com/spreadsheets/d/18T"&amp;"20gbkS_WBjdscyTOV05cvq_JqvqQ17C81mpxf7Ncs/edit?usp=sharing"",""สุราษฎร์ธานี!J85"")"),31)</f>
        <v>31</v>
      </c>
      <c r="K85" s="153">
        <f t="shared" ca="1" si="68"/>
        <v>100</v>
      </c>
      <c r="L85" s="136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kKUcYdkIfrgTSj8iHHHB2MD2FAtwyyocFgqGQn6ADyI/edit?usp=sharing"",""กระบี่!I86"")+IMPORTRANGE(""https://docs.google.com/spreadsheets/d/1GwtLaSlNZkLk7iDqcyZz22giiy40b_usZZBXYciEN1U/edit?usp=sharing"",""ชุม"&amp;"พร!I86"")+IMPORTRANGE(""https://docs.google.com/spreadsheets/d/16pAz3pOhQEZBhvFNMa5KGgZS6iKWpsKX0pg6tQmwFpo/edit?usp=sharing"",""ตรัง!I86"")+IMPORTRANGE(""https://docs.google.com/spreadsheets/d/1Dj4jcHCTV9JXKCaMoheSXS52JE63kDKyG7bPXnFogHk/edit?usp=sharing"&amp;""",""นครศรีธรรมราช!I86"")+IMPORTRANGE(""https://docs.google.com/spreadsheets/d/1iodCdmuK2GR3jzUwk8tpccY2JHQQA-87DLOtJP-ooyU/edit?usp=sharing"",""นราธิวาส!I86"")+IMPORTRANGE(""https://docs.google.com/spreadsheets/d/1SDNX3JhDdYRuIOsj0Wh2M-Qa_eaXl0NbWmhAOTbf"&amp;"QAs/edit?usp=sharing"",""ปัตตานี!I86"")+IMPORTRANGE(""https://docs.google.com/spreadsheets/d/16JDLGguT8s5DsGCND1KcwHP_AWR_zDMTqLHPLJUKhaU/edit?usp=sharing"",""พังงา!I86"")+IMPORTRANGE(""https://docs.google.com/spreadsheets/d/17ht0gPKzzT3PObBL1XJkeRmntBXI7"&amp;"wGjpLV7QorqlTk/edit?usp=sharing"",""พัทลุง!I86"")+IMPORTRANGE(""https://docs.google.com/spreadsheets/d/1rd4qoM1q_hsgaolqNGfrim9gbsoLxQsda4-vOz5x_BM/edit?usp=sharing"",""ภูเก็ต!I86"")+IMPORTRANGE(""https://docs.google.com/spreadsheets/d/1woKwKjgoLssDvPcPeV"&amp;"yezB5izizAn4X1JDrys69n6xI/edit?usp=sharing"",""ยะลา!I86"")+IMPORTRANGE(""https://docs.google.com/spreadsheets/d/1qfrKjzMhm2HJfxQ-qVlJlJQ25Hne1d0khsySbZyGtPA/edit?usp=sharing"",""ระนอง!I86"")+IMPORTRANGE(""https://docs.google.com/spreadsheets/d/1IbSCnFOKpZ"&amp;"snFogBHJnL_isstZVaOMnFiIN0fGTPZZw/edit?usp=sharing"",""สงขลา!I86"")+IMPORTRANGE(""https://docs.google.com/spreadsheets/d/1q9nWasZJ-K8bFGvbE9n0qSRuKGA4Toe3Y89cKCiVtCU/edit?usp=sharing"",""สตูล!I86"")+IMPORTRANGE(""https://docs.google.com/spreadsheets/d/18T"&amp;"20gbkS_WBjdscyTOV05cvq_JqvqQ17C81mpxf7Ncs/edit?usp=sharing"",""สุราษฎร์ธานี!I86"")"),2)</f>
        <v>2</v>
      </c>
      <c r="J86" s="152">
        <f ca="1">IFERROR(__xludf.DUMMYFUNCTION("IMPORTRANGE(""https://docs.google.com/spreadsheets/d/1kKUcYdkIfrgTSj8iHHHB2MD2FAtwyyocFgqGQn6ADyI/edit?usp=sharing"",""กระบี่!J86"")+IMPORTRANGE(""https://docs.google.com/spreadsheets/d/1GwtLaSlNZkLk7iDqcyZz22giiy40b_usZZBXYciEN1U/edit?usp=sharing"",""ชุม"&amp;"พร!J86"")+IMPORTRANGE(""https://docs.google.com/spreadsheets/d/16pAz3pOhQEZBhvFNMa5KGgZS6iKWpsKX0pg6tQmwFpo/edit?usp=sharing"",""ตรัง!J86"")+IMPORTRANGE(""https://docs.google.com/spreadsheets/d/1Dj4jcHCTV9JXKCaMoheSXS52JE63kDKyG7bPXnFogHk/edit?usp=sharing"&amp;""",""นครศรีธรรมราช!J86"")+IMPORTRANGE(""https://docs.google.com/spreadsheets/d/1iodCdmuK2GR3jzUwk8tpccY2JHQQA-87DLOtJP-ooyU/edit?usp=sharing"",""นราธิวาส!J86"")+IMPORTRANGE(""https://docs.google.com/spreadsheets/d/1SDNX3JhDdYRuIOsj0Wh2M-Qa_eaXl0NbWmhAOTbf"&amp;"QAs/edit?usp=sharing"",""ปัตตานี!J86"")+IMPORTRANGE(""https://docs.google.com/spreadsheets/d/16JDLGguT8s5DsGCND1KcwHP_AWR_zDMTqLHPLJUKhaU/edit?usp=sharing"",""พังงา!J86"")+IMPORTRANGE(""https://docs.google.com/spreadsheets/d/17ht0gPKzzT3PObBL1XJkeRmntBXI7"&amp;"wGjpLV7QorqlTk/edit?usp=sharing"",""พัทลุง!J86"")+IMPORTRANGE(""https://docs.google.com/spreadsheets/d/1rd4qoM1q_hsgaolqNGfrim9gbsoLxQsda4-vOz5x_BM/edit?usp=sharing"",""ภูเก็ต!J86"")+IMPORTRANGE(""https://docs.google.com/spreadsheets/d/1woKwKjgoLssDvPcPeV"&amp;"yezB5izizAn4X1JDrys69n6xI/edit?usp=sharing"",""ยะลา!J86"")+IMPORTRANGE(""https://docs.google.com/spreadsheets/d/1qfrKjzMhm2HJfxQ-qVlJlJQ25Hne1d0khsySbZyGtPA/edit?usp=sharing"",""ระนอง!J86"")+IMPORTRANGE(""https://docs.google.com/spreadsheets/d/1IbSCnFOKpZ"&amp;"snFogBHJnL_isstZVaOMnFiIN0fGTPZZw/edit?usp=sharing"",""สงขลา!J86"")+IMPORTRANGE(""https://docs.google.com/spreadsheets/d/1q9nWasZJ-K8bFGvbE9n0qSRuKGA4Toe3Y89cKCiVtCU/edit?usp=sharing"",""สตูล!J86"")+IMPORTRANGE(""https://docs.google.com/spreadsheets/d/18T"&amp;"20gbkS_WBjdscyTOV05cvq_JqvqQ17C81mpxf7Ncs/edit?usp=sharing"",""สุราษฎร์ธานี!J86"")"),1)</f>
        <v>1</v>
      </c>
      <c r="K86" s="153">
        <f t="shared" ca="1" si="68"/>
        <v>50</v>
      </c>
      <c r="L86" s="136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kKUcYdkIfrgTSj8iHHHB2MD2FAtwyyocFgqGQn6ADyI/edit?usp=sharing"",""กระบี่!I87"")+IMPORTRANGE(""https://docs.google.com/spreadsheets/d/1GwtLaSlNZkLk7iDqcyZz22giiy40b_usZZBXYciEN1U/edit?usp=sharing"",""ชุม"&amp;"พร!I87"")+IMPORTRANGE(""https://docs.google.com/spreadsheets/d/16pAz3pOhQEZBhvFNMa5KGgZS6iKWpsKX0pg6tQmwFpo/edit?usp=sharing"",""ตรัง!I87"")+IMPORTRANGE(""https://docs.google.com/spreadsheets/d/1Dj4jcHCTV9JXKCaMoheSXS52JE63kDKyG7bPXnFogHk/edit?usp=sharing"&amp;""",""นครศรีธรรมราช!I87"")+IMPORTRANGE(""https://docs.google.com/spreadsheets/d/1iodCdmuK2GR3jzUwk8tpccY2JHQQA-87DLOtJP-ooyU/edit?usp=sharing"",""นราธิวาส!I87"")+IMPORTRANGE(""https://docs.google.com/spreadsheets/d/1SDNX3JhDdYRuIOsj0Wh2M-Qa_eaXl0NbWmhAOTbf"&amp;"QAs/edit?usp=sharing"",""ปัตตานี!I87"")+IMPORTRANGE(""https://docs.google.com/spreadsheets/d/16JDLGguT8s5DsGCND1KcwHP_AWR_zDMTqLHPLJUKhaU/edit?usp=sharing"",""พังงา!I87"")+IMPORTRANGE(""https://docs.google.com/spreadsheets/d/17ht0gPKzzT3PObBL1XJkeRmntBXI7"&amp;"wGjpLV7QorqlTk/edit?usp=sharing"",""พัทลุง!I87"")+IMPORTRANGE(""https://docs.google.com/spreadsheets/d/1rd4qoM1q_hsgaolqNGfrim9gbsoLxQsda4-vOz5x_BM/edit?usp=sharing"",""ภูเก็ต!I87"")+IMPORTRANGE(""https://docs.google.com/spreadsheets/d/1woKwKjgoLssDvPcPeV"&amp;"yezB5izizAn4X1JDrys69n6xI/edit?usp=sharing"",""ยะลา!I87"")+IMPORTRANGE(""https://docs.google.com/spreadsheets/d/1qfrKjzMhm2HJfxQ-qVlJlJQ25Hne1d0khsySbZyGtPA/edit?usp=sharing"",""ระนอง!I87"")+IMPORTRANGE(""https://docs.google.com/spreadsheets/d/1IbSCnFOKpZ"&amp;"snFogBHJnL_isstZVaOMnFiIN0fGTPZZw/edit?usp=sharing"",""สงขลา!I87"")+IMPORTRANGE(""https://docs.google.com/spreadsheets/d/1q9nWasZJ-K8bFGvbE9n0qSRuKGA4Toe3Y89cKCiVtCU/edit?usp=sharing"",""สตูล!I87"")+IMPORTRANGE(""https://docs.google.com/spreadsheets/d/18T"&amp;"20gbkS_WBjdscyTOV05cvq_JqvqQ17C81mpxf7Ncs/edit?usp=sharing"",""สุราษฎร์ธานี!I87"")"),60)</f>
        <v>60</v>
      </c>
      <c r="J87" s="152">
        <f ca="1">IFERROR(__xludf.DUMMYFUNCTION("IMPORTRANGE(""https://docs.google.com/spreadsheets/d/1kKUcYdkIfrgTSj8iHHHB2MD2FAtwyyocFgqGQn6ADyI/edit?usp=sharing"",""กระบี่!J87"")+IMPORTRANGE(""https://docs.google.com/spreadsheets/d/1GwtLaSlNZkLk7iDqcyZz22giiy40b_usZZBXYciEN1U/edit?usp=sharing"",""ชุม"&amp;"พร!J87"")+IMPORTRANGE(""https://docs.google.com/spreadsheets/d/16pAz3pOhQEZBhvFNMa5KGgZS6iKWpsKX0pg6tQmwFpo/edit?usp=sharing"",""ตรัง!J87"")+IMPORTRANGE(""https://docs.google.com/spreadsheets/d/1Dj4jcHCTV9JXKCaMoheSXS52JE63kDKyG7bPXnFogHk/edit?usp=sharing"&amp;""",""นครศรีธรรมราช!J87"")+IMPORTRANGE(""https://docs.google.com/spreadsheets/d/1iodCdmuK2GR3jzUwk8tpccY2JHQQA-87DLOtJP-ooyU/edit?usp=sharing"",""นราธิวาส!J87"")+IMPORTRANGE(""https://docs.google.com/spreadsheets/d/1SDNX3JhDdYRuIOsj0Wh2M-Qa_eaXl0NbWmhAOTbf"&amp;"QAs/edit?usp=sharing"",""ปัตตานี!J87"")+IMPORTRANGE(""https://docs.google.com/spreadsheets/d/16JDLGguT8s5DsGCND1KcwHP_AWR_zDMTqLHPLJUKhaU/edit?usp=sharing"",""พังงา!J87"")+IMPORTRANGE(""https://docs.google.com/spreadsheets/d/17ht0gPKzzT3PObBL1XJkeRmntBXI7"&amp;"wGjpLV7QorqlTk/edit?usp=sharing"",""พัทลุง!J87"")+IMPORTRANGE(""https://docs.google.com/spreadsheets/d/1rd4qoM1q_hsgaolqNGfrim9gbsoLxQsda4-vOz5x_BM/edit?usp=sharing"",""ภูเก็ต!J87"")+IMPORTRANGE(""https://docs.google.com/spreadsheets/d/1woKwKjgoLssDvPcPeV"&amp;"yezB5izizAn4X1JDrys69n6xI/edit?usp=sharing"",""ยะลา!J87"")+IMPORTRANGE(""https://docs.google.com/spreadsheets/d/1qfrKjzMhm2HJfxQ-qVlJlJQ25Hne1d0khsySbZyGtPA/edit?usp=sharing"",""ระนอง!J87"")+IMPORTRANGE(""https://docs.google.com/spreadsheets/d/1IbSCnFOKpZ"&amp;"snFogBHJnL_isstZVaOMnFiIN0fGTPZZw/edit?usp=sharing"",""สงขลา!J87"")+IMPORTRANGE(""https://docs.google.com/spreadsheets/d/1q9nWasZJ-K8bFGvbE9n0qSRuKGA4Toe3Y89cKCiVtCU/edit?usp=sharing"",""สตูล!J87"")+IMPORTRANGE(""https://docs.google.com/spreadsheets/d/18T"&amp;"20gbkS_WBjdscyTOV05cvq_JqvqQ17C81mpxf7Ncs/edit?usp=sharing"",""สุราษฎร์ธานี!J87"")"),30)</f>
        <v>30</v>
      </c>
      <c r="K87" s="153">
        <f t="shared" ca="1" si="68"/>
        <v>50</v>
      </c>
      <c r="L87" s="136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kKUcYdkIfrgTSj8iHHHB2MD2FAtwyyocFgqGQn6ADyI/edit?usp=sharing"",""กระบี่!I88"")+IMPORTRANGE(""https://docs.google.com/spreadsheets/d/1GwtLaSlNZkLk7iDqcyZz22giiy40b_usZZBXYciEN1U/edit?usp=sharing"",""ชุม"&amp;"พร!I88"")+IMPORTRANGE(""https://docs.google.com/spreadsheets/d/16pAz3pOhQEZBhvFNMa5KGgZS6iKWpsKX0pg6tQmwFpo/edit?usp=sharing"",""ตรัง!I88"")+IMPORTRANGE(""https://docs.google.com/spreadsheets/d/1Dj4jcHCTV9JXKCaMoheSXS52JE63kDKyG7bPXnFogHk/edit?usp=sharing"&amp;""",""นครศรีธรรมราช!I88"")+IMPORTRANGE(""https://docs.google.com/spreadsheets/d/1iodCdmuK2GR3jzUwk8tpccY2JHQQA-87DLOtJP-ooyU/edit?usp=sharing"",""นราธิวาส!I88"")+IMPORTRANGE(""https://docs.google.com/spreadsheets/d/1SDNX3JhDdYRuIOsj0Wh2M-Qa_eaXl0NbWmhAOTbf"&amp;"QAs/edit?usp=sharing"",""ปัตตานี!I88"")+IMPORTRANGE(""https://docs.google.com/spreadsheets/d/16JDLGguT8s5DsGCND1KcwHP_AWR_zDMTqLHPLJUKhaU/edit?usp=sharing"",""พังงา!I88"")+IMPORTRANGE(""https://docs.google.com/spreadsheets/d/17ht0gPKzzT3PObBL1XJkeRmntBXI7"&amp;"wGjpLV7QorqlTk/edit?usp=sharing"",""พัทลุง!I88"")+IMPORTRANGE(""https://docs.google.com/spreadsheets/d/1rd4qoM1q_hsgaolqNGfrim9gbsoLxQsda4-vOz5x_BM/edit?usp=sharing"",""ภูเก็ต!I88"")+IMPORTRANGE(""https://docs.google.com/spreadsheets/d/1woKwKjgoLssDvPcPeV"&amp;"yezB5izizAn4X1JDrys69n6xI/edit?usp=sharing"",""ยะลา!I88"")+IMPORTRANGE(""https://docs.google.com/spreadsheets/d/1qfrKjzMhm2HJfxQ-qVlJlJQ25Hne1d0khsySbZyGtPA/edit?usp=sharing"",""ระนอง!I88"")+IMPORTRANGE(""https://docs.google.com/spreadsheets/d/1IbSCnFOKpZ"&amp;"snFogBHJnL_isstZVaOMnFiIN0fGTPZZw/edit?usp=sharing"",""สงขลา!I88"")+IMPORTRANGE(""https://docs.google.com/spreadsheets/d/1q9nWasZJ-K8bFGvbE9n0qSRuKGA4Toe3Y89cKCiVtCU/edit?usp=sharing"",""สตูล!I88"")+IMPORTRANGE(""https://docs.google.com/spreadsheets/d/18T"&amp;"20gbkS_WBjdscyTOV05cvq_JqvqQ17C81mpxf7Ncs/edit?usp=sharing"",""สุราษฎร์ธานี!I88"")"),1)</f>
        <v>1</v>
      </c>
      <c r="J88" s="152">
        <f ca="1">IFERROR(__xludf.DUMMYFUNCTION("IMPORTRANGE(""https://docs.google.com/spreadsheets/d/1kKUcYdkIfrgTSj8iHHHB2MD2FAtwyyocFgqGQn6ADyI/edit?usp=sharing"",""กระบี่!J88"")+IMPORTRANGE(""https://docs.google.com/spreadsheets/d/1GwtLaSlNZkLk7iDqcyZz22giiy40b_usZZBXYciEN1U/edit?usp=sharing"",""ชุม"&amp;"พร!J88"")+IMPORTRANGE(""https://docs.google.com/spreadsheets/d/16pAz3pOhQEZBhvFNMa5KGgZS6iKWpsKX0pg6tQmwFpo/edit?usp=sharing"",""ตรัง!J88"")+IMPORTRANGE(""https://docs.google.com/spreadsheets/d/1Dj4jcHCTV9JXKCaMoheSXS52JE63kDKyG7bPXnFogHk/edit?usp=sharing"&amp;""",""นครศรีธรรมราช!J88"")+IMPORTRANGE(""https://docs.google.com/spreadsheets/d/1iodCdmuK2GR3jzUwk8tpccY2JHQQA-87DLOtJP-ooyU/edit?usp=sharing"",""นราธิวาส!J88"")+IMPORTRANGE(""https://docs.google.com/spreadsheets/d/1SDNX3JhDdYRuIOsj0Wh2M-Qa_eaXl0NbWmhAOTbf"&amp;"QAs/edit?usp=sharing"",""ปัตตานี!J88"")+IMPORTRANGE(""https://docs.google.com/spreadsheets/d/16JDLGguT8s5DsGCND1KcwHP_AWR_zDMTqLHPLJUKhaU/edit?usp=sharing"",""พังงา!J88"")+IMPORTRANGE(""https://docs.google.com/spreadsheets/d/17ht0gPKzzT3PObBL1XJkeRmntBXI7"&amp;"wGjpLV7QorqlTk/edit?usp=sharing"",""พัทลุง!J88"")+IMPORTRANGE(""https://docs.google.com/spreadsheets/d/1rd4qoM1q_hsgaolqNGfrim9gbsoLxQsda4-vOz5x_BM/edit?usp=sharing"",""ภูเก็ต!J88"")+IMPORTRANGE(""https://docs.google.com/spreadsheets/d/1woKwKjgoLssDvPcPeV"&amp;"yezB5izizAn4X1JDrys69n6xI/edit?usp=sharing"",""ยะลา!J88"")+IMPORTRANGE(""https://docs.google.com/spreadsheets/d/1qfrKjzMhm2HJfxQ-qVlJlJQ25Hne1d0khsySbZyGtPA/edit?usp=sharing"",""ระนอง!J88"")+IMPORTRANGE(""https://docs.google.com/spreadsheets/d/1IbSCnFOKpZ"&amp;"snFogBHJnL_isstZVaOMnFiIN0fGTPZZw/edit?usp=sharing"",""สงขลา!J88"")+IMPORTRANGE(""https://docs.google.com/spreadsheets/d/1q9nWasZJ-K8bFGvbE9n0qSRuKGA4Toe3Y89cKCiVtCU/edit?usp=sharing"",""สตูล!J88"")+IMPORTRANGE(""https://docs.google.com/spreadsheets/d/18T"&amp;"20gbkS_WBjdscyTOV05cvq_JqvqQ17C81mpxf7Ncs/edit?usp=sharing"",""สุราษฎร์ธานี!J88"")"),0)</f>
        <v>0</v>
      </c>
      <c r="K88" s="153">
        <f t="shared" ca="1" si="68"/>
        <v>0</v>
      </c>
      <c r="L88" s="136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kKUcYdkIfrgTSj8iHHHB2MD2FAtwyyocFgqGQn6ADyI/edit?usp=sharing"",""กระบี่!I89"")+IMPORTRANGE(""https://docs.google.com/spreadsheets/d/1GwtLaSlNZkLk7iDqcyZz22giiy40b_usZZBXYciEN1U/edit?usp=sharing"",""ชุม"&amp;"พร!I89"")+IMPORTRANGE(""https://docs.google.com/spreadsheets/d/16pAz3pOhQEZBhvFNMa5KGgZS6iKWpsKX0pg6tQmwFpo/edit?usp=sharing"",""ตรัง!I89"")+IMPORTRANGE(""https://docs.google.com/spreadsheets/d/1Dj4jcHCTV9JXKCaMoheSXS52JE63kDKyG7bPXnFogHk/edit?usp=sharing"&amp;""",""นครศรีธรรมราช!I89"")+IMPORTRANGE(""https://docs.google.com/spreadsheets/d/1iodCdmuK2GR3jzUwk8tpccY2JHQQA-87DLOtJP-ooyU/edit?usp=sharing"",""นราธิวาส!I89"")+IMPORTRANGE(""https://docs.google.com/spreadsheets/d/1SDNX3JhDdYRuIOsj0Wh2M-Qa_eaXl0NbWmhAOTbf"&amp;"QAs/edit?usp=sharing"",""ปัตตานี!I89"")+IMPORTRANGE(""https://docs.google.com/spreadsheets/d/16JDLGguT8s5DsGCND1KcwHP_AWR_zDMTqLHPLJUKhaU/edit?usp=sharing"",""พังงา!I89"")+IMPORTRANGE(""https://docs.google.com/spreadsheets/d/17ht0gPKzzT3PObBL1XJkeRmntBXI7"&amp;"wGjpLV7QorqlTk/edit?usp=sharing"",""พัทลุง!I89"")+IMPORTRANGE(""https://docs.google.com/spreadsheets/d/1rd4qoM1q_hsgaolqNGfrim9gbsoLxQsda4-vOz5x_BM/edit?usp=sharing"",""ภูเก็ต!I89"")+IMPORTRANGE(""https://docs.google.com/spreadsheets/d/1woKwKjgoLssDvPcPeV"&amp;"yezB5izizAn4X1JDrys69n6xI/edit?usp=sharing"",""ยะลา!I89"")+IMPORTRANGE(""https://docs.google.com/spreadsheets/d/1qfrKjzMhm2HJfxQ-qVlJlJQ25Hne1d0khsySbZyGtPA/edit?usp=sharing"",""ระนอง!I89"")+IMPORTRANGE(""https://docs.google.com/spreadsheets/d/1IbSCnFOKpZ"&amp;"snFogBHJnL_isstZVaOMnFiIN0fGTPZZw/edit?usp=sharing"",""สงขลา!I89"")+IMPORTRANGE(""https://docs.google.com/spreadsheets/d/1q9nWasZJ-K8bFGvbE9n0qSRuKGA4Toe3Y89cKCiVtCU/edit?usp=sharing"",""สตูล!I89"")+IMPORTRANGE(""https://docs.google.com/spreadsheets/d/18T"&amp;"20gbkS_WBjdscyTOV05cvq_JqvqQ17C81mpxf7Ncs/edit?usp=sharing"",""สุราษฎร์ธานี!I89"")"),30)</f>
        <v>30</v>
      </c>
      <c r="J89" s="152">
        <f ca="1">IFERROR(__xludf.DUMMYFUNCTION("IMPORTRANGE(""https://docs.google.com/spreadsheets/d/1kKUcYdkIfrgTSj8iHHHB2MD2FAtwyyocFgqGQn6ADyI/edit?usp=sharing"",""กระบี่!J89"")+IMPORTRANGE(""https://docs.google.com/spreadsheets/d/1GwtLaSlNZkLk7iDqcyZz22giiy40b_usZZBXYciEN1U/edit?usp=sharing"",""ชุม"&amp;"พร!J89"")+IMPORTRANGE(""https://docs.google.com/spreadsheets/d/16pAz3pOhQEZBhvFNMa5KGgZS6iKWpsKX0pg6tQmwFpo/edit?usp=sharing"",""ตรัง!J89"")+IMPORTRANGE(""https://docs.google.com/spreadsheets/d/1Dj4jcHCTV9JXKCaMoheSXS52JE63kDKyG7bPXnFogHk/edit?usp=sharing"&amp;""",""นครศรีธรรมราช!J89"")+IMPORTRANGE(""https://docs.google.com/spreadsheets/d/1iodCdmuK2GR3jzUwk8tpccY2JHQQA-87DLOtJP-ooyU/edit?usp=sharing"",""นราธิวาส!J89"")+IMPORTRANGE(""https://docs.google.com/spreadsheets/d/1SDNX3JhDdYRuIOsj0Wh2M-Qa_eaXl0NbWmhAOTbf"&amp;"QAs/edit?usp=sharing"",""ปัตตานี!J89"")+IMPORTRANGE(""https://docs.google.com/spreadsheets/d/16JDLGguT8s5DsGCND1KcwHP_AWR_zDMTqLHPLJUKhaU/edit?usp=sharing"",""พังงา!J89"")+IMPORTRANGE(""https://docs.google.com/spreadsheets/d/17ht0gPKzzT3PObBL1XJkeRmntBXI7"&amp;"wGjpLV7QorqlTk/edit?usp=sharing"",""พัทลุง!J89"")+IMPORTRANGE(""https://docs.google.com/spreadsheets/d/1rd4qoM1q_hsgaolqNGfrim9gbsoLxQsda4-vOz5x_BM/edit?usp=sharing"",""ภูเก็ต!J89"")+IMPORTRANGE(""https://docs.google.com/spreadsheets/d/1woKwKjgoLssDvPcPeV"&amp;"yezB5izizAn4X1JDrys69n6xI/edit?usp=sharing"",""ยะลา!J89"")+IMPORTRANGE(""https://docs.google.com/spreadsheets/d/1qfrKjzMhm2HJfxQ-qVlJlJQ25Hne1d0khsySbZyGtPA/edit?usp=sharing"",""ระนอง!J89"")+IMPORTRANGE(""https://docs.google.com/spreadsheets/d/1IbSCnFOKpZ"&amp;"snFogBHJnL_isstZVaOMnFiIN0fGTPZZw/edit?usp=sharing"",""สงขลา!J89"")+IMPORTRANGE(""https://docs.google.com/spreadsheets/d/1q9nWasZJ-K8bFGvbE9n0qSRuKGA4Toe3Y89cKCiVtCU/edit?usp=sharing"",""สตูล!J89"")+IMPORTRANGE(""https://docs.google.com/spreadsheets/d/18T"&amp;"20gbkS_WBjdscyTOV05cvq_JqvqQ17C81mpxf7Ncs/edit?usp=sharing"",""สุราษฎร์ธานี!J89"")"),0)</f>
        <v>0</v>
      </c>
      <c r="K89" s="153">
        <f t="shared" ca="1" si="68"/>
        <v>0</v>
      </c>
      <c r="L89" s="136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kKUcYdkIfrgTSj8iHHHB2MD2FAtwyyocFgqGQn6ADyI/edit?usp=sharing"",""กระบี่!I90"")+IMPORTRANGE(""https://docs.google.com/spreadsheets/d/1GwtLaSlNZkLk7iDqcyZz22giiy40b_usZZBXYciEN1U/edit?usp=sharing"",""ชุม"&amp;"พร!I90"")+IMPORTRANGE(""https://docs.google.com/spreadsheets/d/16pAz3pOhQEZBhvFNMa5KGgZS6iKWpsKX0pg6tQmwFpo/edit?usp=sharing"",""ตรัง!I90"")+IMPORTRANGE(""https://docs.google.com/spreadsheets/d/1Dj4jcHCTV9JXKCaMoheSXS52JE63kDKyG7bPXnFogHk/edit?usp=sharing"&amp;""",""นครศรีธรรมราช!I90"")+IMPORTRANGE(""https://docs.google.com/spreadsheets/d/1iodCdmuK2GR3jzUwk8tpccY2JHQQA-87DLOtJP-ooyU/edit?usp=sharing"",""นราธิวาส!I90"")+IMPORTRANGE(""https://docs.google.com/spreadsheets/d/1SDNX3JhDdYRuIOsj0Wh2M-Qa_eaXl0NbWmhAOTbf"&amp;"QAs/edit?usp=sharing"",""ปัตตานี!I90"")+IMPORTRANGE(""https://docs.google.com/spreadsheets/d/16JDLGguT8s5DsGCND1KcwHP_AWR_zDMTqLHPLJUKhaU/edit?usp=sharing"",""พังงา!I90"")+IMPORTRANGE(""https://docs.google.com/spreadsheets/d/17ht0gPKzzT3PObBL1XJkeRmntBXI7"&amp;"wGjpLV7QorqlTk/edit?usp=sharing"",""พัทลุง!I90"")+IMPORTRANGE(""https://docs.google.com/spreadsheets/d/1rd4qoM1q_hsgaolqNGfrim9gbsoLxQsda4-vOz5x_BM/edit?usp=sharing"",""ภูเก็ต!I90"")+IMPORTRANGE(""https://docs.google.com/spreadsheets/d/1woKwKjgoLssDvPcPeV"&amp;"yezB5izizAn4X1JDrys69n6xI/edit?usp=sharing"",""ยะลา!I90"")+IMPORTRANGE(""https://docs.google.com/spreadsheets/d/1qfrKjzMhm2HJfxQ-qVlJlJQ25Hne1d0khsySbZyGtPA/edit?usp=sharing"",""ระนอง!I90"")+IMPORTRANGE(""https://docs.google.com/spreadsheets/d/1IbSCnFOKpZ"&amp;"snFogBHJnL_isstZVaOMnFiIN0fGTPZZw/edit?usp=sharing"",""สงขลา!I90"")+IMPORTRANGE(""https://docs.google.com/spreadsheets/d/1q9nWasZJ-K8bFGvbE9n0qSRuKGA4Toe3Y89cKCiVtCU/edit?usp=sharing"",""สตูล!I90"")+IMPORTRANGE(""https://docs.google.com/spreadsheets/d/18T"&amp;"20gbkS_WBjdscyTOV05cvq_JqvqQ17C81mpxf7Ncs/edit?usp=sharing"",""สุราษฎร์ธานี!I90"")"),4)</f>
        <v>4</v>
      </c>
      <c r="J90" s="152">
        <f ca="1">IFERROR(__xludf.DUMMYFUNCTION("IMPORTRANGE(""https://docs.google.com/spreadsheets/d/1kKUcYdkIfrgTSj8iHHHB2MD2FAtwyyocFgqGQn6ADyI/edit?usp=sharing"",""กระบี่!J90"")+IMPORTRANGE(""https://docs.google.com/spreadsheets/d/1GwtLaSlNZkLk7iDqcyZz22giiy40b_usZZBXYciEN1U/edit?usp=sharing"",""ชุม"&amp;"พร!J90"")+IMPORTRANGE(""https://docs.google.com/spreadsheets/d/16pAz3pOhQEZBhvFNMa5KGgZS6iKWpsKX0pg6tQmwFpo/edit?usp=sharing"",""ตรัง!J90"")+IMPORTRANGE(""https://docs.google.com/spreadsheets/d/1Dj4jcHCTV9JXKCaMoheSXS52JE63kDKyG7bPXnFogHk/edit?usp=sharing"&amp;""",""นครศรีธรรมราช!J90"")+IMPORTRANGE(""https://docs.google.com/spreadsheets/d/1iodCdmuK2GR3jzUwk8tpccY2JHQQA-87DLOtJP-ooyU/edit?usp=sharing"",""นราธิวาส!J90"")+IMPORTRANGE(""https://docs.google.com/spreadsheets/d/1SDNX3JhDdYRuIOsj0Wh2M-Qa_eaXl0NbWmhAOTbf"&amp;"QAs/edit?usp=sharing"",""ปัตตานี!J90"")+IMPORTRANGE(""https://docs.google.com/spreadsheets/d/16JDLGguT8s5DsGCND1KcwHP_AWR_zDMTqLHPLJUKhaU/edit?usp=sharing"",""พังงา!J90"")+IMPORTRANGE(""https://docs.google.com/spreadsheets/d/17ht0gPKzzT3PObBL1XJkeRmntBXI7"&amp;"wGjpLV7QorqlTk/edit?usp=sharing"",""พัทลุง!J90"")+IMPORTRANGE(""https://docs.google.com/spreadsheets/d/1rd4qoM1q_hsgaolqNGfrim9gbsoLxQsda4-vOz5x_BM/edit?usp=sharing"",""ภูเก็ต!J90"")+IMPORTRANGE(""https://docs.google.com/spreadsheets/d/1woKwKjgoLssDvPcPeV"&amp;"yezB5izizAn4X1JDrys69n6xI/edit?usp=sharing"",""ยะลา!J90"")+IMPORTRANGE(""https://docs.google.com/spreadsheets/d/1qfrKjzMhm2HJfxQ-qVlJlJQ25Hne1d0khsySbZyGtPA/edit?usp=sharing"",""ระนอง!J90"")+IMPORTRANGE(""https://docs.google.com/spreadsheets/d/1IbSCnFOKpZ"&amp;"snFogBHJnL_isstZVaOMnFiIN0fGTPZZw/edit?usp=sharing"",""สงขลา!J90"")+IMPORTRANGE(""https://docs.google.com/spreadsheets/d/1q9nWasZJ-K8bFGvbE9n0qSRuKGA4Toe3Y89cKCiVtCU/edit?usp=sharing"",""สตูล!J90"")+IMPORTRANGE(""https://docs.google.com/spreadsheets/d/18T"&amp;"20gbkS_WBjdscyTOV05cvq_JqvqQ17C81mpxf7Ncs/edit?usp=sharing"",""สุราษฎร์ธานี!J90"")"),0)</f>
        <v>0</v>
      </c>
      <c r="K90" s="153">
        <f t="shared" ca="1" si="68"/>
        <v>0</v>
      </c>
      <c r="L90" s="136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55"/>
      <c r="I91" s="122"/>
      <c r="J91" s="122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56" t="s">
        <v>46</v>
      </c>
      <c r="I92" s="127">
        <f t="shared" ref="I92:J92" ca="1" si="70">I108</f>
        <v>297</v>
      </c>
      <c r="J92" s="127">
        <f t="shared" ca="1" si="70"/>
        <v>207</v>
      </c>
      <c r="K92" s="35">
        <f t="shared" ref="K92:K93" ca="1" si="71">IF(I92&gt;0,J92*100/I92,0)</f>
        <v>69.696969696969703</v>
      </c>
      <c r="L92" s="34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56" t="s">
        <v>35</v>
      </c>
      <c r="I93" s="127">
        <f t="shared" ref="I93:J93" ca="1" si="72">I109</f>
        <v>99</v>
      </c>
      <c r="J93" s="127">
        <f t="shared" ca="1" si="72"/>
        <v>69</v>
      </c>
      <c r="K93" s="35">
        <f t="shared" ca="1" si="71"/>
        <v>69.696969696969703</v>
      </c>
      <c r="L93" s="34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130" t="s">
        <v>19</v>
      </c>
      <c r="E94" s="41"/>
      <c r="F94" s="41"/>
      <c r="G94" s="43"/>
      <c r="H94" s="131" t="s">
        <v>14</v>
      </c>
      <c r="I94" s="45"/>
      <c r="J94" s="45"/>
      <c r="K94" s="46"/>
      <c r="L94" s="132">
        <f t="shared" ref="L94:N94" ca="1" si="73">L95+L96</f>
        <v>0</v>
      </c>
      <c r="M94" s="132">
        <f t="shared" ca="1" si="73"/>
        <v>59400</v>
      </c>
      <c r="N94" s="132">
        <f t="shared" ca="1" si="73"/>
        <v>0</v>
      </c>
      <c r="O94" s="132">
        <f t="shared" ref="O94:O102" ca="1" si="74">IF(L94&gt;0,N94*100/L94,0)</f>
        <v>0</v>
      </c>
      <c r="P94" s="132">
        <f t="shared" ref="P94:P102" ca="1" si="75">IF(M94&gt;0,N94*100/M94,0)</f>
        <v>0</v>
      </c>
      <c r="Q94" s="132">
        <f t="shared" ref="Q94:S94" ca="1" si="76">Q95+Q96</f>
        <v>835758</v>
      </c>
      <c r="R94" s="132">
        <f t="shared" ca="1" si="76"/>
        <v>835758</v>
      </c>
      <c r="S94" s="132">
        <f t="shared" ca="1" si="76"/>
        <v>221430</v>
      </c>
      <c r="T94" s="132">
        <f t="shared" ref="T94:T102" ca="1" si="77">IF(Q94&gt;0,S94*100/Q94,0)</f>
        <v>26.494511569138435</v>
      </c>
      <c r="U94" s="132">
        <f t="shared" ref="U94:U102" ca="1" si="78">IF(R94&gt;0,S94*100/R94,0)</f>
        <v>26.494511569138435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9">
        <f t="shared" ref="L95:N95" ca="1" si="79">L98+L101</f>
        <v>0</v>
      </c>
      <c r="M95" s="49">
        <f t="shared" ca="1" si="79"/>
        <v>0</v>
      </c>
      <c r="N95" s="49">
        <f t="shared" ca="1" si="79"/>
        <v>0</v>
      </c>
      <c r="O95" s="49">
        <f t="shared" ca="1" si="74"/>
        <v>0</v>
      </c>
      <c r="P95" s="49">
        <f t="shared" ca="1" si="75"/>
        <v>0</v>
      </c>
      <c r="Q95" s="49">
        <f t="shared" ref="Q95:S95" ca="1" si="80">Q98+Q101</f>
        <v>0</v>
      </c>
      <c r="R95" s="49">
        <f t="shared" ca="1" si="80"/>
        <v>0</v>
      </c>
      <c r="S95" s="49">
        <f t="shared" ca="1" si="80"/>
        <v>0</v>
      </c>
      <c r="T95" s="49">
        <f t="shared" ca="1" si="77"/>
        <v>0</v>
      </c>
      <c r="U95" s="49">
        <f t="shared" ca="1" si="78"/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7">
        <f t="shared" ref="L96:N96" ca="1" si="81">L99+L102</f>
        <v>0</v>
      </c>
      <c r="M96" s="47">
        <f t="shared" ca="1" si="81"/>
        <v>59400</v>
      </c>
      <c r="N96" s="47">
        <f t="shared" ca="1" si="81"/>
        <v>0</v>
      </c>
      <c r="O96" s="47">
        <f t="shared" ca="1" si="74"/>
        <v>0</v>
      </c>
      <c r="P96" s="47">
        <f t="shared" ca="1" si="75"/>
        <v>0</v>
      </c>
      <c r="Q96" s="47">
        <f t="shared" ref="Q96:S96" ca="1" si="82">Q99+Q102</f>
        <v>835758</v>
      </c>
      <c r="R96" s="47">
        <f t="shared" ca="1" si="82"/>
        <v>835758</v>
      </c>
      <c r="S96" s="47">
        <f t="shared" ca="1" si="82"/>
        <v>221430</v>
      </c>
      <c r="T96" s="47">
        <f t="shared" ca="1" si="77"/>
        <v>26.494511569138435</v>
      </c>
      <c r="U96" s="47">
        <f t="shared" ca="1" si="78"/>
        <v>26.494511569138435</v>
      </c>
    </row>
    <row r="97" spans="1:21" ht="18.75" x14ac:dyDescent="0.25">
      <c r="A97" s="128"/>
      <c r="B97" s="159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7">
        <f t="shared" ref="L97:N97" ca="1" si="83">L98+L99</f>
        <v>0</v>
      </c>
      <c r="M97" s="47">
        <f t="shared" ca="1" si="83"/>
        <v>59400</v>
      </c>
      <c r="N97" s="47">
        <f t="shared" ca="1" si="83"/>
        <v>0</v>
      </c>
      <c r="O97" s="47">
        <f t="shared" ca="1" si="74"/>
        <v>0</v>
      </c>
      <c r="P97" s="47">
        <f t="shared" ca="1" si="75"/>
        <v>0</v>
      </c>
      <c r="Q97" s="47">
        <f t="shared" ref="Q97:S97" ca="1" si="84">Q98+Q99</f>
        <v>835758</v>
      </c>
      <c r="R97" s="47">
        <f t="shared" ca="1" si="84"/>
        <v>835758</v>
      </c>
      <c r="S97" s="47">
        <f t="shared" ca="1" si="84"/>
        <v>221430</v>
      </c>
      <c r="T97" s="47">
        <f t="shared" ca="1" si="77"/>
        <v>26.494511569138435</v>
      </c>
      <c r="U97" s="47">
        <f t="shared" ca="1" si="78"/>
        <v>26.494511569138435</v>
      </c>
    </row>
    <row r="98" spans="1:21" ht="18.75" hidden="1" x14ac:dyDescent="0.25">
      <c r="A98" s="128"/>
      <c r="B98" s="159"/>
      <c r="C98" s="159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9">
        <f ca="1">IFERROR(__xludf.DUMMYFUNCTION("IMPORTRANGE(""https://docs.google.com/spreadsheets/d/1kKUcYdkIfrgTSj8iHHHB2MD2FAtwyyocFgqGQn6ADyI/edit?usp=sharing"",""กระบี่!L98"")+IMPORTRANGE(""https://docs.google.com/spreadsheets/d/1GwtLaSlNZkLk7iDqcyZz22giiy40b_usZZBXYciEN1U/edit?usp=sharing"",""ชุม"&amp;"พร!L98"")+IMPORTRANGE(""https://docs.google.com/spreadsheets/d/16pAz3pOhQEZBhvFNMa5KGgZS6iKWpsKX0pg6tQmwFpo/edit?usp=sharing"",""ตรัง!L98"")+IMPORTRANGE(""https://docs.google.com/spreadsheets/d/1Dj4jcHCTV9JXKCaMoheSXS52JE63kDKyG7bPXnFogHk/edit?usp=sharing"&amp;""",""นครศรีธรรมราช!L98"")+IMPORTRANGE(""https://docs.google.com/spreadsheets/d/1iodCdmuK2GR3jzUwk8tpccY2JHQQA-87DLOtJP-ooyU/edit?usp=sharing"",""นราธิวาส!L98"")+IMPORTRANGE(""https://docs.google.com/spreadsheets/d/1SDNX3JhDdYRuIOsj0Wh2M-Qa_eaXl0NbWmhAOTbf"&amp;"QAs/edit?usp=sharing"",""ปัตตานี!L98"")+IMPORTRANGE(""https://docs.google.com/spreadsheets/d/16JDLGguT8s5DsGCND1KcwHP_AWR_zDMTqLHPLJUKhaU/edit?usp=sharing"",""พังงา!L98"")+IMPORTRANGE(""https://docs.google.com/spreadsheets/d/17ht0gPKzzT3PObBL1XJkeRmntBXI7"&amp;"wGjpLV7QorqlTk/edit?usp=sharing"",""พัทลุง!L98"")+IMPORTRANGE(""https://docs.google.com/spreadsheets/d/1rd4qoM1q_hsgaolqNGfrim9gbsoLxQsda4-vOz5x_BM/edit?usp=sharing"",""ภูเก็ต!L98"")+IMPORTRANGE(""https://docs.google.com/spreadsheets/d/1woKwKjgoLssDvPcPeV"&amp;"yezB5izizAn4X1JDrys69n6xI/edit?usp=sharing"",""ยะลา!L98"")+IMPORTRANGE(""https://docs.google.com/spreadsheets/d/1qfrKjzMhm2HJfxQ-qVlJlJQ25Hne1d0khsySbZyGtPA/edit?usp=sharing"",""ระนอง!L98"")+IMPORTRANGE(""https://docs.google.com/spreadsheets/d/1IbSCnFOKpZ"&amp;"snFogBHJnL_isstZVaOMnFiIN0fGTPZZw/edit?usp=sharing"",""สงขลา!L98"")+IMPORTRANGE(""https://docs.google.com/spreadsheets/d/1q9nWasZJ-K8bFGvbE9n0qSRuKGA4Toe3Y89cKCiVtCU/edit?usp=sharing"",""สตูล!L98"")+IMPORTRANGE(""https://docs.google.com/spreadsheets/d/18T"&amp;"20gbkS_WBjdscyTOV05cvq_JqvqQ17C81mpxf7Ncs/edit?usp=sharing"",""สุราษฎร์ธานี!L98"")"),0)</f>
        <v>0</v>
      </c>
      <c r="M98" s="49">
        <f ca="1">IFERROR(__xludf.DUMMYFUNCTION("IMPORTRANGE(""https://docs.google.com/spreadsheets/d/1kKUcYdkIfrgTSj8iHHHB2MD2FAtwyyocFgqGQn6ADyI/edit?usp=sharing"",""กระบี่!M98"")+IMPORTRANGE(""https://docs.google.com/spreadsheets/d/1GwtLaSlNZkLk7iDqcyZz22giiy40b_usZZBXYciEN1U/edit?usp=sharing"",""ชุม"&amp;"พร!M98"")+IMPORTRANGE(""https://docs.google.com/spreadsheets/d/16pAz3pOhQEZBhvFNMa5KGgZS6iKWpsKX0pg6tQmwFpo/edit?usp=sharing"",""ตรัง!M98"")+IMPORTRANGE(""https://docs.google.com/spreadsheets/d/1Dj4jcHCTV9JXKCaMoheSXS52JE63kDKyG7bPXnFogHk/edit?usp=sharing"&amp;""",""นครศรีธรรมราช!M98"")+IMPORTRANGE(""https://docs.google.com/spreadsheets/d/1iodCdmuK2GR3jzUwk8tpccY2JHQQA-87DLOtJP-ooyU/edit?usp=sharing"",""นราธิวาส!M98"")+IMPORTRANGE(""https://docs.google.com/spreadsheets/d/1SDNX3JhDdYRuIOsj0Wh2M-Qa_eaXl0NbWmhAOTbf"&amp;"QAs/edit?usp=sharing"",""ปัตตานี!M98"")+IMPORTRANGE(""https://docs.google.com/spreadsheets/d/16JDLGguT8s5DsGCND1KcwHP_AWR_zDMTqLHPLJUKhaU/edit?usp=sharing"",""พังงา!M98"")+IMPORTRANGE(""https://docs.google.com/spreadsheets/d/17ht0gPKzzT3PObBL1XJkeRmntBXI7"&amp;"wGjpLV7QorqlTk/edit?usp=sharing"",""พัทลุง!M98"")+IMPORTRANGE(""https://docs.google.com/spreadsheets/d/1rd4qoM1q_hsgaolqNGfrim9gbsoLxQsda4-vOz5x_BM/edit?usp=sharing"",""ภูเก็ต!M98"")+IMPORTRANGE(""https://docs.google.com/spreadsheets/d/1woKwKjgoLssDvPcPeV"&amp;"yezB5izizAn4X1JDrys69n6xI/edit?usp=sharing"",""ยะลา!M98"")+IMPORTRANGE(""https://docs.google.com/spreadsheets/d/1qfrKjzMhm2HJfxQ-qVlJlJQ25Hne1d0khsySbZyGtPA/edit?usp=sharing"",""ระนอง!M98"")+IMPORTRANGE(""https://docs.google.com/spreadsheets/d/1IbSCnFOKpZ"&amp;"snFogBHJnL_isstZVaOMnFiIN0fGTPZZw/edit?usp=sharing"",""สงขลา!M98"")+IMPORTRANGE(""https://docs.google.com/spreadsheets/d/1q9nWasZJ-K8bFGvbE9n0qSRuKGA4Toe3Y89cKCiVtCU/edit?usp=sharing"",""สตูล!M98"")+IMPORTRANGE(""https://docs.google.com/spreadsheets/d/18T"&amp;"20gbkS_WBjdscyTOV05cvq_JqvqQ17C81mpxf7Ncs/edit?usp=sharing"",""สุราษฎร์ธานี!M98"")"),0)</f>
        <v>0</v>
      </c>
      <c r="N98" s="49">
        <f ca="1">IFERROR(__xludf.DUMMYFUNCTION("IMPORTRANGE(""https://docs.google.com/spreadsheets/d/1kKUcYdkIfrgTSj8iHHHB2MD2FAtwyyocFgqGQn6ADyI/edit?usp=sharing"",""กระบี่!N98"")+IMPORTRANGE(""https://docs.google.com/spreadsheets/d/1GwtLaSlNZkLk7iDqcyZz22giiy40b_usZZBXYciEN1U/edit?usp=sharing"",""ชุม"&amp;"พร!N98"")+IMPORTRANGE(""https://docs.google.com/spreadsheets/d/16pAz3pOhQEZBhvFNMa5KGgZS6iKWpsKX0pg6tQmwFpo/edit?usp=sharing"",""ตรัง!N98"")+IMPORTRANGE(""https://docs.google.com/spreadsheets/d/1Dj4jcHCTV9JXKCaMoheSXS52JE63kDKyG7bPXnFogHk/edit?usp=sharing"&amp;""",""นครศรีธรรมราช!N98"")+IMPORTRANGE(""https://docs.google.com/spreadsheets/d/1iodCdmuK2GR3jzUwk8tpccY2JHQQA-87DLOtJP-ooyU/edit?usp=sharing"",""นราธิวาส!N98"")+IMPORTRANGE(""https://docs.google.com/spreadsheets/d/1SDNX3JhDdYRuIOsj0Wh2M-Qa_eaXl0NbWmhAOTbf"&amp;"QAs/edit?usp=sharing"",""ปัตตานี!N98"")+IMPORTRANGE(""https://docs.google.com/spreadsheets/d/16JDLGguT8s5DsGCND1KcwHP_AWR_zDMTqLHPLJUKhaU/edit?usp=sharing"",""พังงา!N98"")+IMPORTRANGE(""https://docs.google.com/spreadsheets/d/17ht0gPKzzT3PObBL1XJkeRmntBXI7"&amp;"wGjpLV7QorqlTk/edit?usp=sharing"",""พัทลุง!N98"")+IMPORTRANGE(""https://docs.google.com/spreadsheets/d/1rd4qoM1q_hsgaolqNGfrim9gbsoLxQsda4-vOz5x_BM/edit?usp=sharing"",""ภูเก็ต!N98"")+IMPORTRANGE(""https://docs.google.com/spreadsheets/d/1woKwKjgoLssDvPcPeV"&amp;"yezB5izizAn4X1JDrys69n6xI/edit?usp=sharing"",""ยะลา!N98"")+IMPORTRANGE(""https://docs.google.com/spreadsheets/d/1qfrKjzMhm2HJfxQ-qVlJlJQ25Hne1d0khsySbZyGtPA/edit?usp=sharing"",""ระนอง!N98"")+IMPORTRANGE(""https://docs.google.com/spreadsheets/d/1IbSCnFOKpZ"&amp;"snFogBHJnL_isstZVaOMnFiIN0fGTPZZw/edit?usp=sharing"",""สงขลา!N98"")+IMPORTRANGE(""https://docs.google.com/spreadsheets/d/1q9nWasZJ-K8bFGvbE9n0qSRuKGA4Toe3Y89cKCiVtCU/edit?usp=sharing"",""สตูล!N98"")+IMPORTRANGE(""https://docs.google.com/spreadsheets/d/18T"&amp;"20gbkS_WBjdscyTOV05cvq_JqvqQ17C81mpxf7Ncs/edit?usp=sharing"",""สุราษฎร์ธานี!N98"")"),0)</f>
        <v>0</v>
      </c>
      <c r="O98" s="49">
        <f t="shared" ca="1" si="74"/>
        <v>0</v>
      </c>
      <c r="P98" s="49">
        <f t="shared" ca="1" si="75"/>
        <v>0</v>
      </c>
      <c r="Q98" s="49">
        <f ca="1">IFERROR(__xludf.DUMMYFUNCTION("IMPORTRANGE(""https://docs.google.com/spreadsheets/d/1kKUcYdkIfrgTSj8iHHHB2MD2FAtwyyocFgqGQn6ADyI/edit?usp=sharing"",""กระบี่!Q98"")+IMPORTRANGE(""https://docs.google.com/spreadsheets/d/1GwtLaSlNZkLk7iDqcyZz22giiy40b_usZZBXYciEN1U/edit?usp=sharing"",""ชุม"&amp;"พร!Q98"")+IMPORTRANGE(""https://docs.google.com/spreadsheets/d/16pAz3pOhQEZBhvFNMa5KGgZS6iKWpsKX0pg6tQmwFpo/edit?usp=sharing"",""ตรัง!Q98"")+IMPORTRANGE(""https://docs.google.com/spreadsheets/d/1Dj4jcHCTV9JXKCaMoheSXS52JE63kDKyG7bPXnFogHk/edit?usp=sharing"&amp;""",""นครศรีธรรมราช!Q98"")+IMPORTRANGE(""https://docs.google.com/spreadsheets/d/1iodCdmuK2GR3jzUwk8tpccY2JHQQA-87DLOtJP-ooyU/edit?usp=sharing"",""นราธิวาส!Q98"")+IMPORTRANGE(""https://docs.google.com/spreadsheets/d/1SDNX3JhDdYRuIOsj0Wh2M-Qa_eaXl0NbWmhAOTbf"&amp;"QAs/edit?usp=sharing"",""ปัตตานี!Q98"")+IMPORTRANGE(""https://docs.google.com/spreadsheets/d/16JDLGguT8s5DsGCND1KcwHP_AWR_zDMTqLHPLJUKhaU/edit?usp=sharing"",""พังงา!Q98"")+IMPORTRANGE(""https://docs.google.com/spreadsheets/d/17ht0gPKzzT3PObBL1XJkeRmntBXI7"&amp;"wGjpLV7QorqlTk/edit?usp=sharing"",""พัทลุง!Q98"")+IMPORTRANGE(""https://docs.google.com/spreadsheets/d/1rd4qoM1q_hsgaolqNGfrim9gbsoLxQsda4-vOz5x_BM/edit?usp=sharing"",""ภูเก็ต!Q98"")+IMPORTRANGE(""https://docs.google.com/spreadsheets/d/1woKwKjgoLssDvPcPeV"&amp;"yezB5izizAn4X1JDrys69n6xI/edit?usp=sharing"",""ยะลา!Q98"")+IMPORTRANGE(""https://docs.google.com/spreadsheets/d/1qfrKjzMhm2HJfxQ-qVlJlJQ25Hne1d0khsySbZyGtPA/edit?usp=sharing"",""ระนอง!Q98"")+IMPORTRANGE(""https://docs.google.com/spreadsheets/d/1IbSCnFOKpZ"&amp;"snFogBHJnL_isstZVaOMnFiIN0fGTPZZw/edit?usp=sharing"",""สงขลา!Q98"")+IMPORTRANGE(""https://docs.google.com/spreadsheets/d/1q9nWasZJ-K8bFGvbE9n0qSRuKGA4Toe3Y89cKCiVtCU/edit?usp=sharing"",""สตูล!Q98"")+IMPORTRANGE(""https://docs.google.com/spreadsheets/d/18T"&amp;"20gbkS_WBjdscyTOV05cvq_JqvqQ17C81mpxf7Ncs/edit?usp=sharing"",""สุราษฎร์ธานี!Q98"")"),0)</f>
        <v>0</v>
      </c>
      <c r="R98" s="49">
        <f ca="1">IFERROR(__xludf.DUMMYFUNCTION("IMPORTRANGE(""https://docs.google.com/spreadsheets/d/1kKUcYdkIfrgTSj8iHHHB2MD2FAtwyyocFgqGQn6ADyI/edit?usp=sharing"",""กระบี่!R98"")+IMPORTRANGE(""https://docs.google.com/spreadsheets/d/1GwtLaSlNZkLk7iDqcyZz22giiy40b_usZZBXYciEN1U/edit?usp=sharing"",""ชุม"&amp;"พร!R98"")+IMPORTRANGE(""https://docs.google.com/spreadsheets/d/16pAz3pOhQEZBhvFNMa5KGgZS6iKWpsKX0pg6tQmwFpo/edit?usp=sharing"",""ตรัง!R98"")+IMPORTRANGE(""https://docs.google.com/spreadsheets/d/1Dj4jcHCTV9JXKCaMoheSXS52JE63kDKyG7bPXnFogHk/edit?usp=sharing"&amp;""",""นครศรีธรรมราช!R98"")+IMPORTRANGE(""https://docs.google.com/spreadsheets/d/1iodCdmuK2GR3jzUwk8tpccY2JHQQA-87DLOtJP-ooyU/edit?usp=sharing"",""นราธิวาส!R98"")+IMPORTRANGE(""https://docs.google.com/spreadsheets/d/1SDNX3JhDdYRuIOsj0Wh2M-Qa_eaXl0NbWmhAOTbf"&amp;"QAs/edit?usp=sharing"",""ปัตตานี!R98"")+IMPORTRANGE(""https://docs.google.com/spreadsheets/d/16JDLGguT8s5DsGCND1KcwHP_AWR_zDMTqLHPLJUKhaU/edit?usp=sharing"",""พังงา!R98"")+IMPORTRANGE(""https://docs.google.com/spreadsheets/d/17ht0gPKzzT3PObBL1XJkeRmntBXI7"&amp;"wGjpLV7QorqlTk/edit?usp=sharing"",""พัทลุง!R98"")+IMPORTRANGE(""https://docs.google.com/spreadsheets/d/1rd4qoM1q_hsgaolqNGfrim9gbsoLxQsda4-vOz5x_BM/edit?usp=sharing"",""ภูเก็ต!R98"")+IMPORTRANGE(""https://docs.google.com/spreadsheets/d/1woKwKjgoLssDvPcPeV"&amp;"yezB5izizAn4X1JDrys69n6xI/edit?usp=sharing"",""ยะลา!R98"")+IMPORTRANGE(""https://docs.google.com/spreadsheets/d/1qfrKjzMhm2HJfxQ-qVlJlJQ25Hne1d0khsySbZyGtPA/edit?usp=sharing"",""ระนอง!R98"")+IMPORTRANGE(""https://docs.google.com/spreadsheets/d/1IbSCnFOKpZ"&amp;"snFogBHJnL_isstZVaOMnFiIN0fGTPZZw/edit?usp=sharing"",""สงขลา!R98"")+IMPORTRANGE(""https://docs.google.com/spreadsheets/d/1q9nWasZJ-K8bFGvbE9n0qSRuKGA4Toe3Y89cKCiVtCU/edit?usp=sharing"",""สตูล!R98"")+IMPORTRANGE(""https://docs.google.com/spreadsheets/d/18T"&amp;"20gbkS_WBjdscyTOV05cvq_JqvqQ17C81mpxf7Ncs/edit?usp=sharing"",""สุราษฎร์ธานี!R98"")"),0)</f>
        <v>0</v>
      </c>
      <c r="S98" s="49">
        <f ca="1">IFERROR(__xludf.DUMMYFUNCTION("IMPORTRANGE(""https://docs.google.com/spreadsheets/d/1kKUcYdkIfrgTSj8iHHHB2MD2FAtwyyocFgqGQn6ADyI/edit?usp=sharing"",""กระบี่!S98"")+IMPORTRANGE(""https://docs.google.com/spreadsheets/d/1GwtLaSlNZkLk7iDqcyZz22giiy40b_usZZBXYciEN1U/edit?usp=sharing"",""ชุม"&amp;"พร!S98"")+IMPORTRANGE(""https://docs.google.com/spreadsheets/d/16pAz3pOhQEZBhvFNMa5KGgZS6iKWpsKX0pg6tQmwFpo/edit?usp=sharing"",""ตรัง!S98"")+IMPORTRANGE(""https://docs.google.com/spreadsheets/d/1Dj4jcHCTV9JXKCaMoheSXS52JE63kDKyG7bPXnFogHk/edit?usp=sharing"&amp;""",""นครศรีธรรมราช!S98"")+IMPORTRANGE(""https://docs.google.com/spreadsheets/d/1iodCdmuK2GR3jzUwk8tpccY2JHQQA-87DLOtJP-ooyU/edit?usp=sharing"",""นราธิวาส!S98"")+IMPORTRANGE(""https://docs.google.com/spreadsheets/d/1SDNX3JhDdYRuIOsj0Wh2M-Qa_eaXl0NbWmhAOTbf"&amp;"QAs/edit?usp=sharing"",""ปัตตานี!S98"")+IMPORTRANGE(""https://docs.google.com/spreadsheets/d/16JDLGguT8s5DsGCND1KcwHP_AWR_zDMTqLHPLJUKhaU/edit?usp=sharing"",""พังงา!S98"")+IMPORTRANGE(""https://docs.google.com/spreadsheets/d/17ht0gPKzzT3PObBL1XJkeRmntBXI7"&amp;"wGjpLV7QorqlTk/edit?usp=sharing"",""พัทลุง!S98"")+IMPORTRANGE(""https://docs.google.com/spreadsheets/d/1rd4qoM1q_hsgaolqNGfrim9gbsoLxQsda4-vOz5x_BM/edit?usp=sharing"",""ภูเก็ต!S98"")+IMPORTRANGE(""https://docs.google.com/spreadsheets/d/1woKwKjgoLssDvPcPeV"&amp;"yezB5izizAn4X1JDrys69n6xI/edit?usp=sharing"",""ยะลา!S98"")+IMPORTRANGE(""https://docs.google.com/spreadsheets/d/1qfrKjzMhm2HJfxQ-qVlJlJQ25Hne1d0khsySbZyGtPA/edit?usp=sharing"",""ระนอง!S98"")+IMPORTRANGE(""https://docs.google.com/spreadsheets/d/1IbSCnFOKpZ"&amp;"snFogBHJnL_isstZVaOMnFiIN0fGTPZZw/edit?usp=sharing"",""สงขลา!S98"")+IMPORTRANGE(""https://docs.google.com/spreadsheets/d/1q9nWasZJ-K8bFGvbE9n0qSRuKGA4Toe3Y89cKCiVtCU/edit?usp=sharing"",""สตูล!S98"")+IMPORTRANGE(""https://docs.google.com/spreadsheets/d/18T"&amp;"20gbkS_WBjdscyTOV05cvq_JqvqQ17C81mpxf7Ncs/edit?usp=sharing"",""สุราษฎร์ธานี!S98"")"),0)</f>
        <v>0</v>
      </c>
      <c r="T98" s="49">
        <f t="shared" ca="1" si="77"/>
        <v>0</v>
      </c>
      <c r="U98" s="49">
        <f t="shared" ca="1" si="78"/>
        <v>0</v>
      </c>
    </row>
    <row r="99" spans="1:21" ht="18.75" hidden="1" x14ac:dyDescent="0.25">
      <c r="A99" s="128"/>
      <c r="B99" s="159"/>
      <c r="C99" s="159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7">
        <f ca="1">IFERROR(__xludf.DUMMYFUNCTION("IMPORTRANGE(""https://docs.google.com/spreadsheets/d/1kKUcYdkIfrgTSj8iHHHB2MD2FAtwyyocFgqGQn6ADyI/edit?usp=sharing"",""กระบี่!L99"")+IMPORTRANGE(""https://docs.google.com/spreadsheets/d/1GwtLaSlNZkLk7iDqcyZz22giiy40b_usZZBXYciEN1U/edit?usp=sharing"",""ชุม"&amp;"พร!L99"")+IMPORTRANGE(""https://docs.google.com/spreadsheets/d/16pAz3pOhQEZBhvFNMa5KGgZS6iKWpsKX0pg6tQmwFpo/edit?usp=sharing"",""ตรัง!L99"")+IMPORTRANGE(""https://docs.google.com/spreadsheets/d/1Dj4jcHCTV9JXKCaMoheSXS52JE63kDKyG7bPXnFogHk/edit?usp=sharing"&amp;""",""นครศรีธรรมราช!L99"")+IMPORTRANGE(""https://docs.google.com/spreadsheets/d/1iodCdmuK2GR3jzUwk8tpccY2JHQQA-87DLOtJP-ooyU/edit?usp=sharing"",""นราธิวาส!L99"")+IMPORTRANGE(""https://docs.google.com/spreadsheets/d/1SDNX3JhDdYRuIOsj0Wh2M-Qa_eaXl0NbWmhAOTbf"&amp;"QAs/edit?usp=sharing"",""ปัตตานี!L99"")+IMPORTRANGE(""https://docs.google.com/spreadsheets/d/16JDLGguT8s5DsGCND1KcwHP_AWR_zDMTqLHPLJUKhaU/edit?usp=sharing"",""พังงา!L99"")+IMPORTRANGE(""https://docs.google.com/spreadsheets/d/17ht0gPKzzT3PObBL1XJkeRmntBXI7"&amp;"wGjpLV7QorqlTk/edit?usp=sharing"",""พัทลุง!L99"")+IMPORTRANGE(""https://docs.google.com/spreadsheets/d/1rd4qoM1q_hsgaolqNGfrim9gbsoLxQsda4-vOz5x_BM/edit?usp=sharing"",""ภูเก็ต!L99"")+IMPORTRANGE(""https://docs.google.com/spreadsheets/d/1woKwKjgoLssDvPcPeV"&amp;"yezB5izizAn4X1JDrys69n6xI/edit?usp=sharing"",""ยะลา!L99"")+IMPORTRANGE(""https://docs.google.com/spreadsheets/d/1qfrKjzMhm2HJfxQ-qVlJlJQ25Hne1d0khsySbZyGtPA/edit?usp=sharing"",""ระนอง!L99"")+IMPORTRANGE(""https://docs.google.com/spreadsheets/d/1IbSCnFOKpZ"&amp;"snFogBHJnL_isstZVaOMnFiIN0fGTPZZw/edit?usp=sharing"",""สงขลา!L99"")+IMPORTRANGE(""https://docs.google.com/spreadsheets/d/1q9nWasZJ-K8bFGvbE9n0qSRuKGA4Toe3Y89cKCiVtCU/edit?usp=sharing"",""สตูล!L99"")+IMPORTRANGE(""https://docs.google.com/spreadsheets/d/18T"&amp;"20gbkS_WBjdscyTOV05cvq_JqvqQ17C81mpxf7Ncs/edit?usp=sharing"",""สุราษฎร์ธานี!L99"")"),0)</f>
        <v>0</v>
      </c>
      <c r="M99" s="47">
        <f ca="1">IFERROR(__xludf.DUMMYFUNCTION("IMPORTRANGE(""https://docs.google.com/spreadsheets/d/1kKUcYdkIfrgTSj8iHHHB2MD2FAtwyyocFgqGQn6ADyI/edit?usp=sharing"",""กระบี่!M99"")+IMPORTRANGE(""https://docs.google.com/spreadsheets/d/1GwtLaSlNZkLk7iDqcyZz22giiy40b_usZZBXYciEN1U/edit?usp=sharing"",""ชุม"&amp;"พร!M99"")+IMPORTRANGE(""https://docs.google.com/spreadsheets/d/16pAz3pOhQEZBhvFNMa5KGgZS6iKWpsKX0pg6tQmwFpo/edit?usp=sharing"",""ตรัง!M99"")+IMPORTRANGE(""https://docs.google.com/spreadsheets/d/1Dj4jcHCTV9JXKCaMoheSXS52JE63kDKyG7bPXnFogHk/edit?usp=sharing"&amp;""",""นครศรีธรรมราช!M99"")+IMPORTRANGE(""https://docs.google.com/spreadsheets/d/1iodCdmuK2GR3jzUwk8tpccY2JHQQA-87DLOtJP-ooyU/edit?usp=sharing"",""นราธิวาส!M99"")+IMPORTRANGE(""https://docs.google.com/spreadsheets/d/1SDNX3JhDdYRuIOsj0Wh2M-Qa_eaXl0NbWmhAOTbf"&amp;"QAs/edit?usp=sharing"",""ปัตตานี!M99"")+IMPORTRANGE(""https://docs.google.com/spreadsheets/d/16JDLGguT8s5DsGCND1KcwHP_AWR_zDMTqLHPLJUKhaU/edit?usp=sharing"",""พังงา!M99"")+IMPORTRANGE(""https://docs.google.com/spreadsheets/d/17ht0gPKzzT3PObBL1XJkeRmntBXI7"&amp;"wGjpLV7QorqlTk/edit?usp=sharing"",""พัทลุง!M99"")+IMPORTRANGE(""https://docs.google.com/spreadsheets/d/1rd4qoM1q_hsgaolqNGfrim9gbsoLxQsda4-vOz5x_BM/edit?usp=sharing"",""ภูเก็ต!M99"")+IMPORTRANGE(""https://docs.google.com/spreadsheets/d/1woKwKjgoLssDvPcPeV"&amp;"yezB5izizAn4X1JDrys69n6xI/edit?usp=sharing"",""ยะลา!M99"")+IMPORTRANGE(""https://docs.google.com/spreadsheets/d/1qfrKjzMhm2HJfxQ-qVlJlJQ25Hne1d0khsySbZyGtPA/edit?usp=sharing"",""ระนอง!M99"")+IMPORTRANGE(""https://docs.google.com/spreadsheets/d/1IbSCnFOKpZ"&amp;"snFogBHJnL_isstZVaOMnFiIN0fGTPZZw/edit?usp=sharing"",""สงขลา!M99"")+IMPORTRANGE(""https://docs.google.com/spreadsheets/d/1q9nWasZJ-K8bFGvbE9n0qSRuKGA4Toe3Y89cKCiVtCU/edit?usp=sharing"",""สตูล!M99"")+IMPORTRANGE(""https://docs.google.com/spreadsheets/d/18T"&amp;"20gbkS_WBjdscyTOV05cvq_JqvqQ17C81mpxf7Ncs/edit?usp=sharing"",""สุราษฎร์ธานี!M99"")"),59400)</f>
        <v>59400</v>
      </c>
      <c r="N99" s="47">
        <f ca="1">IFERROR(__xludf.DUMMYFUNCTION("IMPORTRANGE(""https://docs.google.com/spreadsheets/d/1kKUcYdkIfrgTSj8iHHHB2MD2FAtwyyocFgqGQn6ADyI/edit?usp=sharing"",""กระบี่!N99"")+IMPORTRANGE(""https://docs.google.com/spreadsheets/d/1GwtLaSlNZkLk7iDqcyZz22giiy40b_usZZBXYciEN1U/edit?usp=sharing"",""ชุม"&amp;"พร!N99"")+IMPORTRANGE(""https://docs.google.com/spreadsheets/d/16pAz3pOhQEZBhvFNMa5KGgZS6iKWpsKX0pg6tQmwFpo/edit?usp=sharing"",""ตรัง!N99"")+IMPORTRANGE(""https://docs.google.com/spreadsheets/d/1Dj4jcHCTV9JXKCaMoheSXS52JE63kDKyG7bPXnFogHk/edit?usp=sharing"&amp;""",""นครศรีธรรมราช!N99"")+IMPORTRANGE(""https://docs.google.com/spreadsheets/d/1iodCdmuK2GR3jzUwk8tpccY2JHQQA-87DLOtJP-ooyU/edit?usp=sharing"",""นราธิวาส!N99"")+IMPORTRANGE(""https://docs.google.com/spreadsheets/d/1SDNX3JhDdYRuIOsj0Wh2M-Qa_eaXl0NbWmhAOTbf"&amp;"QAs/edit?usp=sharing"",""ปัตตานี!N99"")+IMPORTRANGE(""https://docs.google.com/spreadsheets/d/16JDLGguT8s5DsGCND1KcwHP_AWR_zDMTqLHPLJUKhaU/edit?usp=sharing"",""พังงา!N99"")+IMPORTRANGE(""https://docs.google.com/spreadsheets/d/17ht0gPKzzT3PObBL1XJkeRmntBXI7"&amp;"wGjpLV7QorqlTk/edit?usp=sharing"",""พัทลุง!N99"")+IMPORTRANGE(""https://docs.google.com/spreadsheets/d/1rd4qoM1q_hsgaolqNGfrim9gbsoLxQsda4-vOz5x_BM/edit?usp=sharing"",""ภูเก็ต!N99"")+IMPORTRANGE(""https://docs.google.com/spreadsheets/d/1woKwKjgoLssDvPcPeV"&amp;"yezB5izizAn4X1JDrys69n6xI/edit?usp=sharing"",""ยะลา!N99"")+IMPORTRANGE(""https://docs.google.com/spreadsheets/d/1qfrKjzMhm2HJfxQ-qVlJlJQ25Hne1d0khsySbZyGtPA/edit?usp=sharing"",""ระนอง!N99"")+IMPORTRANGE(""https://docs.google.com/spreadsheets/d/1IbSCnFOKpZ"&amp;"snFogBHJnL_isstZVaOMnFiIN0fGTPZZw/edit?usp=sharing"",""สงขลา!N99"")+IMPORTRANGE(""https://docs.google.com/spreadsheets/d/1q9nWasZJ-K8bFGvbE9n0qSRuKGA4Toe3Y89cKCiVtCU/edit?usp=sharing"",""สตูล!N99"")+IMPORTRANGE(""https://docs.google.com/spreadsheets/d/18T"&amp;"20gbkS_WBjdscyTOV05cvq_JqvqQ17C81mpxf7Ncs/edit?usp=sharing"",""สุราษฎร์ธานี!N99"")"),0)</f>
        <v>0</v>
      </c>
      <c r="O99" s="47">
        <f t="shared" ca="1" si="74"/>
        <v>0</v>
      </c>
      <c r="P99" s="47">
        <f t="shared" ca="1" si="75"/>
        <v>0</v>
      </c>
      <c r="Q99" s="47">
        <f ca="1">IFERROR(__xludf.DUMMYFUNCTION("IMPORTRANGE(""https://docs.google.com/spreadsheets/d/1kKUcYdkIfrgTSj8iHHHB2MD2FAtwyyocFgqGQn6ADyI/edit?usp=sharing"",""กระบี่!Q99"")+IMPORTRANGE(""https://docs.google.com/spreadsheets/d/1GwtLaSlNZkLk7iDqcyZz22giiy40b_usZZBXYciEN1U/edit?usp=sharing"",""ชุม"&amp;"พร!Q99"")+IMPORTRANGE(""https://docs.google.com/spreadsheets/d/16pAz3pOhQEZBhvFNMa5KGgZS6iKWpsKX0pg6tQmwFpo/edit?usp=sharing"",""ตรัง!Q99"")+IMPORTRANGE(""https://docs.google.com/spreadsheets/d/1Dj4jcHCTV9JXKCaMoheSXS52JE63kDKyG7bPXnFogHk/edit?usp=sharing"&amp;""",""นครศรีธรรมราช!Q99"")+IMPORTRANGE(""https://docs.google.com/spreadsheets/d/1iodCdmuK2GR3jzUwk8tpccY2JHQQA-87DLOtJP-ooyU/edit?usp=sharing"",""นราธิวาส!Q99"")+IMPORTRANGE(""https://docs.google.com/spreadsheets/d/1SDNX3JhDdYRuIOsj0Wh2M-Qa_eaXl0NbWmhAOTbf"&amp;"QAs/edit?usp=sharing"",""ปัตตานี!Q99"")+IMPORTRANGE(""https://docs.google.com/spreadsheets/d/16JDLGguT8s5DsGCND1KcwHP_AWR_zDMTqLHPLJUKhaU/edit?usp=sharing"",""พังงา!Q99"")+IMPORTRANGE(""https://docs.google.com/spreadsheets/d/17ht0gPKzzT3PObBL1XJkeRmntBXI7"&amp;"wGjpLV7QorqlTk/edit?usp=sharing"",""พัทลุง!Q99"")+IMPORTRANGE(""https://docs.google.com/spreadsheets/d/1rd4qoM1q_hsgaolqNGfrim9gbsoLxQsda4-vOz5x_BM/edit?usp=sharing"",""ภูเก็ต!Q99"")+IMPORTRANGE(""https://docs.google.com/spreadsheets/d/1woKwKjgoLssDvPcPeV"&amp;"yezB5izizAn4X1JDrys69n6xI/edit?usp=sharing"",""ยะลา!Q99"")+IMPORTRANGE(""https://docs.google.com/spreadsheets/d/1qfrKjzMhm2HJfxQ-qVlJlJQ25Hne1d0khsySbZyGtPA/edit?usp=sharing"",""ระนอง!Q99"")+IMPORTRANGE(""https://docs.google.com/spreadsheets/d/1IbSCnFOKpZ"&amp;"snFogBHJnL_isstZVaOMnFiIN0fGTPZZw/edit?usp=sharing"",""สงขลา!Q99"")+IMPORTRANGE(""https://docs.google.com/spreadsheets/d/1q9nWasZJ-K8bFGvbE9n0qSRuKGA4Toe3Y89cKCiVtCU/edit?usp=sharing"",""สตูล!Q99"")+IMPORTRANGE(""https://docs.google.com/spreadsheets/d/18T"&amp;"20gbkS_WBjdscyTOV05cvq_JqvqQ17C81mpxf7Ncs/edit?usp=sharing"",""สุราษฎร์ธานี!Q99"")"),835758)</f>
        <v>835758</v>
      </c>
      <c r="R99" s="47">
        <f ca="1">IFERROR(__xludf.DUMMYFUNCTION("IMPORTRANGE(""https://docs.google.com/spreadsheets/d/1kKUcYdkIfrgTSj8iHHHB2MD2FAtwyyocFgqGQn6ADyI/edit?usp=sharing"",""กระบี่!R99"")+IMPORTRANGE(""https://docs.google.com/spreadsheets/d/1GwtLaSlNZkLk7iDqcyZz22giiy40b_usZZBXYciEN1U/edit?usp=sharing"",""ชุม"&amp;"พร!R99"")+IMPORTRANGE(""https://docs.google.com/spreadsheets/d/16pAz3pOhQEZBhvFNMa5KGgZS6iKWpsKX0pg6tQmwFpo/edit?usp=sharing"",""ตรัง!R99"")+IMPORTRANGE(""https://docs.google.com/spreadsheets/d/1Dj4jcHCTV9JXKCaMoheSXS52JE63kDKyG7bPXnFogHk/edit?usp=sharing"&amp;""",""นครศรีธรรมราช!R99"")+IMPORTRANGE(""https://docs.google.com/spreadsheets/d/1iodCdmuK2GR3jzUwk8tpccY2JHQQA-87DLOtJP-ooyU/edit?usp=sharing"",""นราธิวาส!R99"")+IMPORTRANGE(""https://docs.google.com/spreadsheets/d/1SDNX3JhDdYRuIOsj0Wh2M-Qa_eaXl0NbWmhAOTbf"&amp;"QAs/edit?usp=sharing"",""ปัตตานี!R99"")+IMPORTRANGE(""https://docs.google.com/spreadsheets/d/16JDLGguT8s5DsGCND1KcwHP_AWR_zDMTqLHPLJUKhaU/edit?usp=sharing"",""พังงา!R99"")+IMPORTRANGE(""https://docs.google.com/spreadsheets/d/17ht0gPKzzT3PObBL1XJkeRmntBXI7"&amp;"wGjpLV7QorqlTk/edit?usp=sharing"",""พัทลุง!R99"")+IMPORTRANGE(""https://docs.google.com/spreadsheets/d/1rd4qoM1q_hsgaolqNGfrim9gbsoLxQsda4-vOz5x_BM/edit?usp=sharing"",""ภูเก็ต!R99"")+IMPORTRANGE(""https://docs.google.com/spreadsheets/d/1woKwKjgoLssDvPcPeV"&amp;"yezB5izizAn4X1JDrys69n6xI/edit?usp=sharing"",""ยะลา!R99"")+IMPORTRANGE(""https://docs.google.com/spreadsheets/d/1qfrKjzMhm2HJfxQ-qVlJlJQ25Hne1d0khsySbZyGtPA/edit?usp=sharing"",""ระนอง!R99"")+IMPORTRANGE(""https://docs.google.com/spreadsheets/d/1IbSCnFOKpZ"&amp;"snFogBHJnL_isstZVaOMnFiIN0fGTPZZw/edit?usp=sharing"",""สงขลา!R99"")+IMPORTRANGE(""https://docs.google.com/spreadsheets/d/1q9nWasZJ-K8bFGvbE9n0qSRuKGA4Toe3Y89cKCiVtCU/edit?usp=sharing"",""สตูล!R99"")+IMPORTRANGE(""https://docs.google.com/spreadsheets/d/18T"&amp;"20gbkS_WBjdscyTOV05cvq_JqvqQ17C81mpxf7Ncs/edit?usp=sharing"",""สุราษฎร์ธานี!R99"")"),835758)</f>
        <v>835758</v>
      </c>
      <c r="S99" s="47">
        <f ca="1">IFERROR(__xludf.DUMMYFUNCTION("IMPORTRANGE(""https://docs.google.com/spreadsheets/d/1kKUcYdkIfrgTSj8iHHHB2MD2FAtwyyocFgqGQn6ADyI/edit?usp=sharing"",""กระบี่!S99"")+IMPORTRANGE(""https://docs.google.com/spreadsheets/d/1GwtLaSlNZkLk7iDqcyZz22giiy40b_usZZBXYciEN1U/edit?usp=sharing"",""ชุม"&amp;"พร!S99"")+IMPORTRANGE(""https://docs.google.com/spreadsheets/d/16pAz3pOhQEZBhvFNMa5KGgZS6iKWpsKX0pg6tQmwFpo/edit?usp=sharing"",""ตรัง!S99"")+IMPORTRANGE(""https://docs.google.com/spreadsheets/d/1Dj4jcHCTV9JXKCaMoheSXS52JE63kDKyG7bPXnFogHk/edit?usp=sharing"&amp;""",""นครศรีธรรมราช!S99"")+IMPORTRANGE(""https://docs.google.com/spreadsheets/d/1iodCdmuK2GR3jzUwk8tpccY2JHQQA-87DLOtJP-ooyU/edit?usp=sharing"",""นราธิวาส!S99"")+IMPORTRANGE(""https://docs.google.com/spreadsheets/d/1SDNX3JhDdYRuIOsj0Wh2M-Qa_eaXl0NbWmhAOTbf"&amp;"QAs/edit?usp=sharing"",""ปัตตานี!S99"")+IMPORTRANGE(""https://docs.google.com/spreadsheets/d/16JDLGguT8s5DsGCND1KcwHP_AWR_zDMTqLHPLJUKhaU/edit?usp=sharing"",""พังงา!S99"")+IMPORTRANGE(""https://docs.google.com/spreadsheets/d/17ht0gPKzzT3PObBL1XJkeRmntBXI7"&amp;"wGjpLV7QorqlTk/edit?usp=sharing"",""พัทลุง!S99"")+IMPORTRANGE(""https://docs.google.com/spreadsheets/d/1rd4qoM1q_hsgaolqNGfrim9gbsoLxQsda4-vOz5x_BM/edit?usp=sharing"",""ภูเก็ต!S99"")+IMPORTRANGE(""https://docs.google.com/spreadsheets/d/1woKwKjgoLssDvPcPeV"&amp;"yezB5izizAn4X1JDrys69n6xI/edit?usp=sharing"",""ยะลา!S99"")+IMPORTRANGE(""https://docs.google.com/spreadsheets/d/1qfrKjzMhm2HJfxQ-qVlJlJQ25Hne1d0khsySbZyGtPA/edit?usp=sharing"",""ระนอง!S99"")+IMPORTRANGE(""https://docs.google.com/spreadsheets/d/1IbSCnFOKpZ"&amp;"snFogBHJnL_isstZVaOMnFiIN0fGTPZZw/edit?usp=sharing"",""สงขลา!S99"")+IMPORTRANGE(""https://docs.google.com/spreadsheets/d/1q9nWasZJ-K8bFGvbE9n0qSRuKGA4Toe3Y89cKCiVtCU/edit?usp=sharing"",""สตูล!S99"")+IMPORTRANGE(""https://docs.google.com/spreadsheets/d/18T"&amp;"20gbkS_WBjdscyTOV05cvq_JqvqQ17C81mpxf7Ncs/edit?usp=sharing"",""สุราษฎร์ธานี!S99"")"),221430)</f>
        <v>221430</v>
      </c>
      <c r="T99" s="47">
        <f t="shared" ca="1" si="77"/>
        <v>26.494511569138435</v>
      </c>
      <c r="U99" s="47">
        <f t="shared" ca="1" si="78"/>
        <v>26.494511569138435</v>
      </c>
    </row>
    <row r="100" spans="1:21" ht="18.75" x14ac:dyDescent="0.25">
      <c r="A100" s="128"/>
      <c r="B100" s="159"/>
      <c r="C100" s="159"/>
      <c r="D100" s="161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7">
        <f t="shared" ref="L100:N100" ca="1" si="85">L101+L102</f>
        <v>0</v>
      </c>
      <c r="M100" s="47">
        <f t="shared" ca="1" si="85"/>
        <v>0</v>
      </c>
      <c r="N100" s="47">
        <f t="shared" ca="1" si="85"/>
        <v>0</v>
      </c>
      <c r="O100" s="47">
        <f t="shared" ca="1" si="74"/>
        <v>0</v>
      </c>
      <c r="P100" s="47">
        <f t="shared" ca="1" si="75"/>
        <v>0</v>
      </c>
      <c r="Q100" s="47">
        <f t="shared" ref="Q100:S100" ca="1" si="86">Q101+Q102</f>
        <v>0</v>
      </c>
      <c r="R100" s="47">
        <f t="shared" ca="1" si="86"/>
        <v>0</v>
      </c>
      <c r="S100" s="47">
        <f t="shared" ca="1" si="86"/>
        <v>0</v>
      </c>
      <c r="T100" s="47">
        <f t="shared" ca="1" si="77"/>
        <v>0</v>
      </c>
      <c r="U100" s="47">
        <f t="shared" ca="1" si="78"/>
        <v>0</v>
      </c>
    </row>
    <row r="101" spans="1:21" ht="18.75" hidden="1" x14ac:dyDescent="0.25">
      <c r="A101" s="128"/>
      <c r="B101" s="159"/>
      <c r="C101" s="159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9">
        <f ca="1">IFERROR(__xludf.DUMMYFUNCTION("IMPORTRANGE(""https://docs.google.com/spreadsheets/d/1kKUcYdkIfrgTSj8iHHHB2MD2FAtwyyocFgqGQn6ADyI/edit?usp=sharing"",""กระบี่!L101"")+IMPORTRANGE(""https://docs.google.com/spreadsheets/d/1GwtLaSlNZkLk7iDqcyZz22giiy40b_usZZBXYciEN1U/edit?usp=sharing"",""ชุ"&amp;"มพร!L101"")+IMPORTRANGE(""https://docs.google.com/spreadsheets/d/16pAz3pOhQEZBhvFNMa5KGgZS6iKWpsKX0pg6tQmwFpo/edit?usp=sharing"",""ตรัง!L101"")+IMPORTRANGE(""https://docs.google.com/spreadsheets/d/1Dj4jcHCTV9JXKCaMoheSXS52JE63kDKyG7bPXnFogHk/edit?usp=shar"&amp;"ing"",""นครศรีธรรมราช!L101"")+IMPORTRANGE(""https://docs.google.com/spreadsheets/d/1iodCdmuK2GR3jzUwk8tpccY2JHQQA-87DLOtJP-ooyU/edit?usp=sharing"",""นราธิวาส!L101"")+IMPORTRANGE(""https://docs.google.com/spreadsheets/d/1SDNX3JhDdYRuIOsj0Wh2M-Qa_eaXl0NbWmh"&amp;"AOTbfQAs/edit?usp=sharing"",""ปัตตานี!L101"")+IMPORTRANGE(""https://docs.google.com/spreadsheets/d/16JDLGguT8s5DsGCND1KcwHP_AWR_zDMTqLHPLJUKhaU/edit?usp=sharing"",""พังงา!L101"")+IMPORTRANGE(""https://docs.google.com/spreadsheets/d/17ht0gPKzzT3PObBL1XJkeR"&amp;"mntBXI7wGjpLV7QorqlTk/edit?usp=sharing"",""พัทลุง!L101"")+IMPORTRANGE(""https://docs.google.com/spreadsheets/d/1rd4qoM1q_hsgaolqNGfrim9gbsoLxQsda4-vOz5x_BM/edit?usp=sharing"",""ภูเก็ต!L101"")+IMPORTRANGE(""https://docs.google.com/spreadsheets/d/1woKwKjgoL"&amp;"ssDvPcPeVyezB5izizAn4X1JDrys69n6xI/edit?usp=sharing"",""ยะลา!L101"")+IMPORTRANGE(""https://docs.google.com/spreadsheets/d/1qfrKjzMhm2HJfxQ-qVlJlJQ25Hne1d0khsySbZyGtPA/edit?usp=sharing"",""ระนอง!L101"")+IMPORTRANGE(""https://docs.google.com/spreadsheets/d/"&amp;"1IbSCnFOKpZsnFogBHJnL_isstZVaOMnFiIN0fGTPZZw/edit?usp=sharing"",""สงขลา!L101"")+IMPORTRANGE(""https://docs.google.com/spreadsheets/d/1q9nWasZJ-K8bFGvbE9n0qSRuKGA4Toe3Y89cKCiVtCU/edit?usp=sharing"",""สตูล!L101"")+IMPORTRANGE(""https://docs.google.com/sprea"&amp;"dsheets/d/18T20gbkS_WBjdscyTOV05cvq_JqvqQ17C81mpxf7Ncs/edit?usp=sharing"",""สุราษฎร์ธานี!L101"")"),0)</f>
        <v>0</v>
      </c>
      <c r="M101" s="49">
        <f ca="1">IFERROR(__xludf.DUMMYFUNCTION("IMPORTRANGE(""https://docs.google.com/spreadsheets/d/1kKUcYdkIfrgTSj8iHHHB2MD2FAtwyyocFgqGQn6ADyI/edit?usp=sharing"",""กระบี่!M101"")+IMPORTRANGE(""https://docs.google.com/spreadsheets/d/1GwtLaSlNZkLk7iDqcyZz22giiy40b_usZZBXYciEN1U/edit?usp=sharing"",""ชุ"&amp;"มพร!M101"")+IMPORTRANGE(""https://docs.google.com/spreadsheets/d/16pAz3pOhQEZBhvFNMa5KGgZS6iKWpsKX0pg6tQmwFpo/edit?usp=sharing"",""ตรัง!M101"")+IMPORTRANGE(""https://docs.google.com/spreadsheets/d/1Dj4jcHCTV9JXKCaMoheSXS52JE63kDKyG7bPXnFogHk/edit?usp=shar"&amp;"ing"",""นครศรีธรรมราช!M101"")+IMPORTRANGE(""https://docs.google.com/spreadsheets/d/1iodCdmuK2GR3jzUwk8tpccY2JHQQA-87DLOtJP-ooyU/edit?usp=sharing"",""นราธิวาส!M101"")+IMPORTRANGE(""https://docs.google.com/spreadsheets/d/1SDNX3JhDdYRuIOsj0Wh2M-Qa_eaXl0NbWmh"&amp;"AOTbfQAs/edit?usp=sharing"",""ปัตตานี!M101"")+IMPORTRANGE(""https://docs.google.com/spreadsheets/d/16JDLGguT8s5DsGCND1KcwHP_AWR_zDMTqLHPLJUKhaU/edit?usp=sharing"",""พังงา!M101"")+IMPORTRANGE(""https://docs.google.com/spreadsheets/d/17ht0gPKzzT3PObBL1XJkeR"&amp;"mntBXI7wGjpLV7QorqlTk/edit?usp=sharing"",""พัทลุง!M101"")+IMPORTRANGE(""https://docs.google.com/spreadsheets/d/1rd4qoM1q_hsgaolqNGfrim9gbsoLxQsda4-vOz5x_BM/edit?usp=sharing"",""ภูเก็ต!M101"")+IMPORTRANGE(""https://docs.google.com/spreadsheets/d/1woKwKjgoL"&amp;"ssDvPcPeVyezB5izizAn4X1JDrys69n6xI/edit?usp=sharing"",""ยะลา!M101"")+IMPORTRANGE(""https://docs.google.com/spreadsheets/d/1qfrKjzMhm2HJfxQ-qVlJlJQ25Hne1d0khsySbZyGtPA/edit?usp=sharing"",""ระนอง!M101"")+IMPORTRANGE(""https://docs.google.com/spreadsheets/d/"&amp;"1IbSCnFOKpZsnFogBHJnL_isstZVaOMnFiIN0fGTPZZw/edit?usp=sharing"",""สงขลา!M101"")+IMPORTRANGE(""https://docs.google.com/spreadsheets/d/1q9nWasZJ-K8bFGvbE9n0qSRuKGA4Toe3Y89cKCiVtCU/edit?usp=sharing"",""สตูล!M101"")+IMPORTRANGE(""https://docs.google.com/sprea"&amp;"dsheets/d/18T20gbkS_WBjdscyTOV05cvq_JqvqQ17C81mpxf7Ncs/edit?usp=sharing"",""สุราษฎร์ธานี!M101"")"),0)</f>
        <v>0</v>
      </c>
      <c r="N101" s="49">
        <f ca="1">IFERROR(__xludf.DUMMYFUNCTION("IMPORTRANGE(""https://docs.google.com/spreadsheets/d/1kKUcYdkIfrgTSj8iHHHB2MD2FAtwyyocFgqGQn6ADyI/edit?usp=sharing"",""กระบี่!N101"")+IMPORTRANGE(""https://docs.google.com/spreadsheets/d/1GwtLaSlNZkLk7iDqcyZz22giiy40b_usZZBXYciEN1U/edit?usp=sharing"",""ชุ"&amp;"มพร!N101"")+IMPORTRANGE(""https://docs.google.com/spreadsheets/d/16pAz3pOhQEZBhvFNMa5KGgZS6iKWpsKX0pg6tQmwFpo/edit?usp=sharing"",""ตรัง!N101"")+IMPORTRANGE(""https://docs.google.com/spreadsheets/d/1Dj4jcHCTV9JXKCaMoheSXS52JE63kDKyG7bPXnFogHk/edit?usp=shar"&amp;"ing"",""นครศรีธรรมราช!N101"")+IMPORTRANGE(""https://docs.google.com/spreadsheets/d/1iodCdmuK2GR3jzUwk8tpccY2JHQQA-87DLOtJP-ooyU/edit?usp=sharing"",""นราธิวาส!N101"")+IMPORTRANGE(""https://docs.google.com/spreadsheets/d/1SDNX3JhDdYRuIOsj0Wh2M-Qa_eaXl0NbWmh"&amp;"AOTbfQAs/edit?usp=sharing"",""ปัตตานี!N101"")+IMPORTRANGE(""https://docs.google.com/spreadsheets/d/16JDLGguT8s5DsGCND1KcwHP_AWR_zDMTqLHPLJUKhaU/edit?usp=sharing"",""พังงา!N101"")+IMPORTRANGE(""https://docs.google.com/spreadsheets/d/17ht0gPKzzT3PObBL1XJkeR"&amp;"mntBXI7wGjpLV7QorqlTk/edit?usp=sharing"",""พัทลุง!N101"")+IMPORTRANGE(""https://docs.google.com/spreadsheets/d/1rd4qoM1q_hsgaolqNGfrim9gbsoLxQsda4-vOz5x_BM/edit?usp=sharing"",""ภูเก็ต!N101"")+IMPORTRANGE(""https://docs.google.com/spreadsheets/d/1woKwKjgoL"&amp;"ssDvPcPeVyezB5izizAn4X1JDrys69n6xI/edit?usp=sharing"",""ยะลา!N101"")+IMPORTRANGE(""https://docs.google.com/spreadsheets/d/1qfrKjzMhm2HJfxQ-qVlJlJQ25Hne1d0khsySbZyGtPA/edit?usp=sharing"",""ระนอง!N101"")+IMPORTRANGE(""https://docs.google.com/spreadsheets/d/"&amp;"1IbSCnFOKpZsnFogBHJnL_isstZVaOMnFiIN0fGTPZZw/edit?usp=sharing"",""สงขลา!N101"")+IMPORTRANGE(""https://docs.google.com/spreadsheets/d/1q9nWasZJ-K8bFGvbE9n0qSRuKGA4Toe3Y89cKCiVtCU/edit?usp=sharing"",""สตูล!N101"")+IMPORTRANGE(""https://docs.google.com/sprea"&amp;"dsheets/d/18T20gbkS_WBjdscyTOV05cvq_JqvqQ17C81mpxf7Ncs/edit?usp=sharing"",""สุราษฎร์ธานี!N101"")"),0)</f>
        <v>0</v>
      </c>
      <c r="O101" s="49">
        <f t="shared" ca="1" si="74"/>
        <v>0</v>
      </c>
      <c r="P101" s="49">
        <f t="shared" ca="1" si="75"/>
        <v>0</v>
      </c>
      <c r="Q101" s="49">
        <f ca="1">IFERROR(__xludf.DUMMYFUNCTION("IMPORTRANGE(""https://docs.google.com/spreadsheets/d/1kKUcYdkIfrgTSj8iHHHB2MD2FAtwyyocFgqGQn6ADyI/edit?usp=sharing"",""กระบี่!Q101"")+IMPORTRANGE(""https://docs.google.com/spreadsheets/d/1GwtLaSlNZkLk7iDqcyZz22giiy40b_usZZBXYciEN1U/edit?usp=sharing"",""ชุ"&amp;"มพร!Q101"")+IMPORTRANGE(""https://docs.google.com/spreadsheets/d/16pAz3pOhQEZBhvFNMa5KGgZS6iKWpsKX0pg6tQmwFpo/edit?usp=sharing"",""ตรัง!Q101"")+IMPORTRANGE(""https://docs.google.com/spreadsheets/d/1Dj4jcHCTV9JXKCaMoheSXS52JE63kDKyG7bPXnFogHk/edit?usp=shar"&amp;"ing"",""นครศรีธรรมราช!Q101"")+IMPORTRANGE(""https://docs.google.com/spreadsheets/d/1iodCdmuK2GR3jzUwk8tpccY2JHQQA-87DLOtJP-ooyU/edit?usp=sharing"",""นราธิวาส!Q101"")+IMPORTRANGE(""https://docs.google.com/spreadsheets/d/1SDNX3JhDdYRuIOsj0Wh2M-Qa_eaXl0NbWmh"&amp;"AOTbfQAs/edit?usp=sharing"",""ปัตตานี!Q101"")+IMPORTRANGE(""https://docs.google.com/spreadsheets/d/16JDLGguT8s5DsGCND1KcwHP_AWR_zDMTqLHPLJUKhaU/edit?usp=sharing"",""พังงา!Q101"")+IMPORTRANGE(""https://docs.google.com/spreadsheets/d/17ht0gPKzzT3PObBL1XJkeR"&amp;"mntBXI7wGjpLV7QorqlTk/edit?usp=sharing"",""พัทลุง!Q101"")+IMPORTRANGE(""https://docs.google.com/spreadsheets/d/1rd4qoM1q_hsgaolqNGfrim9gbsoLxQsda4-vOz5x_BM/edit?usp=sharing"",""ภูเก็ต!Q101"")+IMPORTRANGE(""https://docs.google.com/spreadsheets/d/1woKwKjgoL"&amp;"ssDvPcPeVyezB5izizAn4X1JDrys69n6xI/edit?usp=sharing"",""ยะลา!Q101"")+IMPORTRANGE(""https://docs.google.com/spreadsheets/d/1qfrKjzMhm2HJfxQ-qVlJlJQ25Hne1d0khsySbZyGtPA/edit?usp=sharing"",""ระนอง!Q101"")+IMPORTRANGE(""https://docs.google.com/spreadsheets/d/"&amp;"1IbSCnFOKpZsnFogBHJnL_isstZVaOMnFiIN0fGTPZZw/edit?usp=sharing"",""สงขลา!Q101"")+IMPORTRANGE(""https://docs.google.com/spreadsheets/d/1q9nWasZJ-K8bFGvbE9n0qSRuKGA4Toe3Y89cKCiVtCU/edit?usp=sharing"",""สตูล!Q101"")+IMPORTRANGE(""https://docs.google.com/sprea"&amp;"dsheets/d/18T20gbkS_WBjdscyTOV05cvq_JqvqQ17C81mpxf7Ncs/edit?usp=sharing"",""สุราษฎร์ธานี!Q101"")"),0)</f>
        <v>0</v>
      </c>
      <c r="R101" s="49">
        <f ca="1">IFERROR(__xludf.DUMMYFUNCTION("IMPORTRANGE(""https://docs.google.com/spreadsheets/d/1kKUcYdkIfrgTSj8iHHHB2MD2FAtwyyocFgqGQn6ADyI/edit?usp=sharing"",""กระบี่!R101"")+IMPORTRANGE(""https://docs.google.com/spreadsheets/d/1GwtLaSlNZkLk7iDqcyZz22giiy40b_usZZBXYciEN1U/edit?usp=sharing"",""ชุ"&amp;"มพร!R101"")+IMPORTRANGE(""https://docs.google.com/spreadsheets/d/16pAz3pOhQEZBhvFNMa5KGgZS6iKWpsKX0pg6tQmwFpo/edit?usp=sharing"",""ตรัง!R101"")+IMPORTRANGE(""https://docs.google.com/spreadsheets/d/1Dj4jcHCTV9JXKCaMoheSXS52JE63kDKyG7bPXnFogHk/edit?usp=shar"&amp;"ing"",""นครศรีธรรมราช!R101"")+IMPORTRANGE(""https://docs.google.com/spreadsheets/d/1iodCdmuK2GR3jzUwk8tpccY2JHQQA-87DLOtJP-ooyU/edit?usp=sharing"",""นราธิวาส!R101"")+IMPORTRANGE(""https://docs.google.com/spreadsheets/d/1SDNX3JhDdYRuIOsj0Wh2M-Qa_eaXl0NbWmh"&amp;"AOTbfQAs/edit?usp=sharing"",""ปัตตานี!R101"")+IMPORTRANGE(""https://docs.google.com/spreadsheets/d/16JDLGguT8s5DsGCND1KcwHP_AWR_zDMTqLHPLJUKhaU/edit?usp=sharing"",""พังงา!R101"")+IMPORTRANGE(""https://docs.google.com/spreadsheets/d/17ht0gPKzzT3PObBL1XJkeR"&amp;"mntBXI7wGjpLV7QorqlTk/edit?usp=sharing"",""พัทลุง!R101"")+IMPORTRANGE(""https://docs.google.com/spreadsheets/d/1rd4qoM1q_hsgaolqNGfrim9gbsoLxQsda4-vOz5x_BM/edit?usp=sharing"",""ภูเก็ต!R101"")+IMPORTRANGE(""https://docs.google.com/spreadsheets/d/1woKwKjgoL"&amp;"ssDvPcPeVyezB5izizAn4X1JDrys69n6xI/edit?usp=sharing"",""ยะลา!R101"")+IMPORTRANGE(""https://docs.google.com/spreadsheets/d/1qfrKjzMhm2HJfxQ-qVlJlJQ25Hne1d0khsySbZyGtPA/edit?usp=sharing"",""ระนอง!R101"")+IMPORTRANGE(""https://docs.google.com/spreadsheets/d/"&amp;"1IbSCnFOKpZsnFogBHJnL_isstZVaOMnFiIN0fGTPZZw/edit?usp=sharing"",""สงขลา!R101"")+IMPORTRANGE(""https://docs.google.com/spreadsheets/d/1q9nWasZJ-K8bFGvbE9n0qSRuKGA4Toe3Y89cKCiVtCU/edit?usp=sharing"",""สตูล!R101"")+IMPORTRANGE(""https://docs.google.com/sprea"&amp;"dsheets/d/18T20gbkS_WBjdscyTOV05cvq_JqvqQ17C81mpxf7Ncs/edit?usp=sharing"",""สุราษฎร์ธานี!R101"")"),0)</f>
        <v>0</v>
      </c>
      <c r="S101" s="49">
        <f ca="1">IFERROR(__xludf.DUMMYFUNCTION("IMPORTRANGE(""https://docs.google.com/spreadsheets/d/1kKUcYdkIfrgTSj8iHHHB2MD2FAtwyyocFgqGQn6ADyI/edit?usp=sharing"",""กระบี่!S101"")+IMPORTRANGE(""https://docs.google.com/spreadsheets/d/1GwtLaSlNZkLk7iDqcyZz22giiy40b_usZZBXYciEN1U/edit?usp=sharing"",""ชุ"&amp;"มพร!S101"")+IMPORTRANGE(""https://docs.google.com/spreadsheets/d/16pAz3pOhQEZBhvFNMa5KGgZS6iKWpsKX0pg6tQmwFpo/edit?usp=sharing"",""ตรัง!S101"")+IMPORTRANGE(""https://docs.google.com/spreadsheets/d/1Dj4jcHCTV9JXKCaMoheSXS52JE63kDKyG7bPXnFogHk/edit?usp=shar"&amp;"ing"",""นครศรีธรรมราช!S101"")+IMPORTRANGE(""https://docs.google.com/spreadsheets/d/1iodCdmuK2GR3jzUwk8tpccY2JHQQA-87DLOtJP-ooyU/edit?usp=sharing"",""นราธิวาส!S101"")+IMPORTRANGE(""https://docs.google.com/spreadsheets/d/1SDNX3JhDdYRuIOsj0Wh2M-Qa_eaXl0NbWmh"&amp;"AOTbfQAs/edit?usp=sharing"",""ปัตตานี!S101"")+IMPORTRANGE(""https://docs.google.com/spreadsheets/d/16JDLGguT8s5DsGCND1KcwHP_AWR_zDMTqLHPLJUKhaU/edit?usp=sharing"",""พังงา!S101"")+IMPORTRANGE(""https://docs.google.com/spreadsheets/d/17ht0gPKzzT3PObBL1XJkeR"&amp;"mntBXI7wGjpLV7QorqlTk/edit?usp=sharing"",""พัทลุง!S101"")+IMPORTRANGE(""https://docs.google.com/spreadsheets/d/1rd4qoM1q_hsgaolqNGfrim9gbsoLxQsda4-vOz5x_BM/edit?usp=sharing"",""ภูเก็ต!S101"")+IMPORTRANGE(""https://docs.google.com/spreadsheets/d/1woKwKjgoL"&amp;"ssDvPcPeVyezB5izizAn4X1JDrys69n6xI/edit?usp=sharing"",""ยะลา!S101"")+IMPORTRANGE(""https://docs.google.com/spreadsheets/d/1qfrKjzMhm2HJfxQ-qVlJlJQ25Hne1d0khsySbZyGtPA/edit?usp=sharing"",""ระนอง!S101"")+IMPORTRANGE(""https://docs.google.com/spreadsheets/d/"&amp;"1IbSCnFOKpZsnFogBHJnL_isstZVaOMnFiIN0fGTPZZw/edit?usp=sharing"",""สงขลา!S101"")+IMPORTRANGE(""https://docs.google.com/spreadsheets/d/1q9nWasZJ-K8bFGvbE9n0qSRuKGA4Toe3Y89cKCiVtCU/edit?usp=sharing"",""สตูล!S101"")+IMPORTRANGE(""https://docs.google.com/sprea"&amp;"dsheets/d/18T20gbkS_WBjdscyTOV05cvq_JqvqQ17C81mpxf7Ncs/edit?usp=sharing"",""สุราษฎร์ธานี!S101"")"),0)</f>
        <v>0</v>
      </c>
      <c r="T101" s="49">
        <f t="shared" ca="1" si="77"/>
        <v>0</v>
      </c>
      <c r="U101" s="49">
        <f t="shared" ca="1" si="78"/>
        <v>0</v>
      </c>
    </row>
    <row r="102" spans="1:21" ht="18.75" hidden="1" x14ac:dyDescent="0.25">
      <c r="A102" s="128"/>
      <c r="B102" s="159"/>
      <c r="C102" s="159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7">
        <f ca="1">IFERROR(__xludf.DUMMYFUNCTION("IMPORTRANGE(""https://docs.google.com/spreadsheets/d/1kKUcYdkIfrgTSj8iHHHB2MD2FAtwyyocFgqGQn6ADyI/edit?usp=sharing"",""กระบี่!L102"")+IMPORTRANGE(""https://docs.google.com/spreadsheets/d/1GwtLaSlNZkLk7iDqcyZz22giiy40b_usZZBXYciEN1U/edit?usp=sharing"",""ชุ"&amp;"มพร!L102"")+IMPORTRANGE(""https://docs.google.com/spreadsheets/d/16pAz3pOhQEZBhvFNMa5KGgZS6iKWpsKX0pg6tQmwFpo/edit?usp=sharing"",""ตรัง!L102"")+IMPORTRANGE(""https://docs.google.com/spreadsheets/d/1Dj4jcHCTV9JXKCaMoheSXS52JE63kDKyG7bPXnFogHk/edit?usp=shar"&amp;"ing"",""นครศรีธรรมราช!L102"")+IMPORTRANGE(""https://docs.google.com/spreadsheets/d/1iodCdmuK2GR3jzUwk8tpccY2JHQQA-87DLOtJP-ooyU/edit?usp=sharing"",""นราธิวาส!L102"")+IMPORTRANGE(""https://docs.google.com/spreadsheets/d/1SDNX3JhDdYRuIOsj0Wh2M-Qa_eaXl0NbWmh"&amp;"AOTbfQAs/edit?usp=sharing"",""ปัตตานี!L102"")+IMPORTRANGE(""https://docs.google.com/spreadsheets/d/16JDLGguT8s5DsGCND1KcwHP_AWR_zDMTqLHPLJUKhaU/edit?usp=sharing"",""พังงา!L102"")+IMPORTRANGE(""https://docs.google.com/spreadsheets/d/17ht0gPKzzT3PObBL1XJkeR"&amp;"mntBXI7wGjpLV7QorqlTk/edit?usp=sharing"",""พัทลุง!L102"")+IMPORTRANGE(""https://docs.google.com/spreadsheets/d/1rd4qoM1q_hsgaolqNGfrim9gbsoLxQsda4-vOz5x_BM/edit?usp=sharing"",""ภูเก็ต!L102"")+IMPORTRANGE(""https://docs.google.com/spreadsheets/d/1woKwKjgoL"&amp;"ssDvPcPeVyezB5izizAn4X1JDrys69n6xI/edit?usp=sharing"",""ยะลา!L102"")+IMPORTRANGE(""https://docs.google.com/spreadsheets/d/1qfrKjzMhm2HJfxQ-qVlJlJQ25Hne1d0khsySbZyGtPA/edit?usp=sharing"",""ระนอง!L102"")+IMPORTRANGE(""https://docs.google.com/spreadsheets/d/"&amp;"1IbSCnFOKpZsnFogBHJnL_isstZVaOMnFiIN0fGTPZZw/edit?usp=sharing"",""สงขลา!L102"")+IMPORTRANGE(""https://docs.google.com/spreadsheets/d/1q9nWasZJ-K8bFGvbE9n0qSRuKGA4Toe3Y89cKCiVtCU/edit?usp=sharing"",""สตูล!L102"")+IMPORTRANGE(""https://docs.google.com/sprea"&amp;"dsheets/d/18T20gbkS_WBjdscyTOV05cvq_JqvqQ17C81mpxf7Ncs/edit?usp=sharing"",""สุราษฎร์ธานี!L102"")"),0)</f>
        <v>0</v>
      </c>
      <c r="M102" s="47">
        <f ca="1">IFERROR(__xludf.DUMMYFUNCTION("IMPORTRANGE(""https://docs.google.com/spreadsheets/d/1kKUcYdkIfrgTSj8iHHHB2MD2FAtwyyocFgqGQn6ADyI/edit?usp=sharing"",""กระบี่!M102"")+IMPORTRANGE(""https://docs.google.com/spreadsheets/d/1GwtLaSlNZkLk7iDqcyZz22giiy40b_usZZBXYciEN1U/edit?usp=sharing"",""ชุ"&amp;"มพร!M102"")+IMPORTRANGE(""https://docs.google.com/spreadsheets/d/16pAz3pOhQEZBhvFNMa5KGgZS6iKWpsKX0pg6tQmwFpo/edit?usp=sharing"",""ตรัง!M102"")+IMPORTRANGE(""https://docs.google.com/spreadsheets/d/1Dj4jcHCTV9JXKCaMoheSXS52JE63kDKyG7bPXnFogHk/edit?usp=shar"&amp;"ing"",""นครศรีธรรมราช!M102"")+IMPORTRANGE(""https://docs.google.com/spreadsheets/d/1iodCdmuK2GR3jzUwk8tpccY2JHQQA-87DLOtJP-ooyU/edit?usp=sharing"",""นราธิวาส!M102"")+IMPORTRANGE(""https://docs.google.com/spreadsheets/d/1SDNX3JhDdYRuIOsj0Wh2M-Qa_eaXl0NbWmh"&amp;"AOTbfQAs/edit?usp=sharing"",""ปัตตานี!M102"")+IMPORTRANGE(""https://docs.google.com/spreadsheets/d/16JDLGguT8s5DsGCND1KcwHP_AWR_zDMTqLHPLJUKhaU/edit?usp=sharing"",""พังงา!M102"")+IMPORTRANGE(""https://docs.google.com/spreadsheets/d/17ht0gPKzzT3PObBL1XJkeR"&amp;"mntBXI7wGjpLV7QorqlTk/edit?usp=sharing"",""พัทลุง!M102"")+IMPORTRANGE(""https://docs.google.com/spreadsheets/d/1rd4qoM1q_hsgaolqNGfrim9gbsoLxQsda4-vOz5x_BM/edit?usp=sharing"",""ภูเก็ต!M102"")+IMPORTRANGE(""https://docs.google.com/spreadsheets/d/1woKwKjgoL"&amp;"ssDvPcPeVyezB5izizAn4X1JDrys69n6xI/edit?usp=sharing"",""ยะลา!M102"")+IMPORTRANGE(""https://docs.google.com/spreadsheets/d/1qfrKjzMhm2HJfxQ-qVlJlJQ25Hne1d0khsySbZyGtPA/edit?usp=sharing"",""ระนอง!M102"")+IMPORTRANGE(""https://docs.google.com/spreadsheets/d/"&amp;"1IbSCnFOKpZsnFogBHJnL_isstZVaOMnFiIN0fGTPZZw/edit?usp=sharing"",""สงขลา!M102"")+IMPORTRANGE(""https://docs.google.com/spreadsheets/d/1q9nWasZJ-K8bFGvbE9n0qSRuKGA4Toe3Y89cKCiVtCU/edit?usp=sharing"",""สตูล!M102"")+IMPORTRANGE(""https://docs.google.com/sprea"&amp;"dsheets/d/18T20gbkS_WBjdscyTOV05cvq_JqvqQ17C81mpxf7Ncs/edit?usp=sharing"",""สุราษฎร์ธานี!M102"")"),0)</f>
        <v>0</v>
      </c>
      <c r="N102" s="47">
        <f ca="1">IFERROR(__xludf.DUMMYFUNCTION("IMPORTRANGE(""https://docs.google.com/spreadsheets/d/1kKUcYdkIfrgTSj8iHHHB2MD2FAtwyyocFgqGQn6ADyI/edit?usp=sharing"",""กระบี่!N102"")+IMPORTRANGE(""https://docs.google.com/spreadsheets/d/1GwtLaSlNZkLk7iDqcyZz22giiy40b_usZZBXYciEN1U/edit?usp=sharing"",""ชุ"&amp;"มพร!N102"")+IMPORTRANGE(""https://docs.google.com/spreadsheets/d/16pAz3pOhQEZBhvFNMa5KGgZS6iKWpsKX0pg6tQmwFpo/edit?usp=sharing"",""ตรัง!N102"")+IMPORTRANGE(""https://docs.google.com/spreadsheets/d/1Dj4jcHCTV9JXKCaMoheSXS52JE63kDKyG7bPXnFogHk/edit?usp=shar"&amp;"ing"",""นครศรีธรรมราช!N102"")+IMPORTRANGE(""https://docs.google.com/spreadsheets/d/1iodCdmuK2GR3jzUwk8tpccY2JHQQA-87DLOtJP-ooyU/edit?usp=sharing"",""นราธิวาส!N102"")+IMPORTRANGE(""https://docs.google.com/spreadsheets/d/1SDNX3JhDdYRuIOsj0Wh2M-Qa_eaXl0NbWmh"&amp;"AOTbfQAs/edit?usp=sharing"",""ปัตตานี!N102"")+IMPORTRANGE(""https://docs.google.com/spreadsheets/d/16JDLGguT8s5DsGCND1KcwHP_AWR_zDMTqLHPLJUKhaU/edit?usp=sharing"",""พังงา!N102"")+IMPORTRANGE(""https://docs.google.com/spreadsheets/d/17ht0gPKzzT3PObBL1XJkeR"&amp;"mntBXI7wGjpLV7QorqlTk/edit?usp=sharing"",""พัทลุง!N102"")+IMPORTRANGE(""https://docs.google.com/spreadsheets/d/1rd4qoM1q_hsgaolqNGfrim9gbsoLxQsda4-vOz5x_BM/edit?usp=sharing"",""ภูเก็ต!N102"")+IMPORTRANGE(""https://docs.google.com/spreadsheets/d/1woKwKjgoL"&amp;"ssDvPcPeVyezB5izizAn4X1JDrys69n6xI/edit?usp=sharing"",""ยะลา!N102"")+IMPORTRANGE(""https://docs.google.com/spreadsheets/d/1qfrKjzMhm2HJfxQ-qVlJlJQ25Hne1d0khsySbZyGtPA/edit?usp=sharing"",""ระนอง!N102"")+IMPORTRANGE(""https://docs.google.com/spreadsheets/d/"&amp;"1IbSCnFOKpZsnFogBHJnL_isstZVaOMnFiIN0fGTPZZw/edit?usp=sharing"",""สงขลา!N102"")+IMPORTRANGE(""https://docs.google.com/spreadsheets/d/1q9nWasZJ-K8bFGvbE9n0qSRuKGA4Toe3Y89cKCiVtCU/edit?usp=sharing"",""สตูล!N102"")+IMPORTRANGE(""https://docs.google.com/sprea"&amp;"dsheets/d/18T20gbkS_WBjdscyTOV05cvq_JqvqQ17C81mpxf7Ncs/edit?usp=sharing"",""สุราษฎร์ธานี!N102"")"),0)</f>
        <v>0</v>
      </c>
      <c r="O102" s="47">
        <f t="shared" ca="1" si="74"/>
        <v>0</v>
      </c>
      <c r="P102" s="47">
        <f t="shared" ca="1" si="75"/>
        <v>0</v>
      </c>
      <c r="Q102" s="47">
        <f ca="1">IFERROR(__xludf.DUMMYFUNCTION("IMPORTRANGE(""https://docs.google.com/spreadsheets/d/1kKUcYdkIfrgTSj8iHHHB2MD2FAtwyyocFgqGQn6ADyI/edit?usp=sharing"",""กระบี่!Q102"")+IMPORTRANGE(""https://docs.google.com/spreadsheets/d/1GwtLaSlNZkLk7iDqcyZz22giiy40b_usZZBXYciEN1U/edit?usp=sharing"",""ชุ"&amp;"มพร!Q102"")+IMPORTRANGE(""https://docs.google.com/spreadsheets/d/16pAz3pOhQEZBhvFNMa5KGgZS6iKWpsKX0pg6tQmwFpo/edit?usp=sharing"",""ตรัง!Q102"")+IMPORTRANGE(""https://docs.google.com/spreadsheets/d/1Dj4jcHCTV9JXKCaMoheSXS52JE63kDKyG7bPXnFogHk/edit?usp=shar"&amp;"ing"",""นครศรีธรรมราช!Q102"")+IMPORTRANGE(""https://docs.google.com/spreadsheets/d/1iodCdmuK2GR3jzUwk8tpccY2JHQQA-87DLOtJP-ooyU/edit?usp=sharing"",""นราธิวาส!Q102"")+IMPORTRANGE(""https://docs.google.com/spreadsheets/d/1SDNX3JhDdYRuIOsj0Wh2M-Qa_eaXl0NbWmh"&amp;"AOTbfQAs/edit?usp=sharing"",""ปัตตานี!Q102"")+IMPORTRANGE(""https://docs.google.com/spreadsheets/d/16JDLGguT8s5DsGCND1KcwHP_AWR_zDMTqLHPLJUKhaU/edit?usp=sharing"",""พังงา!Q102"")+IMPORTRANGE(""https://docs.google.com/spreadsheets/d/17ht0gPKzzT3PObBL1XJkeR"&amp;"mntBXI7wGjpLV7QorqlTk/edit?usp=sharing"",""พัทลุง!Q102"")+IMPORTRANGE(""https://docs.google.com/spreadsheets/d/1rd4qoM1q_hsgaolqNGfrim9gbsoLxQsda4-vOz5x_BM/edit?usp=sharing"",""ภูเก็ต!Q102"")+IMPORTRANGE(""https://docs.google.com/spreadsheets/d/1woKwKjgoL"&amp;"ssDvPcPeVyezB5izizAn4X1JDrys69n6xI/edit?usp=sharing"",""ยะลา!Q102"")+IMPORTRANGE(""https://docs.google.com/spreadsheets/d/1qfrKjzMhm2HJfxQ-qVlJlJQ25Hne1d0khsySbZyGtPA/edit?usp=sharing"",""ระนอง!Q102"")+IMPORTRANGE(""https://docs.google.com/spreadsheets/d/"&amp;"1IbSCnFOKpZsnFogBHJnL_isstZVaOMnFiIN0fGTPZZw/edit?usp=sharing"",""สงขลา!Q102"")+IMPORTRANGE(""https://docs.google.com/spreadsheets/d/1q9nWasZJ-K8bFGvbE9n0qSRuKGA4Toe3Y89cKCiVtCU/edit?usp=sharing"",""สตูล!Q102"")+IMPORTRANGE(""https://docs.google.com/sprea"&amp;"dsheets/d/18T20gbkS_WBjdscyTOV05cvq_JqvqQ17C81mpxf7Ncs/edit?usp=sharing"",""สุราษฎร์ธานี!Q102"")"),0)</f>
        <v>0</v>
      </c>
      <c r="R102" s="47">
        <f ca="1">IFERROR(__xludf.DUMMYFUNCTION("IMPORTRANGE(""https://docs.google.com/spreadsheets/d/1kKUcYdkIfrgTSj8iHHHB2MD2FAtwyyocFgqGQn6ADyI/edit?usp=sharing"",""กระบี่!R102"")+IMPORTRANGE(""https://docs.google.com/spreadsheets/d/1GwtLaSlNZkLk7iDqcyZz22giiy40b_usZZBXYciEN1U/edit?usp=sharing"",""ชุ"&amp;"มพร!R102"")+IMPORTRANGE(""https://docs.google.com/spreadsheets/d/16pAz3pOhQEZBhvFNMa5KGgZS6iKWpsKX0pg6tQmwFpo/edit?usp=sharing"",""ตรัง!R102"")+IMPORTRANGE(""https://docs.google.com/spreadsheets/d/1Dj4jcHCTV9JXKCaMoheSXS52JE63kDKyG7bPXnFogHk/edit?usp=shar"&amp;"ing"",""นครศรีธรรมราช!R102"")+IMPORTRANGE(""https://docs.google.com/spreadsheets/d/1iodCdmuK2GR3jzUwk8tpccY2JHQQA-87DLOtJP-ooyU/edit?usp=sharing"",""นราธิวาส!R102"")+IMPORTRANGE(""https://docs.google.com/spreadsheets/d/1SDNX3JhDdYRuIOsj0Wh2M-Qa_eaXl0NbWmh"&amp;"AOTbfQAs/edit?usp=sharing"",""ปัตตานี!R102"")+IMPORTRANGE(""https://docs.google.com/spreadsheets/d/16JDLGguT8s5DsGCND1KcwHP_AWR_zDMTqLHPLJUKhaU/edit?usp=sharing"",""พังงา!R102"")+IMPORTRANGE(""https://docs.google.com/spreadsheets/d/17ht0gPKzzT3PObBL1XJkeR"&amp;"mntBXI7wGjpLV7QorqlTk/edit?usp=sharing"",""พัทลุง!R102"")+IMPORTRANGE(""https://docs.google.com/spreadsheets/d/1rd4qoM1q_hsgaolqNGfrim9gbsoLxQsda4-vOz5x_BM/edit?usp=sharing"",""ภูเก็ต!R102"")+IMPORTRANGE(""https://docs.google.com/spreadsheets/d/1woKwKjgoL"&amp;"ssDvPcPeVyezB5izizAn4X1JDrys69n6xI/edit?usp=sharing"",""ยะลา!R102"")+IMPORTRANGE(""https://docs.google.com/spreadsheets/d/1qfrKjzMhm2HJfxQ-qVlJlJQ25Hne1d0khsySbZyGtPA/edit?usp=sharing"",""ระนอง!R102"")+IMPORTRANGE(""https://docs.google.com/spreadsheets/d/"&amp;"1IbSCnFOKpZsnFogBHJnL_isstZVaOMnFiIN0fGTPZZw/edit?usp=sharing"",""สงขลา!R102"")+IMPORTRANGE(""https://docs.google.com/spreadsheets/d/1q9nWasZJ-K8bFGvbE9n0qSRuKGA4Toe3Y89cKCiVtCU/edit?usp=sharing"",""สตูล!R102"")+IMPORTRANGE(""https://docs.google.com/sprea"&amp;"dsheets/d/18T20gbkS_WBjdscyTOV05cvq_JqvqQ17C81mpxf7Ncs/edit?usp=sharing"",""สุราษฎร์ธานี!R102"")"),0)</f>
        <v>0</v>
      </c>
      <c r="S102" s="47">
        <f ca="1">IFERROR(__xludf.DUMMYFUNCTION("IMPORTRANGE(""https://docs.google.com/spreadsheets/d/1kKUcYdkIfrgTSj8iHHHB2MD2FAtwyyocFgqGQn6ADyI/edit?usp=sharing"",""กระบี่!S102"")+IMPORTRANGE(""https://docs.google.com/spreadsheets/d/1GwtLaSlNZkLk7iDqcyZz22giiy40b_usZZBXYciEN1U/edit?usp=sharing"",""ชุ"&amp;"มพร!S102"")+IMPORTRANGE(""https://docs.google.com/spreadsheets/d/16pAz3pOhQEZBhvFNMa5KGgZS6iKWpsKX0pg6tQmwFpo/edit?usp=sharing"",""ตรัง!S102"")+IMPORTRANGE(""https://docs.google.com/spreadsheets/d/1Dj4jcHCTV9JXKCaMoheSXS52JE63kDKyG7bPXnFogHk/edit?usp=shar"&amp;"ing"",""นครศรีธรรมราช!S102"")+IMPORTRANGE(""https://docs.google.com/spreadsheets/d/1iodCdmuK2GR3jzUwk8tpccY2JHQQA-87DLOtJP-ooyU/edit?usp=sharing"",""นราธิวาส!S102"")+IMPORTRANGE(""https://docs.google.com/spreadsheets/d/1SDNX3JhDdYRuIOsj0Wh2M-Qa_eaXl0NbWmh"&amp;"AOTbfQAs/edit?usp=sharing"",""ปัตตานี!S102"")+IMPORTRANGE(""https://docs.google.com/spreadsheets/d/16JDLGguT8s5DsGCND1KcwHP_AWR_zDMTqLHPLJUKhaU/edit?usp=sharing"",""พังงา!S102"")+IMPORTRANGE(""https://docs.google.com/spreadsheets/d/17ht0gPKzzT3PObBL1XJkeR"&amp;"mntBXI7wGjpLV7QorqlTk/edit?usp=sharing"",""พัทลุง!S102"")+IMPORTRANGE(""https://docs.google.com/spreadsheets/d/1rd4qoM1q_hsgaolqNGfrim9gbsoLxQsda4-vOz5x_BM/edit?usp=sharing"",""ภูเก็ต!S102"")+IMPORTRANGE(""https://docs.google.com/spreadsheets/d/1woKwKjgoL"&amp;"ssDvPcPeVyezB5izizAn4X1JDrys69n6xI/edit?usp=sharing"",""ยะลา!S102"")+IMPORTRANGE(""https://docs.google.com/spreadsheets/d/1qfrKjzMhm2HJfxQ-qVlJlJQ25Hne1d0khsySbZyGtPA/edit?usp=sharing"",""ระนอง!S102"")+IMPORTRANGE(""https://docs.google.com/spreadsheets/d/"&amp;"1IbSCnFOKpZsnFogBHJnL_isstZVaOMnFiIN0fGTPZZw/edit?usp=sharing"",""สงขลา!S102"")+IMPORTRANGE(""https://docs.google.com/spreadsheets/d/1q9nWasZJ-K8bFGvbE9n0qSRuKGA4Toe3Y89cKCiVtCU/edit?usp=sharing"",""สตูล!S102"")+IMPORTRANGE(""https://docs.google.com/sprea"&amp;"dsheets/d/18T20gbkS_WBjdscyTOV05cvq_JqvqQ17C81mpxf7Ncs/edit?usp=sharing"",""สุราษฎร์ธานี!S102"")"),0)</f>
        <v>0</v>
      </c>
      <c r="T102" s="47">
        <f t="shared" ca="1" si="77"/>
        <v>0</v>
      </c>
      <c r="U102" s="47">
        <f t="shared" ca="1" si="78"/>
        <v>0</v>
      </c>
    </row>
    <row r="103" spans="1:21" ht="19.5" x14ac:dyDescent="0.3">
      <c r="A103" s="138"/>
      <c r="B103" s="139"/>
      <c r="C103" s="162" t="s">
        <v>18</v>
      </c>
      <c r="D103" s="140" t="s">
        <v>38</v>
      </c>
      <c r="E103" s="141"/>
      <c r="F103" s="141"/>
      <c r="G103" s="142"/>
      <c r="H103" s="143"/>
      <c r="I103" s="135"/>
      <c r="J103" s="45"/>
      <c r="K103" s="46"/>
      <c r="L103" s="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kKUcYdkIfrgTSj8iHHHB2MD2FAtwyyocFgqGQn6ADyI/edit?usp=sharing"",""กระบี่!I108"")+IMPORTRANGE(""https://docs.google.com/spreadsheets/d/1GwtLaSlNZkLk7iDqcyZz22giiy40b_usZZBXYciEN1U/edit?usp=sharing"",""ชุ"&amp;"มพร!I108"")+IMPORTRANGE(""https://docs.google.com/spreadsheets/d/16pAz3pOhQEZBhvFNMa5KGgZS6iKWpsKX0pg6tQmwFpo/edit?usp=sharing"",""ตรัง!I108"")+IMPORTRANGE(""https://docs.google.com/spreadsheets/d/1Dj4jcHCTV9JXKCaMoheSXS52JE63kDKyG7bPXnFogHk/edit?usp=shar"&amp;"ing"",""นครศรีธรรมราช!I108"")+IMPORTRANGE(""https://docs.google.com/spreadsheets/d/1iodCdmuK2GR3jzUwk8tpccY2JHQQA-87DLOtJP-ooyU/edit?usp=sharing"",""นราธิวาส!I108"")+IMPORTRANGE(""https://docs.google.com/spreadsheets/d/1SDNX3JhDdYRuIOsj0Wh2M-Qa_eaXl0NbWmh"&amp;"AOTbfQAs/edit?usp=sharing"",""ปัตตานี!I108"")+IMPORTRANGE(""https://docs.google.com/spreadsheets/d/16JDLGguT8s5DsGCND1KcwHP_AWR_zDMTqLHPLJUKhaU/edit?usp=sharing"",""พังงา!I108"")+IMPORTRANGE(""https://docs.google.com/spreadsheets/d/17ht0gPKzzT3PObBL1XJkeR"&amp;"mntBXI7wGjpLV7QorqlTk/edit?usp=sharing"",""พัทลุง!I108"")+IMPORTRANGE(""https://docs.google.com/spreadsheets/d/1rd4qoM1q_hsgaolqNGfrim9gbsoLxQsda4-vOz5x_BM/edit?usp=sharing"",""ภูเก็ต!I108"")+IMPORTRANGE(""https://docs.google.com/spreadsheets/d/1woKwKjgoL"&amp;"ssDvPcPeVyezB5izizAn4X1JDrys69n6xI/edit?usp=sharing"",""ยะลา!I108"")+IMPORTRANGE(""https://docs.google.com/spreadsheets/d/1qfrKjzMhm2HJfxQ-qVlJlJQ25Hne1d0khsySbZyGtPA/edit?usp=sharing"",""ระนอง!I108"")+IMPORTRANGE(""https://docs.google.com/spreadsheets/d/"&amp;"1IbSCnFOKpZsnFogBHJnL_isstZVaOMnFiIN0fGTPZZw/edit?usp=sharing"",""สงขลา!I108"")+IMPORTRANGE(""https://docs.google.com/spreadsheets/d/1q9nWasZJ-K8bFGvbE9n0qSRuKGA4Toe3Y89cKCiVtCU/edit?usp=sharing"",""สตูล!I108"")+IMPORTRANGE(""https://docs.google.com/sprea"&amp;"dsheets/d/18T20gbkS_WBjdscyTOV05cvq_JqvqQ17C81mpxf7Ncs/edit?usp=sharing"",""สุราษฎร์ธานี!I108"")"),297)</f>
        <v>297</v>
      </c>
      <c r="J108" s="167">
        <f ca="1">IFERROR(__xludf.DUMMYFUNCTION("IMPORTRANGE(""https://docs.google.com/spreadsheets/d/1kKUcYdkIfrgTSj8iHHHB2MD2FAtwyyocFgqGQn6ADyI/edit?usp=sharing"",""กระบี่!J108"")+IMPORTRANGE(""https://docs.google.com/spreadsheets/d/1GwtLaSlNZkLk7iDqcyZz22giiy40b_usZZBXYciEN1U/edit?usp=sharing"",""ชุ"&amp;"มพร!J108"")+IMPORTRANGE(""https://docs.google.com/spreadsheets/d/16pAz3pOhQEZBhvFNMa5KGgZS6iKWpsKX0pg6tQmwFpo/edit?usp=sharing"",""ตรัง!J108"")+IMPORTRANGE(""https://docs.google.com/spreadsheets/d/1Dj4jcHCTV9JXKCaMoheSXS52JE63kDKyG7bPXnFogHk/edit?usp=shar"&amp;"ing"",""นครศรีธรรมราช!J108"")+IMPORTRANGE(""https://docs.google.com/spreadsheets/d/1iodCdmuK2GR3jzUwk8tpccY2JHQQA-87DLOtJP-ooyU/edit?usp=sharing"",""นราธิวาส!J108"")+IMPORTRANGE(""https://docs.google.com/spreadsheets/d/1SDNX3JhDdYRuIOsj0Wh2M-Qa_eaXl0NbWmh"&amp;"AOTbfQAs/edit?usp=sharing"",""ปัตตานี!J108"")+IMPORTRANGE(""https://docs.google.com/spreadsheets/d/16JDLGguT8s5DsGCND1KcwHP_AWR_zDMTqLHPLJUKhaU/edit?usp=sharing"",""พังงา!J108"")+IMPORTRANGE(""https://docs.google.com/spreadsheets/d/17ht0gPKzzT3PObBL1XJkeR"&amp;"mntBXI7wGjpLV7QorqlTk/edit?usp=sharing"",""พัทลุง!J108"")+IMPORTRANGE(""https://docs.google.com/spreadsheets/d/1rd4qoM1q_hsgaolqNGfrim9gbsoLxQsda4-vOz5x_BM/edit?usp=sharing"",""ภูเก็ต!J108"")+IMPORTRANGE(""https://docs.google.com/spreadsheets/d/1woKwKjgoL"&amp;"ssDvPcPeVyezB5izizAn4X1JDrys69n6xI/edit?usp=sharing"",""ยะลา!J108"")+IMPORTRANGE(""https://docs.google.com/spreadsheets/d/1qfrKjzMhm2HJfxQ-qVlJlJQ25Hne1d0khsySbZyGtPA/edit?usp=sharing"",""ระนอง!J108"")+IMPORTRANGE(""https://docs.google.com/spreadsheets/d/"&amp;"1IbSCnFOKpZsnFogBHJnL_isstZVaOMnFiIN0fGTPZZw/edit?usp=sharing"",""สงขลา!J108"")+IMPORTRANGE(""https://docs.google.com/spreadsheets/d/1q9nWasZJ-K8bFGvbE9n0qSRuKGA4Toe3Y89cKCiVtCU/edit?usp=sharing"",""สตูล!J108"")+IMPORTRANGE(""https://docs.google.com/sprea"&amp;"dsheets/d/18T20gbkS_WBjdscyTOV05cvq_JqvqQ17C81mpxf7Ncs/edit?usp=sharing"",""สุราษฎร์ธานี!J108"")"),207)</f>
        <v>207</v>
      </c>
      <c r="K108" s="47">
        <f t="shared" ref="K108:K109" ca="1" si="87">IF(I108&gt;0,J108*100/I108,0)</f>
        <v>69.696969696969703</v>
      </c>
      <c r="L108" s="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kKUcYdkIfrgTSj8iHHHB2MD2FAtwyyocFgqGQn6ADyI/edit?usp=sharing"",""กระบี่!I109"")+IMPORTRANGE(""https://docs.google.com/spreadsheets/d/1GwtLaSlNZkLk7iDqcyZz22giiy40b_usZZBXYciEN1U/edit?usp=sharing"",""ชุ"&amp;"มพร!I109"")+IMPORTRANGE(""https://docs.google.com/spreadsheets/d/16pAz3pOhQEZBhvFNMa5KGgZS6iKWpsKX0pg6tQmwFpo/edit?usp=sharing"",""ตรัง!I109"")+IMPORTRANGE(""https://docs.google.com/spreadsheets/d/1Dj4jcHCTV9JXKCaMoheSXS52JE63kDKyG7bPXnFogHk/edit?usp=shar"&amp;"ing"",""นครศรีธรรมราช!I109"")+IMPORTRANGE(""https://docs.google.com/spreadsheets/d/1iodCdmuK2GR3jzUwk8tpccY2JHQQA-87DLOtJP-ooyU/edit?usp=sharing"",""นราธิวาส!I109"")+IMPORTRANGE(""https://docs.google.com/spreadsheets/d/1SDNX3JhDdYRuIOsj0Wh2M-Qa_eaXl0NbWmh"&amp;"AOTbfQAs/edit?usp=sharing"",""ปัตตานี!I109"")+IMPORTRANGE(""https://docs.google.com/spreadsheets/d/16JDLGguT8s5DsGCND1KcwHP_AWR_zDMTqLHPLJUKhaU/edit?usp=sharing"",""พังงา!I109"")+IMPORTRANGE(""https://docs.google.com/spreadsheets/d/17ht0gPKzzT3PObBL1XJkeR"&amp;"mntBXI7wGjpLV7QorqlTk/edit?usp=sharing"",""พัทลุง!I109"")+IMPORTRANGE(""https://docs.google.com/spreadsheets/d/1rd4qoM1q_hsgaolqNGfrim9gbsoLxQsda4-vOz5x_BM/edit?usp=sharing"",""ภูเก็ต!I109"")+IMPORTRANGE(""https://docs.google.com/spreadsheets/d/1woKwKjgoL"&amp;"ssDvPcPeVyezB5izizAn4X1JDrys69n6xI/edit?usp=sharing"",""ยะลา!I109"")+IMPORTRANGE(""https://docs.google.com/spreadsheets/d/1qfrKjzMhm2HJfxQ-qVlJlJQ25Hne1d0khsySbZyGtPA/edit?usp=sharing"",""ระนอง!I109"")+IMPORTRANGE(""https://docs.google.com/spreadsheets/d/"&amp;"1IbSCnFOKpZsnFogBHJnL_isstZVaOMnFiIN0fGTPZZw/edit?usp=sharing"",""สงขลา!I109"")+IMPORTRANGE(""https://docs.google.com/spreadsheets/d/1q9nWasZJ-K8bFGvbE9n0qSRuKGA4Toe3Y89cKCiVtCU/edit?usp=sharing"",""สตูล!I109"")+IMPORTRANGE(""https://docs.google.com/sprea"&amp;"dsheets/d/18T20gbkS_WBjdscyTOV05cvq_JqvqQ17C81mpxf7Ncs/edit?usp=sharing"",""สุราษฎร์ธานี!I109"")"),99)</f>
        <v>99</v>
      </c>
      <c r="J109" s="167">
        <f ca="1">IFERROR(__xludf.DUMMYFUNCTION("IMPORTRANGE(""https://docs.google.com/spreadsheets/d/1kKUcYdkIfrgTSj8iHHHB2MD2FAtwyyocFgqGQn6ADyI/edit?usp=sharing"",""กระบี่!J109"")+IMPORTRANGE(""https://docs.google.com/spreadsheets/d/1GwtLaSlNZkLk7iDqcyZz22giiy40b_usZZBXYciEN1U/edit?usp=sharing"",""ชุ"&amp;"มพร!J109"")+IMPORTRANGE(""https://docs.google.com/spreadsheets/d/16pAz3pOhQEZBhvFNMa5KGgZS6iKWpsKX0pg6tQmwFpo/edit?usp=sharing"",""ตรัง!J109"")+IMPORTRANGE(""https://docs.google.com/spreadsheets/d/1Dj4jcHCTV9JXKCaMoheSXS52JE63kDKyG7bPXnFogHk/edit?usp=shar"&amp;"ing"",""นครศรีธรรมราช!J109"")+IMPORTRANGE(""https://docs.google.com/spreadsheets/d/1iodCdmuK2GR3jzUwk8tpccY2JHQQA-87DLOtJP-ooyU/edit?usp=sharing"",""นราธิวาส!J109"")+IMPORTRANGE(""https://docs.google.com/spreadsheets/d/1SDNX3JhDdYRuIOsj0Wh2M-Qa_eaXl0NbWmh"&amp;"AOTbfQAs/edit?usp=sharing"",""ปัตตานี!J109"")+IMPORTRANGE(""https://docs.google.com/spreadsheets/d/16JDLGguT8s5DsGCND1KcwHP_AWR_zDMTqLHPLJUKhaU/edit?usp=sharing"",""พังงา!J109"")+IMPORTRANGE(""https://docs.google.com/spreadsheets/d/17ht0gPKzzT3PObBL1XJkeR"&amp;"mntBXI7wGjpLV7QorqlTk/edit?usp=sharing"",""พัทลุง!J109"")+IMPORTRANGE(""https://docs.google.com/spreadsheets/d/1rd4qoM1q_hsgaolqNGfrim9gbsoLxQsda4-vOz5x_BM/edit?usp=sharing"",""ภูเก็ต!J109"")+IMPORTRANGE(""https://docs.google.com/spreadsheets/d/1woKwKjgoL"&amp;"ssDvPcPeVyezB5izizAn4X1JDrys69n6xI/edit?usp=sharing"",""ยะลา!J109"")+IMPORTRANGE(""https://docs.google.com/spreadsheets/d/1qfrKjzMhm2HJfxQ-qVlJlJQ25Hne1d0khsySbZyGtPA/edit?usp=sharing"",""ระนอง!J109"")+IMPORTRANGE(""https://docs.google.com/spreadsheets/d/"&amp;"1IbSCnFOKpZsnFogBHJnL_isstZVaOMnFiIN0fGTPZZw/edit?usp=sharing"",""สงขลา!J109"")+IMPORTRANGE(""https://docs.google.com/spreadsheets/d/1q9nWasZJ-K8bFGvbE9n0qSRuKGA4Toe3Y89cKCiVtCU/edit?usp=sharing"",""สตูล!J109"")+IMPORTRANGE(""https://docs.google.com/sprea"&amp;"dsheets/d/18T20gbkS_WBjdscyTOV05cvq_JqvqQ17C81mpxf7Ncs/edit?usp=sharing"",""สุราษฎร์ธานี!J109"")"),69)</f>
        <v>69</v>
      </c>
      <c r="K109" s="47">
        <f t="shared" ca="1" si="87"/>
        <v>69.696969696969703</v>
      </c>
      <c r="L109" s="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64"/>
      <c r="E112" s="19"/>
      <c r="F112" s="19"/>
      <c r="G112" s="20"/>
      <c r="H112" s="20"/>
      <c r="I112" s="21"/>
      <c r="J112" s="21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170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kKUcYdkIfrgTSj8iHHHB2MD2FAtwyyocFgqGQn6ADyI/edit?usp=sharing"",""กระบี่!I113"")+IMPORTRANGE(""https://docs.google.com/spreadsheets/d/1GwtLaSlNZkLk7iDqcyZz22giiy40b_usZZBXYciEN1U/edit?usp=sharing"",""ชุ"&amp;"มพร!I113"")+IMPORTRANGE(""https://docs.google.com/spreadsheets/d/16pAz3pOhQEZBhvFNMa5KGgZS6iKWpsKX0pg6tQmwFpo/edit?usp=sharing"",""ตรัง!I113"")+IMPORTRANGE(""https://docs.google.com/spreadsheets/d/1Dj4jcHCTV9JXKCaMoheSXS52JE63kDKyG7bPXnFogHk/edit?usp=shar"&amp;"ing"",""นครศรีธรรมราช!I113"")+IMPORTRANGE(""https://docs.google.com/spreadsheets/d/1iodCdmuK2GR3jzUwk8tpccY2JHQQA-87DLOtJP-ooyU/edit?usp=sharing"",""นราธิวาส!I113"")+IMPORTRANGE(""https://docs.google.com/spreadsheets/d/1SDNX3JhDdYRuIOsj0Wh2M-Qa_eaXl0NbWmh"&amp;"AOTbfQAs/edit?usp=sharing"",""ปัตตานี!I113"")+IMPORTRANGE(""https://docs.google.com/spreadsheets/d/16JDLGguT8s5DsGCND1KcwHP_AWR_zDMTqLHPLJUKhaU/edit?usp=sharing"",""พังงา!I113"")+IMPORTRANGE(""https://docs.google.com/spreadsheets/d/17ht0gPKzzT3PObBL1XJkeR"&amp;"mntBXI7wGjpLV7QorqlTk/edit?usp=sharing"",""พัทลุง!I113"")+IMPORTRANGE(""https://docs.google.com/spreadsheets/d/1rd4qoM1q_hsgaolqNGfrim9gbsoLxQsda4-vOz5x_BM/edit?usp=sharing"",""ภูเก็ต!I113"")+IMPORTRANGE(""https://docs.google.com/spreadsheets/d/1woKwKjgoL"&amp;"ssDvPcPeVyezB5izizAn4X1JDrys69n6xI/edit?usp=sharing"",""ยะลา!I113"")+IMPORTRANGE(""https://docs.google.com/spreadsheets/d/1qfrKjzMhm2HJfxQ-qVlJlJQ25Hne1d0khsySbZyGtPA/edit?usp=sharing"",""ระนอง!I113"")+IMPORTRANGE(""https://docs.google.com/spreadsheets/d/"&amp;"1IbSCnFOKpZsnFogBHJnL_isstZVaOMnFiIN0fGTPZZw/edit?usp=sharing"",""สงขลา!I113"")+IMPORTRANGE(""https://docs.google.com/spreadsheets/d/1q9nWasZJ-K8bFGvbE9n0qSRuKGA4Toe3Y89cKCiVtCU/edit?usp=sharing"",""สตูล!I113"")+IMPORTRANGE(""https://docs.google.com/sprea"&amp;"dsheets/d/18T20gbkS_WBjdscyTOV05cvq_JqvqQ17C81mpxf7Ncs/edit?usp=sharing"",""สุราษฎร์ธานี!I113"")"),297)</f>
        <v>297</v>
      </c>
      <c r="J113" s="175">
        <f ca="1">IFERROR(__xludf.DUMMYFUNCTION("IMPORTRANGE(""https://docs.google.com/spreadsheets/d/1kKUcYdkIfrgTSj8iHHHB2MD2FAtwyyocFgqGQn6ADyI/edit?usp=sharing"",""กระบี่!J113"")+IMPORTRANGE(""https://docs.google.com/spreadsheets/d/1GwtLaSlNZkLk7iDqcyZz22giiy40b_usZZBXYciEN1U/edit?usp=sharing"",""ชุ"&amp;"มพร!J113"")+IMPORTRANGE(""https://docs.google.com/spreadsheets/d/16pAz3pOhQEZBhvFNMa5KGgZS6iKWpsKX0pg6tQmwFpo/edit?usp=sharing"",""ตรัง!J113"")+IMPORTRANGE(""https://docs.google.com/spreadsheets/d/1Dj4jcHCTV9JXKCaMoheSXS52JE63kDKyG7bPXnFogHk/edit?usp=shar"&amp;"ing"",""นครศรีธรรมราช!J113"")+IMPORTRANGE(""https://docs.google.com/spreadsheets/d/1iodCdmuK2GR3jzUwk8tpccY2JHQQA-87DLOtJP-ooyU/edit?usp=sharing"",""นราธิวาส!J113"")+IMPORTRANGE(""https://docs.google.com/spreadsheets/d/1SDNX3JhDdYRuIOsj0Wh2M-Qa_eaXl0NbWmh"&amp;"AOTbfQAs/edit?usp=sharing"",""ปัตตานี!J113"")+IMPORTRANGE(""https://docs.google.com/spreadsheets/d/16JDLGguT8s5DsGCND1KcwHP_AWR_zDMTqLHPLJUKhaU/edit?usp=sharing"",""พังงา!J113"")+IMPORTRANGE(""https://docs.google.com/spreadsheets/d/17ht0gPKzzT3PObBL1XJkeR"&amp;"mntBXI7wGjpLV7QorqlTk/edit?usp=sharing"",""พัทลุง!J113"")+IMPORTRANGE(""https://docs.google.com/spreadsheets/d/1rd4qoM1q_hsgaolqNGfrim9gbsoLxQsda4-vOz5x_BM/edit?usp=sharing"",""ภูเก็ต!J113"")+IMPORTRANGE(""https://docs.google.com/spreadsheets/d/1woKwKjgoL"&amp;"ssDvPcPeVyezB5izizAn4X1JDrys69n6xI/edit?usp=sharing"",""ยะลา!J113"")+IMPORTRANGE(""https://docs.google.com/spreadsheets/d/1qfrKjzMhm2HJfxQ-qVlJlJQ25Hne1d0khsySbZyGtPA/edit?usp=sharing"",""ระนอง!J113"")+IMPORTRANGE(""https://docs.google.com/spreadsheets/d/"&amp;"1IbSCnFOKpZsnFogBHJnL_isstZVaOMnFiIN0fGTPZZw/edit?usp=sharing"",""สงขลา!J113"")+IMPORTRANGE(""https://docs.google.com/spreadsheets/d/1q9nWasZJ-K8bFGvbE9n0qSRuKGA4Toe3Y89cKCiVtCU/edit?usp=sharing"",""สตูล!J113"")+IMPORTRANGE(""https://docs.google.com/sprea"&amp;"dsheets/d/18T20gbkS_WBjdscyTOV05cvq_JqvqQ17C81mpxf7Ncs/edit?usp=sharing"",""สุราษฎร์ธานี!J113"")"),0)</f>
        <v>0</v>
      </c>
      <c r="K113" s="176">
        <f t="shared" ref="K113:K114" ca="1" si="88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kKUcYdkIfrgTSj8iHHHB2MD2FAtwyyocFgqGQn6ADyI/edit?usp=sharing"",""กระบี่!I114"")+IMPORTRANGE(""https://docs.google.com/spreadsheets/d/1GwtLaSlNZkLk7iDqcyZz22giiy40b_usZZBXYciEN1U/edit?usp=sharing"",""ชุ"&amp;"มพร!I114"")+IMPORTRANGE(""https://docs.google.com/spreadsheets/d/16pAz3pOhQEZBhvFNMa5KGgZS6iKWpsKX0pg6tQmwFpo/edit?usp=sharing"",""ตรัง!I114"")+IMPORTRANGE(""https://docs.google.com/spreadsheets/d/1Dj4jcHCTV9JXKCaMoheSXS52JE63kDKyG7bPXnFogHk/edit?usp=shar"&amp;"ing"",""นครศรีธรรมราช!I114"")+IMPORTRANGE(""https://docs.google.com/spreadsheets/d/1iodCdmuK2GR3jzUwk8tpccY2JHQQA-87DLOtJP-ooyU/edit?usp=sharing"",""นราธิวาส!I114"")+IMPORTRANGE(""https://docs.google.com/spreadsheets/d/1SDNX3JhDdYRuIOsj0Wh2M-Qa_eaXl0NbWmh"&amp;"AOTbfQAs/edit?usp=sharing"",""ปัตตานี!I114"")+IMPORTRANGE(""https://docs.google.com/spreadsheets/d/16JDLGguT8s5DsGCND1KcwHP_AWR_zDMTqLHPLJUKhaU/edit?usp=sharing"",""พังงา!I114"")+IMPORTRANGE(""https://docs.google.com/spreadsheets/d/17ht0gPKzzT3PObBL1XJkeR"&amp;"mntBXI7wGjpLV7QorqlTk/edit?usp=sharing"",""พัทลุง!I114"")+IMPORTRANGE(""https://docs.google.com/spreadsheets/d/1rd4qoM1q_hsgaolqNGfrim9gbsoLxQsda4-vOz5x_BM/edit?usp=sharing"",""ภูเก็ต!I114"")+IMPORTRANGE(""https://docs.google.com/spreadsheets/d/1woKwKjgoL"&amp;"ssDvPcPeVyezB5izizAn4X1JDrys69n6xI/edit?usp=sharing"",""ยะลา!I114"")+IMPORTRANGE(""https://docs.google.com/spreadsheets/d/1qfrKjzMhm2HJfxQ-qVlJlJQ25Hne1d0khsySbZyGtPA/edit?usp=sharing"",""ระนอง!I114"")+IMPORTRANGE(""https://docs.google.com/spreadsheets/d/"&amp;"1IbSCnFOKpZsnFogBHJnL_isstZVaOMnFiIN0fGTPZZw/edit?usp=sharing"",""สงขลา!I114"")+IMPORTRANGE(""https://docs.google.com/spreadsheets/d/1q9nWasZJ-K8bFGvbE9n0qSRuKGA4Toe3Y89cKCiVtCU/edit?usp=sharing"",""สตูล!I114"")+IMPORTRANGE(""https://docs.google.com/sprea"&amp;"dsheets/d/18T20gbkS_WBjdscyTOV05cvq_JqvqQ17C81mpxf7Ncs/edit?usp=sharing"",""สุราษฎร์ธานี!I114"")"),99)</f>
        <v>99</v>
      </c>
      <c r="J114" s="167">
        <f ca="1">IFERROR(__xludf.DUMMYFUNCTION("IMPORTRANGE(""https://docs.google.com/spreadsheets/d/1kKUcYdkIfrgTSj8iHHHB2MD2FAtwyyocFgqGQn6ADyI/edit?usp=sharing"",""กระบี่!J114"")+IMPORTRANGE(""https://docs.google.com/spreadsheets/d/1GwtLaSlNZkLk7iDqcyZz22giiy40b_usZZBXYciEN1U/edit?usp=sharing"",""ชุ"&amp;"มพร!J114"")+IMPORTRANGE(""https://docs.google.com/spreadsheets/d/16pAz3pOhQEZBhvFNMa5KGgZS6iKWpsKX0pg6tQmwFpo/edit?usp=sharing"",""ตรัง!J114"")+IMPORTRANGE(""https://docs.google.com/spreadsheets/d/1Dj4jcHCTV9JXKCaMoheSXS52JE63kDKyG7bPXnFogHk/edit?usp=shar"&amp;"ing"",""นครศรีธรรมราช!J114"")+IMPORTRANGE(""https://docs.google.com/spreadsheets/d/1iodCdmuK2GR3jzUwk8tpccY2JHQQA-87DLOtJP-ooyU/edit?usp=sharing"",""นราธิวาส!J114"")+IMPORTRANGE(""https://docs.google.com/spreadsheets/d/1SDNX3JhDdYRuIOsj0Wh2M-Qa_eaXl0NbWmh"&amp;"AOTbfQAs/edit?usp=sharing"",""ปัตตานี!J114"")+IMPORTRANGE(""https://docs.google.com/spreadsheets/d/16JDLGguT8s5DsGCND1KcwHP_AWR_zDMTqLHPLJUKhaU/edit?usp=sharing"",""พังงา!J114"")+IMPORTRANGE(""https://docs.google.com/spreadsheets/d/17ht0gPKzzT3PObBL1XJkeR"&amp;"mntBXI7wGjpLV7QorqlTk/edit?usp=sharing"",""พัทลุง!J114"")+IMPORTRANGE(""https://docs.google.com/spreadsheets/d/1rd4qoM1q_hsgaolqNGfrim9gbsoLxQsda4-vOz5x_BM/edit?usp=sharing"",""ภูเก็ต!J114"")+IMPORTRANGE(""https://docs.google.com/spreadsheets/d/1woKwKjgoL"&amp;"ssDvPcPeVyezB5izizAn4X1JDrys69n6xI/edit?usp=sharing"",""ยะลา!J114"")+IMPORTRANGE(""https://docs.google.com/spreadsheets/d/1qfrKjzMhm2HJfxQ-qVlJlJQ25Hne1d0khsySbZyGtPA/edit?usp=sharing"",""ระนอง!J114"")+IMPORTRANGE(""https://docs.google.com/spreadsheets/d/"&amp;"1IbSCnFOKpZsnFogBHJnL_isstZVaOMnFiIN0fGTPZZw/edit?usp=sharing"",""สงขลา!J114"")+IMPORTRANGE(""https://docs.google.com/spreadsheets/d/1q9nWasZJ-K8bFGvbE9n0qSRuKGA4Toe3Y89cKCiVtCU/edit?usp=sharing"",""สตูล!J114"")+IMPORTRANGE(""https://docs.google.com/sprea"&amp;"dsheets/d/18T20gbkS_WBjdscyTOV05cvq_JqvqQ17C81mpxf7Ncs/edit?usp=sharing"",""สุราษฎร์ธานี!J114"")"),0)</f>
        <v>0</v>
      </c>
      <c r="K114" s="47">
        <f t="shared" ca="1" si="88"/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118" t="s">
        <v>51</v>
      </c>
      <c r="B115" s="120"/>
      <c r="C115" s="179"/>
      <c r="D115" s="119"/>
      <c r="E115" s="119"/>
      <c r="F115" s="119"/>
      <c r="G115" s="119"/>
      <c r="H115" s="120"/>
      <c r="I115" s="180"/>
      <c r="J115" s="180"/>
      <c r="K115" s="181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t="shared" ref="I116:J116" ca="1" si="89">I127</f>
        <v>255</v>
      </c>
      <c r="J116" s="127">
        <f t="shared" ca="1" si="89"/>
        <v>210</v>
      </c>
      <c r="K116" s="35">
        <f ca="1">IF(I116&gt;0,J116*100/I116,0)</f>
        <v>82.352941176470594</v>
      </c>
      <c r="L116" s="34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13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132">
        <f t="shared" ref="L117:N117" ca="1" si="90">L118+L119</f>
        <v>351900</v>
      </c>
      <c r="M117" s="132">
        <f t="shared" ca="1" si="90"/>
        <v>351900</v>
      </c>
      <c r="N117" s="132">
        <f t="shared" ca="1" si="90"/>
        <v>0</v>
      </c>
      <c r="O117" s="132">
        <f t="shared" ref="O117:O125" ca="1" si="91">IF(L117&gt;0,N117*100/L117,0)</f>
        <v>0</v>
      </c>
      <c r="P117" s="132">
        <f t="shared" ref="P117:P125" ca="1" si="92">IF(M117&gt;0,N117*100/M117,0)</f>
        <v>0</v>
      </c>
      <c r="Q117" s="132">
        <f t="shared" ref="Q117:S117" ca="1" si="93">Q118+Q119</f>
        <v>6161560</v>
      </c>
      <c r="R117" s="132">
        <f t="shared" ca="1" si="93"/>
        <v>6239110</v>
      </c>
      <c r="S117" s="132">
        <f t="shared" ca="1" si="93"/>
        <v>1481254.18</v>
      </c>
      <c r="T117" s="132">
        <f t="shared" ref="T117:T125" ca="1" si="94">IF(Q117&gt;0,S117*100/Q117,0)</f>
        <v>24.040245976668245</v>
      </c>
      <c r="U117" s="132">
        <f t="shared" ref="U117:U125" ca="1" si="95">IF(R117&gt;0,S117*100/R117,0)</f>
        <v>23.74143395452236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9">
        <f t="shared" ref="L118:N118" ca="1" si="96">L121+L124</f>
        <v>0</v>
      </c>
      <c r="M118" s="49">
        <f t="shared" ca="1" si="96"/>
        <v>0</v>
      </c>
      <c r="N118" s="49">
        <f t="shared" ca="1" si="96"/>
        <v>0</v>
      </c>
      <c r="O118" s="49">
        <f t="shared" ca="1" si="91"/>
        <v>0</v>
      </c>
      <c r="P118" s="49">
        <f t="shared" ca="1" si="92"/>
        <v>0</v>
      </c>
      <c r="Q118" s="49">
        <f t="shared" ref="Q118:S118" ca="1" si="97">Q121+Q124</f>
        <v>0</v>
      </c>
      <c r="R118" s="49">
        <f t="shared" ca="1" si="97"/>
        <v>0</v>
      </c>
      <c r="S118" s="49">
        <f t="shared" ca="1" si="97"/>
        <v>0</v>
      </c>
      <c r="T118" s="49">
        <f t="shared" ca="1" si="94"/>
        <v>0</v>
      </c>
      <c r="U118" s="49">
        <f t="shared" ca="1" si="95"/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7">
        <f t="shared" ref="L119:N119" ca="1" si="98">L122+L125</f>
        <v>351900</v>
      </c>
      <c r="M119" s="47">
        <f t="shared" ca="1" si="98"/>
        <v>351900</v>
      </c>
      <c r="N119" s="47">
        <f t="shared" ca="1" si="98"/>
        <v>0</v>
      </c>
      <c r="O119" s="47">
        <f t="shared" ca="1" si="91"/>
        <v>0</v>
      </c>
      <c r="P119" s="47">
        <f t="shared" ca="1" si="92"/>
        <v>0</v>
      </c>
      <c r="Q119" s="47">
        <f t="shared" ref="Q119:S119" ca="1" si="99">Q122+Q125</f>
        <v>6161560</v>
      </c>
      <c r="R119" s="47">
        <f t="shared" ca="1" si="99"/>
        <v>6239110</v>
      </c>
      <c r="S119" s="47">
        <f t="shared" ca="1" si="99"/>
        <v>1481254.18</v>
      </c>
      <c r="T119" s="47">
        <f t="shared" ca="1" si="94"/>
        <v>24.040245976668245</v>
      </c>
      <c r="U119" s="47">
        <f t="shared" ca="1" si="95"/>
        <v>23.74143395452236</v>
      </c>
    </row>
    <row r="120" spans="1:21" ht="18.75" x14ac:dyDescent="0.25">
      <c r="A120" s="128"/>
      <c r="B120" s="159"/>
      <c r="C120" s="185"/>
      <c r="D120" s="161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7">
        <f t="shared" ref="L120:N120" ca="1" si="100">L121+L122</f>
        <v>0</v>
      </c>
      <c r="M120" s="47">
        <f t="shared" ca="1" si="100"/>
        <v>0</v>
      </c>
      <c r="N120" s="47">
        <f t="shared" ca="1" si="100"/>
        <v>0</v>
      </c>
      <c r="O120" s="47">
        <f t="shared" ca="1" si="91"/>
        <v>0</v>
      </c>
      <c r="P120" s="47">
        <f t="shared" ca="1" si="92"/>
        <v>0</v>
      </c>
      <c r="Q120" s="47">
        <f t="shared" ref="Q120:S120" ca="1" si="101">Q121+Q122</f>
        <v>2811560</v>
      </c>
      <c r="R120" s="47">
        <f t="shared" ca="1" si="101"/>
        <v>2889110</v>
      </c>
      <c r="S120" s="47">
        <f t="shared" ca="1" si="101"/>
        <v>1481254.18</v>
      </c>
      <c r="T120" s="47">
        <f t="shared" ca="1" si="94"/>
        <v>52.68442359401898</v>
      </c>
      <c r="U120" s="47">
        <f t="shared" ca="1" si="95"/>
        <v>51.270259007099071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9">
        <f ca="1">IFERROR(__xludf.DUMMYFUNCTION("IMPORTRANGE(""https://docs.google.com/spreadsheets/d/1kKUcYdkIfrgTSj8iHHHB2MD2FAtwyyocFgqGQn6ADyI/edit?usp=sharing"",""กระบี่!L121"")+IMPORTRANGE(""https://docs.google.com/spreadsheets/d/1GwtLaSlNZkLk7iDqcyZz22giiy40b_usZZBXYciEN1U/edit?usp=sharing"",""ชุ"&amp;"มพร!L121"")+IMPORTRANGE(""https://docs.google.com/spreadsheets/d/16pAz3pOhQEZBhvFNMa5KGgZS6iKWpsKX0pg6tQmwFpo/edit?usp=sharing"",""ตรัง!L121"")+IMPORTRANGE(""https://docs.google.com/spreadsheets/d/1Dj4jcHCTV9JXKCaMoheSXS52JE63kDKyG7bPXnFogHk/edit?usp=shar"&amp;"ing"",""นครศรีธรรมราช!L121"")+IMPORTRANGE(""https://docs.google.com/spreadsheets/d/1iodCdmuK2GR3jzUwk8tpccY2JHQQA-87DLOtJP-ooyU/edit?usp=sharing"",""นราธิวาส!L121"")+IMPORTRANGE(""https://docs.google.com/spreadsheets/d/1SDNX3JhDdYRuIOsj0Wh2M-Qa_eaXl0NbWmh"&amp;"AOTbfQAs/edit?usp=sharing"",""ปัตตานี!L121"")+IMPORTRANGE(""https://docs.google.com/spreadsheets/d/16JDLGguT8s5DsGCND1KcwHP_AWR_zDMTqLHPLJUKhaU/edit?usp=sharing"",""พังงา!L121"")+IMPORTRANGE(""https://docs.google.com/spreadsheets/d/17ht0gPKzzT3PObBL1XJkeR"&amp;"mntBXI7wGjpLV7QorqlTk/edit?usp=sharing"",""พัทลุง!L121"")+IMPORTRANGE(""https://docs.google.com/spreadsheets/d/1rd4qoM1q_hsgaolqNGfrim9gbsoLxQsda4-vOz5x_BM/edit?usp=sharing"",""ภูเก็ต!L121"")+IMPORTRANGE(""https://docs.google.com/spreadsheets/d/1woKwKjgoL"&amp;"ssDvPcPeVyezB5izizAn4X1JDrys69n6xI/edit?usp=sharing"",""ยะลา!L121"")+IMPORTRANGE(""https://docs.google.com/spreadsheets/d/1qfrKjzMhm2HJfxQ-qVlJlJQ25Hne1d0khsySbZyGtPA/edit?usp=sharing"",""ระนอง!L121"")+IMPORTRANGE(""https://docs.google.com/spreadsheets/d/"&amp;"1IbSCnFOKpZsnFogBHJnL_isstZVaOMnFiIN0fGTPZZw/edit?usp=sharing"",""สงขลา!L121"")+IMPORTRANGE(""https://docs.google.com/spreadsheets/d/1q9nWasZJ-K8bFGvbE9n0qSRuKGA4Toe3Y89cKCiVtCU/edit?usp=sharing"",""สตูล!L121"")+IMPORTRANGE(""https://docs.google.com/sprea"&amp;"dsheets/d/18T20gbkS_WBjdscyTOV05cvq_JqvqQ17C81mpxf7Ncs/edit?usp=sharing"",""สุราษฎร์ธานี!L121"")"),0)</f>
        <v>0</v>
      </c>
      <c r="M121" s="49">
        <f ca="1">IFERROR(__xludf.DUMMYFUNCTION("IMPORTRANGE(""https://docs.google.com/spreadsheets/d/1kKUcYdkIfrgTSj8iHHHB2MD2FAtwyyocFgqGQn6ADyI/edit?usp=sharing"",""กระบี่!M121"")+IMPORTRANGE(""https://docs.google.com/spreadsheets/d/1GwtLaSlNZkLk7iDqcyZz22giiy40b_usZZBXYciEN1U/edit?usp=sharing"",""ชุ"&amp;"มพร!M121"")+IMPORTRANGE(""https://docs.google.com/spreadsheets/d/16pAz3pOhQEZBhvFNMa5KGgZS6iKWpsKX0pg6tQmwFpo/edit?usp=sharing"",""ตรัง!M121"")+IMPORTRANGE(""https://docs.google.com/spreadsheets/d/1Dj4jcHCTV9JXKCaMoheSXS52JE63kDKyG7bPXnFogHk/edit?usp=shar"&amp;"ing"",""นครศรีธรรมราช!M121"")+IMPORTRANGE(""https://docs.google.com/spreadsheets/d/1iodCdmuK2GR3jzUwk8tpccY2JHQQA-87DLOtJP-ooyU/edit?usp=sharing"",""นราธิวาส!M121"")+IMPORTRANGE(""https://docs.google.com/spreadsheets/d/1SDNX3JhDdYRuIOsj0Wh2M-Qa_eaXl0NbWmh"&amp;"AOTbfQAs/edit?usp=sharing"",""ปัตตานี!M121"")+IMPORTRANGE(""https://docs.google.com/spreadsheets/d/16JDLGguT8s5DsGCND1KcwHP_AWR_zDMTqLHPLJUKhaU/edit?usp=sharing"",""พังงา!M121"")+IMPORTRANGE(""https://docs.google.com/spreadsheets/d/17ht0gPKzzT3PObBL1XJkeR"&amp;"mntBXI7wGjpLV7QorqlTk/edit?usp=sharing"",""พัทลุง!M121"")+IMPORTRANGE(""https://docs.google.com/spreadsheets/d/1rd4qoM1q_hsgaolqNGfrim9gbsoLxQsda4-vOz5x_BM/edit?usp=sharing"",""ภูเก็ต!M121"")+IMPORTRANGE(""https://docs.google.com/spreadsheets/d/1woKwKjgoL"&amp;"ssDvPcPeVyezB5izizAn4X1JDrys69n6xI/edit?usp=sharing"",""ยะลา!M121"")+IMPORTRANGE(""https://docs.google.com/spreadsheets/d/1qfrKjzMhm2HJfxQ-qVlJlJQ25Hne1d0khsySbZyGtPA/edit?usp=sharing"",""ระนอง!M121"")+IMPORTRANGE(""https://docs.google.com/spreadsheets/d/"&amp;"1IbSCnFOKpZsnFogBHJnL_isstZVaOMnFiIN0fGTPZZw/edit?usp=sharing"",""สงขลา!M121"")+IMPORTRANGE(""https://docs.google.com/spreadsheets/d/1q9nWasZJ-K8bFGvbE9n0qSRuKGA4Toe3Y89cKCiVtCU/edit?usp=sharing"",""สตูล!M121"")+IMPORTRANGE(""https://docs.google.com/sprea"&amp;"dsheets/d/18T20gbkS_WBjdscyTOV05cvq_JqvqQ17C81mpxf7Ncs/edit?usp=sharing"",""สุราษฎร์ธานี!M121"")"),0)</f>
        <v>0</v>
      </c>
      <c r="N121" s="49">
        <f ca="1">IFERROR(__xludf.DUMMYFUNCTION("IMPORTRANGE(""https://docs.google.com/spreadsheets/d/1kKUcYdkIfrgTSj8iHHHB2MD2FAtwyyocFgqGQn6ADyI/edit?usp=sharing"",""กระบี่!N121"")+IMPORTRANGE(""https://docs.google.com/spreadsheets/d/1GwtLaSlNZkLk7iDqcyZz22giiy40b_usZZBXYciEN1U/edit?usp=sharing"",""ชุ"&amp;"มพร!N121"")+IMPORTRANGE(""https://docs.google.com/spreadsheets/d/16pAz3pOhQEZBhvFNMa5KGgZS6iKWpsKX0pg6tQmwFpo/edit?usp=sharing"",""ตรัง!N121"")+IMPORTRANGE(""https://docs.google.com/spreadsheets/d/1Dj4jcHCTV9JXKCaMoheSXS52JE63kDKyG7bPXnFogHk/edit?usp=shar"&amp;"ing"",""นครศรีธรรมราช!N121"")+IMPORTRANGE(""https://docs.google.com/spreadsheets/d/1iodCdmuK2GR3jzUwk8tpccY2JHQQA-87DLOtJP-ooyU/edit?usp=sharing"",""นราธิวาส!N121"")+IMPORTRANGE(""https://docs.google.com/spreadsheets/d/1SDNX3JhDdYRuIOsj0Wh2M-Qa_eaXl0NbWmh"&amp;"AOTbfQAs/edit?usp=sharing"",""ปัตตานี!N121"")+IMPORTRANGE(""https://docs.google.com/spreadsheets/d/16JDLGguT8s5DsGCND1KcwHP_AWR_zDMTqLHPLJUKhaU/edit?usp=sharing"",""พังงา!N121"")+IMPORTRANGE(""https://docs.google.com/spreadsheets/d/17ht0gPKzzT3PObBL1XJkeR"&amp;"mntBXI7wGjpLV7QorqlTk/edit?usp=sharing"",""พัทลุง!N121"")+IMPORTRANGE(""https://docs.google.com/spreadsheets/d/1rd4qoM1q_hsgaolqNGfrim9gbsoLxQsda4-vOz5x_BM/edit?usp=sharing"",""ภูเก็ต!N121"")+IMPORTRANGE(""https://docs.google.com/spreadsheets/d/1woKwKjgoL"&amp;"ssDvPcPeVyezB5izizAn4X1JDrys69n6xI/edit?usp=sharing"",""ยะลา!N121"")+IMPORTRANGE(""https://docs.google.com/spreadsheets/d/1qfrKjzMhm2HJfxQ-qVlJlJQ25Hne1d0khsySbZyGtPA/edit?usp=sharing"",""ระนอง!N121"")+IMPORTRANGE(""https://docs.google.com/spreadsheets/d/"&amp;"1IbSCnFOKpZsnFogBHJnL_isstZVaOMnFiIN0fGTPZZw/edit?usp=sharing"",""สงขลา!N121"")+IMPORTRANGE(""https://docs.google.com/spreadsheets/d/1q9nWasZJ-K8bFGvbE9n0qSRuKGA4Toe3Y89cKCiVtCU/edit?usp=sharing"",""สตูล!N121"")+IMPORTRANGE(""https://docs.google.com/sprea"&amp;"dsheets/d/18T20gbkS_WBjdscyTOV05cvq_JqvqQ17C81mpxf7Ncs/edit?usp=sharing"",""สุราษฎร์ธานี!N121"")"),0)</f>
        <v>0</v>
      </c>
      <c r="O121" s="49">
        <f t="shared" ca="1" si="91"/>
        <v>0</v>
      </c>
      <c r="P121" s="49">
        <f t="shared" ca="1" si="92"/>
        <v>0</v>
      </c>
      <c r="Q121" s="49">
        <f ca="1">IFERROR(__xludf.DUMMYFUNCTION("IMPORTRANGE(""https://docs.google.com/spreadsheets/d/1kKUcYdkIfrgTSj8iHHHB2MD2FAtwyyocFgqGQn6ADyI/edit?usp=sharing"",""กระบี่!Q121"")+IMPORTRANGE(""https://docs.google.com/spreadsheets/d/1GwtLaSlNZkLk7iDqcyZz22giiy40b_usZZBXYciEN1U/edit?usp=sharing"",""ชุ"&amp;"มพร!Q121"")+IMPORTRANGE(""https://docs.google.com/spreadsheets/d/16pAz3pOhQEZBhvFNMa5KGgZS6iKWpsKX0pg6tQmwFpo/edit?usp=sharing"",""ตรัง!Q121"")+IMPORTRANGE(""https://docs.google.com/spreadsheets/d/1Dj4jcHCTV9JXKCaMoheSXS52JE63kDKyG7bPXnFogHk/edit?usp=shar"&amp;"ing"",""นครศรีธรรมราช!Q121"")+IMPORTRANGE(""https://docs.google.com/spreadsheets/d/1iodCdmuK2GR3jzUwk8tpccY2JHQQA-87DLOtJP-ooyU/edit?usp=sharing"",""นราธิวาส!Q121"")+IMPORTRANGE(""https://docs.google.com/spreadsheets/d/1SDNX3JhDdYRuIOsj0Wh2M-Qa_eaXl0NbWmh"&amp;"AOTbfQAs/edit?usp=sharing"",""ปัตตานี!Q121"")+IMPORTRANGE(""https://docs.google.com/spreadsheets/d/16JDLGguT8s5DsGCND1KcwHP_AWR_zDMTqLHPLJUKhaU/edit?usp=sharing"",""พังงา!Q121"")+IMPORTRANGE(""https://docs.google.com/spreadsheets/d/17ht0gPKzzT3PObBL1XJkeR"&amp;"mntBXI7wGjpLV7QorqlTk/edit?usp=sharing"",""พัทลุง!Q121"")+IMPORTRANGE(""https://docs.google.com/spreadsheets/d/1rd4qoM1q_hsgaolqNGfrim9gbsoLxQsda4-vOz5x_BM/edit?usp=sharing"",""ภูเก็ต!Q121"")+IMPORTRANGE(""https://docs.google.com/spreadsheets/d/1woKwKjgoL"&amp;"ssDvPcPeVyezB5izizAn4X1JDrys69n6xI/edit?usp=sharing"",""ยะลา!Q121"")+IMPORTRANGE(""https://docs.google.com/spreadsheets/d/1qfrKjzMhm2HJfxQ-qVlJlJQ25Hne1d0khsySbZyGtPA/edit?usp=sharing"",""ระนอง!Q121"")+IMPORTRANGE(""https://docs.google.com/spreadsheets/d/"&amp;"1IbSCnFOKpZsnFogBHJnL_isstZVaOMnFiIN0fGTPZZw/edit?usp=sharing"",""สงขลา!Q121"")+IMPORTRANGE(""https://docs.google.com/spreadsheets/d/1q9nWasZJ-K8bFGvbE9n0qSRuKGA4Toe3Y89cKCiVtCU/edit?usp=sharing"",""สตูล!Q121"")+IMPORTRANGE(""https://docs.google.com/sprea"&amp;"dsheets/d/18T20gbkS_WBjdscyTOV05cvq_JqvqQ17C81mpxf7Ncs/edit?usp=sharing"",""สุราษฎร์ธานี!Q121"")"),0)</f>
        <v>0</v>
      </c>
      <c r="R121" s="49">
        <f ca="1">IFERROR(__xludf.DUMMYFUNCTION("IMPORTRANGE(""https://docs.google.com/spreadsheets/d/1kKUcYdkIfrgTSj8iHHHB2MD2FAtwyyocFgqGQn6ADyI/edit?usp=sharing"",""กระบี่!R121"")+IMPORTRANGE(""https://docs.google.com/spreadsheets/d/1GwtLaSlNZkLk7iDqcyZz22giiy40b_usZZBXYciEN1U/edit?usp=sharing"",""ชุ"&amp;"มพร!R121"")+IMPORTRANGE(""https://docs.google.com/spreadsheets/d/16pAz3pOhQEZBhvFNMa5KGgZS6iKWpsKX0pg6tQmwFpo/edit?usp=sharing"",""ตรัง!R121"")+IMPORTRANGE(""https://docs.google.com/spreadsheets/d/1Dj4jcHCTV9JXKCaMoheSXS52JE63kDKyG7bPXnFogHk/edit?usp=shar"&amp;"ing"",""นครศรีธรรมราช!R121"")+IMPORTRANGE(""https://docs.google.com/spreadsheets/d/1iodCdmuK2GR3jzUwk8tpccY2JHQQA-87DLOtJP-ooyU/edit?usp=sharing"",""นราธิวาส!R121"")+IMPORTRANGE(""https://docs.google.com/spreadsheets/d/1SDNX3JhDdYRuIOsj0Wh2M-Qa_eaXl0NbWmh"&amp;"AOTbfQAs/edit?usp=sharing"",""ปัตตานี!R121"")+IMPORTRANGE(""https://docs.google.com/spreadsheets/d/16JDLGguT8s5DsGCND1KcwHP_AWR_zDMTqLHPLJUKhaU/edit?usp=sharing"",""พังงา!R121"")+IMPORTRANGE(""https://docs.google.com/spreadsheets/d/17ht0gPKzzT3PObBL1XJkeR"&amp;"mntBXI7wGjpLV7QorqlTk/edit?usp=sharing"",""พัทลุง!R121"")+IMPORTRANGE(""https://docs.google.com/spreadsheets/d/1rd4qoM1q_hsgaolqNGfrim9gbsoLxQsda4-vOz5x_BM/edit?usp=sharing"",""ภูเก็ต!R121"")+IMPORTRANGE(""https://docs.google.com/spreadsheets/d/1woKwKjgoL"&amp;"ssDvPcPeVyezB5izizAn4X1JDrys69n6xI/edit?usp=sharing"",""ยะลา!R121"")+IMPORTRANGE(""https://docs.google.com/spreadsheets/d/1qfrKjzMhm2HJfxQ-qVlJlJQ25Hne1d0khsySbZyGtPA/edit?usp=sharing"",""ระนอง!R121"")+IMPORTRANGE(""https://docs.google.com/spreadsheets/d/"&amp;"1IbSCnFOKpZsnFogBHJnL_isstZVaOMnFiIN0fGTPZZw/edit?usp=sharing"",""สงขลา!R121"")+IMPORTRANGE(""https://docs.google.com/spreadsheets/d/1q9nWasZJ-K8bFGvbE9n0qSRuKGA4Toe3Y89cKCiVtCU/edit?usp=sharing"",""สตูล!R121"")+IMPORTRANGE(""https://docs.google.com/sprea"&amp;"dsheets/d/18T20gbkS_WBjdscyTOV05cvq_JqvqQ17C81mpxf7Ncs/edit?usp=sharing"",""สุราษฎร์ธานี!R121"")"),0)</f>
        <v>0</v>
      </c>
      <c r="S121" s="49">
        <f ca="1">IFERROR(__xludf.DUMMYFUNCTION("IMPORTRANGE(""https://docs.google.com/spreadsheets/d/1kKUcYdkIfrgTSj8iHHHB2MD2FAtwyyocFgqGQn6ADyI/edit?usp=sharing"",""กระบี่!S121"")+IMPORTRANGE(""https://docs.google.com/spreadsheets/d/1GwtLaSlNZkLk7iDqcyZz22giiy40b_usZZBXYciEN1U/edit?usp=sharing"",""ชุ"&amp;"มพร!S121"")+IMPORTRANGE(""https://docs.google.com/spreadsheets/d/16pAz3pOhQEZBhvFNMa5KGgZS6iKWpsKX0pg6tQmwFpo/edit?usp=sharing"",""ตรัง!S121"")+IMPORTRANGE(""https://docs.google.com/spreadsheets/d/1Dj4jcHCTV9JXKCaMoheSXS52JE63kDKyG7bPXnFogHk/edit?usp=shar"&amp;"ing"",""นครศรีธรรมราช!S121"")+IMPORTRANGE(""https://docs.google.com/spreadsheets/d/1iodCdmuK2GR3jzUwk8tpccY2JHQQA-87DLOtJP-ooyU/edit?usp=sharing"",""นราธิวาส!S121"")+IMPORTRANGE(""https://docs.google.com/spreadsheets/d/1SDNX3JhDdYRuIOsj0Wh2M-Qa_eaXl0NbWmh"&amp;"AOTbfQAs/edit?usp=sharing"",""ปัตตานี!S121"")+IMPORTRANGE(""https://docs.google.com/spreadsheets/d/16JDLGguT8s5DsGCND1KcwHP_AWR_zDMTqLHPLJUKhaU/edit?usp=sharing"",""พังงา!S121"")+IMPORTRANGE(""https://docs.google.com/spreadsheets/d/17ht0gPKzzT3PObBL1XJkeR"&amp;"mntBXI7wGjpLV7QorqlTk/edit?usp=sharing"",""พัทลุง!S121"")+IMPORTRANGE(""https://docs.google.com/spreadsheets/d/1rd4qoM1q_hsgaolqNGfrim9gbsoLxQsda4-vOz5x_BM/edit?usp=sharing"",""ภูเก็ต!S121"")+IMPORTRANGE(""https://docs.google.com/spreadsheets/d/1woKwKjgoL"&amp;"ssDvPcPeVyezB5izizAn4X1JDrys69n6xI/edit?usp=sharing"",""ยะลา!S121"")+IMPORTRANGE(""https://docs.google.com/spreadsheets/d/1qfrKjzMhm2HJfxQ-qVlJlJQ25Hne1d0khsySbZyGtPA/edit?usp=sharing"",""ระนอง!S121"")+IMPORTRANGE(""https://docs.google.com/spreadsheets/d/"&amp;"1IbSCnFOKpZsnFogBHJnL_isstZVaOMnFiIN0fGTPZZw/edit?usp=sharing"",""สงขลา!S121"")+IMPORTRANGE(""https://docs.google.com/spreadsheets/d/1q9nWasZJ-K8bFGvbE9n0qSRuKGA4Toe3Y89cKCiVtCU/edit?usp=sharing"",""สตูล!S121"")+IMPORTRANGE(""https://docs.google.com/sprea"&amp;"dsheets/d/18T20gbkS_WBjdscyTOV05cvq_JqvqQ17C81mpxf7Ncs/edit?usp=sharing"",""สุราษฎร์ธานี!S121"")"),0)</f>
        <v>0</v>
      </c>
      <c r="T121" s="49">
        <f t="shared" ca="1" si="94"/>
        <v>0</v>
      </c>
      <c r="U121" s="49">
        <f t="shared" ca="1" si="95"/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7">
        <f ca="1">IFERROR(__xludf.DUMMYFUNCTION("IMPORTRANGE(""https://docs.google.com/spreadsheets/d/1kKUcYdkIfrgTSj8iHHHB2MD2FAtwyyocFgqGQn6ADyI/edit?usp=sharing"",""กระบี่!L122"")+IMPORTRANGE(""https://docs.google.com/spreadsheets/d/1GwtLaSlNZkLk7iDqcyZz22giiy40b_usZZBXYciEN1U/edit?usp=sharing"",""ชุ"&amp;"มพร!L122"")+IMPORTRANGE(""https://docs.google.com/spreadsheets/d/16pAz3pOhQEZBhvFNMa5KGgZS6iKWpsKX0pg6tQmwFpo/edit?usp=sharing"",""ตรัง!L122"")+IMPORTRANGE(""https://docs.google.com/spreadsheets/d/1Dj4jcHCTV9JXKCaMoheSXS52JE63kDKyG7bPXnFogHk/edit?usp=shar"&amp;"ing"",""นครศรีธรรมราช!L122"")+IMPORTRANGE(""https://docs.google.com/spreadsheets/d/1iodCdmuK2GR3jzUwk8tpccY2JHQQA-87DLOtJP-ooyU/edit?usp=sharing"",""นราธิวาส!L122"")+IMPORTRANGE(""https://docs.google.com/spreadsheets/d/1SDNX3JhDdYRuIOsj0Wh2M-Qa_eaXl0NbWmh"&amp;"AOTbfQAs/edit?usp=sharing"",""ปัตตานี!L122"")+IMPORTRANGE(""https://docs.google.com/spreadsheets/d/16JDLGguT8s5DsGCND1KcwHP_AWR_zDMTqLHPLJUKhaU/edit?usp=sharing"",""พังงา!L122"")+IMPORTRANGE(""https://docs.google.com/spreadsheets/d/17ht0gPKzzT3PObBL1XJkeR"&amp;"mntBXI7wGjpLV7QorqlTk/edit?usp=sharing"",""พัทลุง!L122"")+IMPORTRANGE(""https://docs.google.com/spreadsheets/d/1rd4qoM1q_hsgaolqNGfrim9gbsoLxQsda4-vOz5x_BM/edit?usp=sharing"",""ภูเก็ต!L122"")+IMPORTRANGE(""https://docs.google.com/spreadsheets/d/1woKwKjgoL"&amp;"ssDvPcPeVyezB5izizAn4X1JDrys69n6xI/edit?usp=sharing"",""ยะลา!L122"")+IMPORTRANGE(""https://docs.google.com/spreadsheets/d/1qfrKjzMhm2HJfxQ-qVlJlJQ25Hne1d0khsySbZyGtPA/edit?usp=sharing"",""ระนอง!L122"")+IMPORTRANGE(""https://docs.google.com/spreadsheets/d/"&amp;"1IbSCnFOKpZsnFogBHJnL_isstZVaOMnFiIN0fGTPZZw/edit?usp=sharing"",""สงขลา!L122"")+IMPORTRANGE(""https://docs.google.com/spreadsheets/d/1q9nWasZJ-K8bFGvbE9n0qSRuKGA4Toe3Y89cKCiVtCU/edit?usp=sharing"",""สตูล!L122"")+IMPORTRANGE(""https://docs.google.com/sprea"&amp;"dsheets/d/18T20gbkS_WBjdscyTOV05cvq_JqvqQ17C81mpxf7Ncs/edit?usp=sharing"",""สุราษฎร์ธานี!L122"")"),0)</f>
        <v>0</v>
      </c>
      <c r="M122" s="47">
        <f ca="1">IFERROR(__xludf.DUMMYFUNCTION("IMPORTRANGE(""https://docs.google.com/spreadsheets/d/1kKUcYdkIfrgTSj8iHHHB2MD2FAtwyyocFgqGQn6ADyI/edit?usp=sharing"",""กระบี่!M122"")+IMPORTRANGE(""https://docs.google.com/spreadsheets/d/1GwtLaSlNZkLk7iDqcyZz22giiy40b_usZZBXYciEN1U/edit?usp=sharing"",""ชุ"&amp;"มพร!M122"")+IMPORTRANGE(""https://docs.google.com/spreadsheets/d/16pAz3pOhQEZBhvFNMa5KGgZS6iKWpsKX0pg6tQmwFpo/edit?usp=sharing"",""ตรัง!M122"")+IMPORTRANGE(""https://docs.google.com/spreadsheets/d/1Dj4jcHCTV9JXKCaMoheSXS52JE63kDKyG7bPXnFogHk/edit?usp=shar"&amp;"ing"",""นครศรีธรรมราช!M122"")+IMPORTRANGE(""https://docs.google.com/spreadsheets/d/1iodCdmuK2GR3jzUwk8tpccY2JHQQA-87DLOtJP-ooyU/edit?usp=sharing"",""นราธิวาส!M122"")+IMPORTRANGE(""https://docs.google.com/spreadsheets/d/1SDNX3JhDdYRuIOsj0Wh2M-Qa_eaXl0NbWmh"&amp;"AOTbfQAs/edit?usp=sharing"",""ปัตตานี!M122"")+IMPORTRANGE(""https://docs.google.com/spreadsheets/d/16JDLGguT8s5DsGCND1KcwHP_AWR_zDMTqLHPLJUKhaU/edit?usp=sharing"",""พังงา!M122"")+IMPORTRANGE(""https://docs.google.com/spreadsheets/d/17ht0gPKzzT3PObBL1XJkeR"&amp;"mntBXI7wGjpLV7QorqlTk/edit?usp=sharing"",""พัทลุง!M122"")+IMPORTRANGE(""https://docs.google.com/spreadsheets/d/1rd4qoM1q_hsgaolqNGfrim9gbsoLxQsda4-vOz5x_BM/edit?usp=sharing"",""ภูเก็ต!M122"")+IMPORTRANGE(""https://docs.google.com/spreadsheets/d/1woKwKjgoL"&amp;"ssDvPcPeVyezB5izizAn4X1JDrys69n6xI/edit?usp=sharing"",""ยะลา!M122"")+IMPORTRANGE(""https://docs.google.com/spreadsheets/d/1qfrKjzMhm2HJfxQ-qVlJlJQ25Hne1d0khsySbZyGtPA/edit?usp=sharing"",""ระนอง!M122"")+IMPORTRANGE(""https://docs.google.com/spreadsheets/d/"&amp;"1IbSCnFOKpZsnFogBHJnL_isstZVaOMnFiIN0fGTPZZw/edit?usp=sharing"",""สงขลา!M122"")+IMPORTRANGE(""https://docs.google.com/spreadsheets/d/1q9nWasZJ-K8bFGvbE9n0qSRuKGA4Toe3Y89cKCiVtCU/edit?usp=sharing"",""สตูล!M122"")+IMPORTRANGE(""https://docs.google.com/sprea"&amp;"dsheets/d/18T20gbkS_WBjdscyTOV05cvq_JqvqQ17C81mpxf7Ncs/edit?usp=sharing"",""สุราษฎร์ธานี!M122"")"),0)</f>
        <v>0</v>
      </c>
      <c r="N122" s="47">
        <f ca="1">IFERROR(__xludf.DUMMYFUNCTION("IMPORTRANGE(""https://docs.google.com/spreadsheets/d/1kKUcYdkIfrgTSj8iHHHB2MD2FAtwyyocFgqGQn6ADyI/edit?usp=sharing"",""กระบี่!N122"")+IMPORTRANGE(""https://docs.google.com/spreadsheets/d/1GwtLaSlNZkLk7iDqcyZz22giiy40b_usZZBXYciEN1U/edit?usp=sharing"",""ชุ"&amp;"มพร!N122"")+IMPORTRANGE(""https://docs.google.com/spreadsheets/d/16pAz3pOhQEZBhvFNMa5KGgZS6iKWpsKX0pg6tQmwFpo/edit?usp=sharing"",""ตรัง!N122"")+IMPORTRANGE(""https://docs.google.com/spreadsheets/d/1Dj4jcHCTV9JXKCaMoheSXS52JE63kDKyG7bPXnFogHk/edit?usp=shar"&amp;"ing"",""นครศรีธรรมราช!N122"")+IMPORTRANGE(""https://docs.google.com/spreadsheets/d/1iodCdmuK2GR3jzUwk8tpccY2JHQQA-87DLOtJP-ooyU/edit?usp=sharing"",""นราธิวาส!N122"")+IMPORTRANGE(""https://docs.google.com/spreadsheets/d/1SDNX3JhDdYRuIOsj0Wh2M-Qa_eaXl0NbWmh"&amp;"AOTbfQAs/edit?usp=sharing"",""ปัตตานี!N122"")+IMPORTRANGE(""https://docs.google.com/spreadsheets/d/16JDLGguT8s5DsGCND1KcwHP_AWR_zDMTqLHPLJUKhaU/edit?usp=sharing"",""พังงา!N122"")+IMPORTRANGE(""https://docs.google.com/spreadsheets/d/17ht0gPKzzT3PObBL1XJkeR"&amp;"mntBXI7wGjpLV7QorqlTk/edit?usp=sharing"",""พัทลุง!N122"")+IMPORTRANGE(""https://docs.google.com/spreadsheets/d/1rd4qoM1q_hsgaolqNGfrim9gbsoLxQsda4-vOz5x_BM/edit?usp=sharing"",""ภูเก็ต!N122"")+IMPORTRANGE(""https://docs.google.com/spreadsheets/d/1woKwKjgoL"&amp;"ssDvPcPeVyezB5izizAn4X1JDrys69n6xI/edit?usp=sharing"",""ยะลา!N122"")+IMPORTRANGE(""https://docs.google.com/spreadsheets/d/1qfrKjzMhm2HJfxQ-qVlJlJQ25Hne1d0khsySbZyGtPA/edit?usp=sharing"",""ระนอง!N122"")+IMPORTRANGE(""https://docs.google.com/spreadsheets/d/"&amp;"1IbSCnFOKpZsnFogBHJnL_isstZVaOMnFiIN0fGTPZZw/edit?usp=sharing"",""สงขลา!N122"")+IMPORTRANGE(""https://docs.google.com/spreadsheets/d/1q9nWasZJ-K8bFGvbE9n0qSRuKGA4Toe3Y89cKCiVtCU/edit?usp=sharing"",""สตูล!N122"")+IMPORTRANGE(""https://docs.google.com/sprea"&amp;"dsheets/d/18T20gbkS_WBjdscyTOV05cvq_JqvqQ17C81mpxf7Ncs/edit?usp=sharing"",""สุราษฎร์ธานี!N122"")"),0)</f>
        <v>0</v>
      </c>
      <c r="O122" s="47">
        <f t="shared" ca="1" si="91"/>
        <v>0</v>
      </c>
      <c r="P122" s="47">
        <f t="shared" ca="1" si="92"/>
        <v>0</v>
      </c>
      <c r="Q122" s="47">
        <f ca="1">IFERROR(__xludf.DUMMYFUNCTION("IMPORTRANGE(""https://docs.google.com/spreadsheets/d/1kKUcYdkIfrgTSj8iHHHB2MD2FAtwyyocFgqGQn6ADyI/edit?usp=sharing"",""กระบี่!Q122"")+IMPORTRANGE(""https://docs.google.com/spreadsheets/d/1GwtLaSlNZkLk7iDqcyZz22giiy40b_usZZBXYciEN1U/edit?usp=sharing"",""ชุ"&amp;"มพร!Q122"")+IMPORTRANGE(""https://docs.google.com/spreadsheets/d/16pAz3pOhQEZBhvFNMa5KGgZS6iKWpsKX0pg6tQmwFpo/edit?usp=sharing"",""ตรัง!Q122"")+IMPORTRANGE(""https://docs.google.com/spreadsheets/d/1Dj4jcHCTV9JXKCaMoheSXS52JE63kDKyG7bPXnFogHk/edit?usp=shar"&amp;"ing"",""นครศรีธรรมราช!Q122"")+IMPORTRANGE(""https://docs.google.com/spreadsheets/d/1iodCdmuK2GR3jzUwk8tpccY2JHQQA-87DLOtJP-ooyU/edit?usp=sharing"",""นราธิวาส!Q122"")+IMPORTRANGE(""https://docs.google.com/spreadsheets/d/1SDNX3JhDdYRuIOsj0Wh2M-Qa_eaXl0NbWmh"&amp;"AOTbfQAs/edit?usp=sharing"",""ปัตตานี!Q122"")+IMPORTRANGE(""https://docs.google.com/spreadsheets/d/16JDLGguT8s5DsGCND1KcwHP_AWR_zDMTqLHPLJUKhaU/edit?usp=sharing"",""พังงา!Q122"")+IMPORTRANGE(""https://docs.google.com/spreadsheets/d/17ht0gPKzzT3PObBL1XJkeR"&amp;"mntBXI7wGjpLV7QorqlTk/edit?usp=sharing"",""พัทลุง!Q122"")+IMPORTRANGE(""https://docs.google.com/spreadsheets/d/1rd4qoM1q_hsgaolqNGfrim9gbsoLxQsda4-vOz5x_BM/edit?usp=sharing"",""ภูเก็ต!Q122"")+IMPORTRANGE(""https://docs.google.com/spreadsheets/d/1woKwKjgoL"&amp;"ssDvPcPeVyezB5izizAn4X1JDrys69n6xI/edit?usp=sharing"",""ยะลา!Q122"")+IMPORTRANGE(""https://docs.google.com/spreadsheets/d/1qfrKjzMhm2HJfxQ-qVlJlJQ25Hne1d0khsySbZyGtPA/edit?usp=sharing"",""ระนอง!Q122"")+IMPORTRANGE(""https://docs.google.com/spreadsheets/d/"&amp;"1IbSCnFOKpZsnFogBHJnL_isstZVaOMnFiIN0fGTPZZw/edit?usp=sharing"",""สงขลา!Q122"")+IMPORTRANGE(""https://docs.google.com/spreadsheets/d/1q9nWasZJ-K8bFGvbE9n0qSRuKGA4Toe3Y89cKCiVtCU/edit?usp=sharing"",""สตูล!Q122"")+IMPORTRANGE(""https://docs.google.com/sprea"&amp;"dsheets/d/18T20gbkS_WBjdscyTOV05cvq_JqvqQ17C81mpxf7Ncs/edit?usp=sharing"",""สุราษฎร์ธานี!Q122"")"),2811560)</f>
        <v>2811560</v>
      </c>
      <c r="R122" s="47">
        <f ca="1">IFERROR(__xludf.DUMMYFUNCTION("IMPORTRANGE(""https://docs.google.com/spreadsheets/d/1kKUcYdkIfrgTSj8iHHHB2MD2FAtwyyocFgqGQn6ADyI/edit?usp=sharing"",""กระบี่!R122"")+IMPORTRANGE(""https://docs.google.com/spreadsheets/d/1GwtLaSlNZkLk7iDqcyZz22giiy40b_usZZBXYciEN1U/edit?usp=sharing"",""ชุ"&amp;"มพร!R122"")+IMPORTRANGE(""https://docs.google.com/spreadsheets/d/16pAz3pOhQEZBhvFNMa5KGgZS6iKWpsKX0pg6tQmwFpo/edit?usp=sharing"",""ตรัง!R122"")+IMPORTRANGE(""https://docs.google.com/spreadsheets/d/1Dj4jcHCTV9JXKCaMoheSXS52JE63kDKyG7bPXnFogHk/edit?usp=shar"&amp;"ing"",""นครศรีธรรมราช!R122"")+IMPORTRANGE(""https://docs.google.com/spreadsheets/d/1iodCdmuK2GR3jzUwk8tpccY2JHQQA-87DLOtJP-ooyU/edit?usp=sharing"",""นราธิวาส!R122"")+IMPORTRANGE(""https://docs.google.com/spreadsheets/d/1SDNX3JhDdYRuIOsj0Wh2M-Qa_eaXl0NbWmh"&amp;"AOTbfQAs/edit?usp=sharing"",""ปัตตานี!R122"")+IMPORTRANGE(""https://docs.google.com/spreadsheets/d/16JDLGguT8s5DsGCND1KcwHP_AWR_zDMTqLHPLJUKhaU/edit?usp=sharing"",""พังงา!R122"")+IMPORTRANGE(""https://docs.google.com/spreadsheets/d/17ht0gPKzzT3PObBL1XJkeR"&amp;"mntBXI7wGjpLV7QorqlTk/edit?usp=sharing"",""พัทลุง!R122"")+IMPORTRANGE(""https://docs.google.com/spreadsheets/d/1rd4qoM1q_hsgaolqNGfrim9gbsoLxQsda4-vOz5x_BM/edit?usp=sharing"",""ภูเก็ต!R122"")+IMPORTRANGE(""https://docs.google.com/spreadsheets/d/1woKwKjgoL"&amp;"ssDvPcPeVyezB5izizAn4X1JDrys69n6xI/edit?usp=sharing"",""ยะลา!R122"")+IMPORTRANGE(""https://docs.google.com/spreadsheets/d/1qfrKjzMhm2HJfxQ-qVlJlJQ25Hne1d0khsySbZyGtPA/edit?usp=sharing"",""ระนอง!R122"")+IMPORTRANGE(""https://docs.google.com/spreadsheets/d/"&amp;"1IbSCnFOKpZsnFogBHJnL_isstZVaOMnFiIN0fGTPZZw/edit?usp=sharing"",""สงขลา!R122"")+IMPORTRANGE(""https://docs.google.com/spreadsheets/d/1q9nWasZJ-K8bFGvbE9n0qSRuKGA4Toe3Y89cKCiVtCU/edit?usp=sharing"",""สตูล!R122"")+IMPORTRANGE(""https://docs.google.com/sprea"&amp;"dsheets/d/18T20gbkS_WBjdscyTOV05cvq_JqvqQ17C81mpxf7Ncs/edit?usp=sharing"",""สุราษฎร์ธานี!R122"")"),2889110)</f>
        <v>2889110</v>
      </c>
      <c r="S122" s="47">
        <f ca="1">IFERROR(__xludf.DUMMYFUNCTION("IMPORTRANGE(""https://docs.google.com/spreadsheets/d/1kKUcYdkIfrgTSj8iHHHB2MD2FAtwyyocFgqGQn6ADyI/edit?usp=sharing"",""กระบี่!S122"")+IMPORTRANGE(""https://docs.google.com/spreadsheets/d/1GwtLaSlNZkLk7iDqcyZz22giiy40b_usZZBXYciEN1U/edit?usp=sharing"",""ชุ"&amp;"มพร!S122"")+IMPORTRANGE(""https://docs.google.com/spreadsheets/d/16pAz3pOhQEZBhvFNMa5KGgZS6iKWpsKX0pg6tQmwFpo/edit?usp=sharing"",""ตรัง!S122"")+IMPORTRANGE(""https://docs.google.com/spreadsheets/d/1Dj4jcHCTV9JXKCaMoheSXS52JE63kDKyG7bPXnFogHk/edit?usp=shar"&amp;"ing"",""นครศรีธรรมราช!S122"")+IMPORTRANGE(""https://docs.google.com/spreadsheets/d/1iodCdmuK2GR3jzUwk8tpccY2JHQQA-87DLOtJP-ooyU/edit?usp=sharing"",""นราธิวาส!S122"")+IMPORTRANGE(""https://docs.google.com/spreadsheets/d/1SDNX3JhDdYRuIOsj0Wh2M-Qa_eaXl0NbWmh"&amp;"AOTbfQAs/edit?usp=sharing"",""ปัตตานี!S122"")+IMPORTRANGE(""https://docs.google.com/spreadsheets/d/16JDLGguT8s5DsGCND1KcwHP_AWR_zDMTqLHPLJUKhaU/edit?usp=sharing"",""พังงา!S122"")+IMPORTRANGE(""https://docs.google.com/spreadsheets/d/17ht0gPKzzT3PObBL1XJkeR"&amp;"mntBXI7wGjpLV7QorqlTk/edit?usp=sharing"",""พัทลุง!S122"")+IMPORTRANGE(""https://docs.google.com/spreadsheets/d/1rd4qoM1q_hsgaolqNGfrim9gbsoLxQsda4-vOz5x_BM/edit?usp=sharing"",""ภูเก็ต!S122"")+IMPORTRANGE(""https://docs.google.com/spreadsheets/d/1woKwKjgoL"&amp;"ssDvPcPeVyezB5izizAn4X1JDrys69n6xI/edit?usp=sharing"",""ยะลา!S122"")+IMPORTRANGE(""https://docs.google.com/spreadsheets/d/1qfrKjzMhm2HJfxQ-qVlJlJQ25Hne1d0khsySbZyGtPA/edit?usp=sharing"",""ระนอง!S122"")+IMPORTRANGE(""https://docs.google.com/spreadsheets/d/"&amp;"1IbSCnFOKpZsnFogBHJnL_isstZVaOMnFiIN0fGTPZZw/edit?usp=sharing"",""สงขลา!S122"")+IMPORTRANGE(""https://docs.google.com/spreadsheets/d/1q9nWasZJ-K8bFGvbE9n0qSRuKGA4Toe3Y89cKCiVtCU/edit?usp=sharing"",""สตูล!S122"")+IMPORTRANGE(""https://docs.google.com/sprea"&amp;"dsheets/d/18T20gbkS_WBjdscyTOV05cvq_JqvqQ17C81mpxf7Ncs/edit?usp=sharing"",""สุราษฎร์ธานี!S122"")"),1481254.18)</f>
        <v>1481254.18</v>
      </c>
      <c r="T122" s="47">
        <f t="shared" ca="1" si="94"/>
        <v>52.68442359401898</v>
      </c>
      <c r="U122" s="47">
        <f t="shared" ca="1" si="95"/>
        <v>51.270259007099071</v>
      </c>
    </row>
    <row r="123" spans="1:21" ht="18.75" x14ac:dyDescent="0.25">
      <c r="A123" s="128"/>
      <c r="B123" s="41"/>
      <c r="C123" s="185"/>
      <c r="D123" s="161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7">
        <f t="shared" ref="L123:N123" ca="1" si="102">L124+L125</f>
        <v>351900</v>
      </c>
      <c r="M123" s="47">
        <f t="shared" ca="1" si="102"/>
        <v>351900</v>
      </c>
      <c r="N123" s="47">
        <f t="shared" ca="1" si="102"/>
        <v>0</v>
      </c>
      <c r="O123" s="47">
        <f t="shared" ca="1" si="91"/>
        <v>0</v>
      </c>
      <c r="P123" s="47">
        <f t="shared" ca="1" si="92"/>
        <v>0</v>
      </c>
      <c r="Q123" s="47">
        <f t="shared" ref="Q123:S123" ca="1" si="103">Q124+Q125</f>
        <v>3350000</v>
      </c>
      <c r="R123" s="47">
        <f t="shared" ca="1" si="103"/>
        <v>3350000</v>
      </c>
      <c r="S123" s="47">
        <f t="shared" ca="1" si="103"/>
        <v>0</v>
      </c>
      <c r="T123" s="47">
        <f t="shared" ca="1" si="94"/>
        <v>0</v>
      </c>
      <c r="U123" s="47">
        <f t="shared" ca="1" si="95"/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9">
        <f ca="1">IFERROR(__xludf.DUMMYFUNCTION("IMPORTRANGE(""https://docs.google.com/spreadsheets/d/1kKUcYdkIfrgTSj8iHHHB2MD2FAtwyyocFgqGQn6ADyI/edit?usp=sharing"",""กระบี่!L124"")+IMPORTRANGE(""https://docs.google.com/spreadsheets/d/1GwtLaSlNZkLk7iDqcyZz22giiy40b_usZZBXYciEN1U/edit?usp=sharing"",""ชุ"&amp;"มพร!L124"")+IMPORTRANGE(""https://docs.google.com/spreadsheets/d/16pAz3pOhQEZBhvFNMa5KGgZS6iKWpsKX0pg6tQmwFpo/edit?usp=sharing"",""ตรัง!L124"")+IMPORTRANGE(""https://docs.google.com/spreadsheets/d/1Dj4jcHCTV9JXKCaMoheSXS52JE63kDKyG7bPXnFogHk/edit?usp=shar"&amp;"ing"",""นครศรีธรรมราช!L124"")+IMPORTRANGE(""https://docs.google.com/spreadsheets/d/1iodCdmuK2GR3jzUwk8tpccY2JHQQA-87DLOtJP-ooyU/edit?usp=sharing"",""นราธิวาส!L124"")+IMPORTRANGE(""https://docs.google.com/spreadsheets/d/1SDNX3JhDdYRuIOsj0Wh2M-Qa_eaXl0NbWmh"&amp;"AOTbfQAs/edit?usp=sharing"",""ปัตตานี!L124"")+IMPORTRANGE(""https://docs.google.com/spreadsheets/d/16JDLGguT8s5DsGCND1KcwHP_AWR_zDMTqLHPLJUKhaU/edit?usp=sharing"",""พังงา!L124"")+IMPORTRANGE(""https://docs.google.com/spreadsheets/d/17ht0gPKzzT3PObBL1XJkeR"&amp;"mntBXI7wGjpLV7QorqlTk/edit?usp=sharing"",""พัทลุง!L124"")+IMPORTRANGE(""https://docs.google.com/spreadsheets/d/1rd4qoM1q_hsgaolqNGfrim9gbsoLxQsda4-vOz5x_BM/edit?usp=sharing"",""ภูเก็ต!L124"")+IMPORTRANGE(""https://docs.google.com/spreadsheets/d/1woKwKjgoL"&amp;"ssDvPcPeVyezB5izizAn4X1JDrys69n6xI/edit?usp=sharing"",""ยะลา!L124"")+IMPORTRANGE(""https://docs.google.com/spreadsheets/d/1qfrKjzMhm2HJfxQ-qVlJlJQ25Hne1d0khsySbZyGtPA/edit?usp=sharing"",""ระนอง!L124"")+IMPORTRANGE(""https://docs.google.com/spreadsheets/d/"&amp;"1IbSCnFOKpZsnFogBHJnL_isstZVaOMnFiIN0fGTPZZw/edit?usp=sharing"",""สงขลา!L124"")+IMPORTRANGE(""https://docs.google.com/spreadsheets/d/1q9nWasZJ-K8bFGvbE9n0qSRuKGA4Toe3Y89cKCiVtCU/edit?usp=sharing"",""สตูล!L124"")+IMPORTRANGE(""https://docs.google.com/sprea"&amp;"dsheets/d/18T20gbkS_WBjdscyTOV05cvq_JqvqQ17C81mpxf7Ncs/edit?usp=sharing"",""สุราษฎร์ธานี!L124"")"),0)</f>
        <v>0</v>
      </c>
      <c r="M124" s="49">
        <f ca="1">IFERROR(__xludf.DUMMYFUNCTION("IMPORTRANGE(""https://docs.google.com/spreadsheets/d/1kKUcYdkIfrgTSj8iHHHB2MD2FAtwyyocFgqGQn6ADyI/edit?usp=sharing"",""กระบี่!M124"")+IMPORTRANGE(""https://docs.google.com/spreadsheets/d/1GwtLaSlNZkLk7iDqcyZz22giiy40b_usZZBXYciEN1U/edit?usp=sharing"",""ชุ"&amp;"มพร!M124"")+IMPORTRANGE(""https://docs.google.com/spreadsheets/d/16pAz3pOhQEZBhvFNMa5KGgZS6iKWpsKX0pg6tQmwFpo/edit?usp=sharing"",""ตรัง!M124"")+IMPORTRANGE(""https://docs.google.com/spreadsheets/d/1Dj4jcHCTV9JXKCaMoheSXS52JE63kDKyG7bPXnFogHk/edit?usp=shar"&amp;"ing"",""นครศรีธรรมราช!M124"")+IMPORTRANGE(""https://docs.google.com/spreadsheets/d/1iodCdmuK2GR3jzUwk8tpccY2JHQQA-87DLOtJP-ooyU/edit?usp=sharing"",""นราธิวาส!M124"")+IMPORTRANGE(""https://docs.google.com/spreadsheets/d/1SDNX3JhDdYRuIOsj0Wh2M-Qa_eaXl0NbWmh"&amp;"AOTbfQAs/edit?usp=sharing"",""ปัตตานี!M124"")+IMPORTRANGE(""https://docs.google.com/spreadsheets/d/16JDLGguT8s5DsGCND1KcwHP_AWR_zDMTqLHPLJUKhaU/edit?usp=sharing"",""พังงา!M124"")+IMPORTRANGE(""https://docs.google.com/spreadsheets/d/17ht0gPKzzT3PObBL1XJkeR"&amp;"mntBXI7wGjpLV7QorqlTk/edit?usp=sharing"",""พัทลุง!M124"")+IMPORTRANGE(""https://docs.google.com/spreadsheets/d/1rd4qoM1q_hsgaolqNGfrim9gbsoLxQsda4-vOz5x_BM/edit?usp=sharing"",""ภูเก็ต!M124"")+IMPORTRANGE(""https://docs.google.com/spreadsheets/d/1woKwKjgoL"&amp;"ssDvPcPeVyezB5izizAn4X1JDrys69n6xI/edit?usp=sharing"",""ยะลา!M124"")+IMPORTRANGE(""https://docs.google.com/spreadsheets/d/1qfrKjzMhm2HJfxQ-qVlJlJQ25Hne1d0khsySbZyGtPA/edit?usp=sharing"",""ระนอง!M124"")+IMPORTRANGE(""https://docs.google.com/spreadsheets/d/"&amp;"1IbSCnFOKpZsnFogBHJnL_isstZVaOMnFiIN0fGTPZZw/edit?usp=sharing"",""สงขลา!M124"")+IMPORTRANGE(""https://docs.google.com/spreadsheets/d/1q9nWasZJ-K8bFGvbE9n0qSRuKGA4Toe3Y89cKCiVtCU/edit?usp=sharing"",""สตูล!M124"")+IMPORTRANGE(""https://docs.google.com/sprea"&amp;"dsheets/d/18T20gbkS_WBjdscyTOV05cvq_JqvqQ17C81mpxf7Ncs/edit?usp=sharing"",""สุราษฎร์ธานี!M124"")"),0)</f>
        <v>0</v>
      </c>
      <c r="N124" s="49">
        <f ca="1">IFERROR(__xludf.DUMMYFUNCTION("IMPORTRANGE(""https://docs.google.com/spreadsheets/d/1kKUcYdkIfrgTSj8iHHHB2MD2FAtwyyocFgqGQn6ADyI/edit?usp=sharing"",""กระบี่!N124"")+IMPORTRANGE(""https://docs.google.com/spreadsheets/d/1GwtLaSlNZkLk7iDqcyZz22giiy40b_usZZBXYciEN1U/edit?usp=sharing"",""ชุ"&amp;"มพร!N124"")+IMPORTRANGE(""https://docs.google.com/spreadsheets/d/16pAz3pOhQEZBhvFNMa5KGgZS6iKWpsKX0pg6tQmwFpo/edit?usp=sharing"",""ตรัง!N124"")+IMPORTRANGE(""https://docs.google.com/spreadsheets/d/1Dj4jcHCTV9JXKCaMoheSXS52JE63kDKyG7bPXnFogHk/edit?usp=shar"&amp;"ing"",""นครศรีธรรมราช!N124"")+IMPORTRANGE(""https://docs.google.com/spreadsheets/d/1iodCdmuK2GR3jzUwk8tpccY2JHQQA-87DLOtJP-ooyU/edit?usp=sharing"",""นราธิวาส!N124"")+IMPORTRANGE(""https://docs.google.com/spreadsheets/d/1SDNX3JhDdYRuIOsj0Wh2M-Qa_eaXl0NbWmh"&amp;"AOTbfQAs/edit?usp=sharing"",""ปัตตานี!N124"")+IMPORTRANGE(""https://docs.google.com/spreadsheets/d/16JDLGguT8s5DsGCND1KcwHP_AWR_zDMTqLHPLJUKhaU/edit?usp=sharing"",""พังงา!N124"")+IMPORTRANGE(""https://docs.google.com/spreadsheets/d/17ht0gPKzzT3PObBL1XJkeR"&amp;"mntBXI7wGjpLV7QorqlTk/edit?usp=sharing"",""พัทลุง!N124"")+IMPORTRANGE(""https://docs.google.com/spreadsheets/d/1rd4qoM1q_hsgaolqNGfrim9gbsoLxQsda4-vOz5x_BM/edit?usp=sharing"",""ภูเก็ต!N124"")+IMPORTRANGE(""https://docs.google.com/spreadsheets/d/1woKwKjgoL"&amp;"ssDvPcPeVyezB5izizAn4X1JDrys69n6xI/edit?usp=sharing"",""ยะลา!N124"")+IMPORTRANGE(""https://docs.google.com/spreadsheets/d/1qfrKjzMhm2HJfxQ-qVlJlJQ25Hne1d0khsySbZyGtPA/edit?usp=sharing"",""ระนอง!N124"")+IMPORTRANGE(""https://docs.google.com/spreadsheets/d/"&amp;"1IbSCnFOKpZsnFogBHJnL_isstZVaOMnFiIN0fGTPZZw/edit?usp=sharing"",""สงขลา!N124"")+IMPORTRANGE(""https://docs.google.com/spreadsheets/d/1q9nWasZJ-K8bFGvbE9n0qSRuKGA4Toe3Y89cKCiVtCU/edit?usp=sharing"",""สตูล!N124"")+IMPORTRANGE(""https://docs.google.com/sprea"&amp;"dsheets/d/18T20gbkS_WBjdscyTOV05cvq_JqvqQ17C81mpxf7Ncs/edit?usp=sharing"",""สุราษฎร์ธานี!N124"")"),0)</f>
        <v>0</v>
      </c>
      <c r="O124" s="49">
        <f t="shared" ca="1" si="91"/>
        <v>0</v>
      </c>
      <c r="P124" s="49">
        <f t="shared" ca="1" si="92"/>
        <v>0</v>
      </c>
      <c r="Q124" s="49">
        <f ca="1">IFERROR(__xludf.DUMMYFUNCTION("IMPORTRANGE(""https://docs.google.com/spreadsheets/d/1kKUcYdkIfrgTSj8iHHHB2MD2FAtwyyocFgqGQn6ADyI/edit?usp=sharing"",""กระบี่!Q124"")+IMPORTRANGE(""https://docs.google.com/spreadsheets/d/1GwtLaSlNZkLk7iDqcyZz22giiy40b_usZZBXYciEN1U/edit?usp=sharing"",""ชุ"&amp;"มพร!Q124"")+IMPORTRANGE(""https://docs.google.com/spreadsheets/d/16pAz3pOhQEZBhvFNMa5KGgZS6iKWpsKX0pg6tQmwFpo/edit?usp=sharing"",""ตรัง!Q124"")+IMPORTRANGE(""https://docs.google.com/spreadsheets/d/1Dj4jcHCTV9JXKCaMoheSXS52JE63kDKyG7bPXnFogHk/edit?usp=shar"&amp;"ing"",""นครศรีธรรมราช!Q124"")+IMPORTRANGE(""https://docs.google.com/spreadsheets/d/1iodCdmuK2GR3jzUwk8tpccY2JHQQA-87DLOtJP-ooyU/edit?usp=sharing"",""นราธิวาส!Q124"")+IMPORTRANGE(""https://docs.google.com/spreadsheets/d/1SDNX3JhDdYRuIOsj0Wh2M-Qa_eaXl0NbWmh"&amp;"AOTbfQAs/edit?usp=sharing"",""ปัตตานี!Q124"")+IMPORTRANGE(""https://docs.google.com/spreadsheets/d/16JDLGguT8s5DsGCND1KcwHP_AWR_zDMTqLHPLJUKhaU/edit?usp=sharing"",""พังงา!Q124"")+IMPORTRANGE(""https://docs.google.com/spreadsheets/d/17ht0gPKzzT3PObBL1XJkeR"&amp;"mntBXI7wGjpLV7QorqlTk/edit?usp=sharing"",""พัทลุง!Q124"")+IMPORTRANGE(""https://docs.google.com/spreadsheets/d/1rd4qoM1q_hsgaolqNGfrim9gbsoLxQsda4-vOz5x_BM/edit?usp=sharing"",""ภูเก็ต!Q124"")+IMPORTRANGE(""https://docs.google.com/spreadsheets/d/1woKwKjgoL"&amp;"ssDvPcPeVyezB5izizAn4X1JDrys69n6xI/edit?usp=sharing"",""ยะลา!Q124"")+IMPORTRANGE(""https://docs.google.com/spreadsheets/d/1qfrKjzMhm2HJfxQ-qVlJlJQ25Hne1d0khsySbZyGtPA/edit?usp=sharing"",""ระนอง!Q124"")+IMPORTRANGE(""https://docs.google.com/spreadsheets/d/"&amp;"1IbSCnFOKpZsnFogBHJnL_isstZVaOMnFiIN0fGTPZZw/edit?usp=sharing"",""สงขลา!Q124"")+IMPORTRANGE(""https://docs.google.com/spreadsheets/d/1q9nWasZJ-K8bFGvbE9n0qSRuKGA4Toe3Y89cKCiVtCU/edit?usp=sharing"",""สตูล!Q124"")+IMPORTRANGE(""https://docs.google.com/sprea"&amp;"dsheets/d/18T20gbkS_WBjdscyTOV05cvq_JqvqQ17C81mpxf7Ncs/edit?usp=sharing"",""สุราษฎร์ธานี!Q124"")"),0)</f>
        <v>0</v>
      </c>
      <c r="R124" s="49">
        <f ca="1">IFERROR(__xludf.DUMMYFUNCTION("IMPORTRANGE(""https://docs.google.com/spreadsheets/d/1kKUcYdkIfrgTSj8iHHHB2MD2FAtwyyocFgqGQn6ADyI/edit?usp=sharing"",""กระบี่!R124"")+IMPORTRANGE(""https://docs.google.com/spreadsheets/d/1GwtLaSlNZkLk7iDqcyZz22giiy40b_usZZBXYciEN1U/edit?usp=sharing"",""ชุ"&amp;"มพร!R124"")+IMPORTRANGE(""https://docs.google.com/spreadsheets/d/16pAz3pOhQEZBhvFNMa5KGgZS6iKWpsKX0pg6tQmwFpo/edit?usp=sharing"",""ตรัง!R124"")+IMPORTRANGE(""https://docs.google.com/spreadsheets/d/1Dj4jcHCTV9JXKCaMoheSXS52JE63kDKyG7bPXnFogHk/edit?usp=shar"&amp;"ing"",""นครศรีธรรมราช!R124"")+IMPORTRANGE(""https://docs.google.com/spreadsheets/d/1iodCdmuK2GR3jzUwk8tpccY2JHQQA-87DLOtJP-ooyU/edit?usp=sharing"",""นราธิวาส!R124"")+IMPORTRANGE(""https://docs.google.com/spreadsheets/d/1SDNX3JhDdYRuIOsj0Wh2M-Qa_eaXl0NbWmh"&amp;"AOTbfQAs/edit?usp=sharing"",""ปัตตานี!R124"")+IMPORTRANGE(""https://docs.google.com/spreadsheets/d/16JDLGguT8s5DsGCND1KcwHP_AWR_zDMTqLHPLJUKhaU/edit?usp=sharing"",""พังงา!R124"")+IMPORTRANGE(""https://docs.google.com/spreadsheets/d/17ht0gPKzzT3PObBL1XJkeR"&amp;"mntBXI7wGjpLV7QorqlTk/edit?usp=sharing"",""พัทลุง!R124"")+IMPORTRANGE(""https://docs.google.com/spreadsheets/d/1rd4qoM1q_hsgaolqNGfrim9gbsoLxQsda4-vOz5x_BM/edit?usp=sharing"",""ภูเก็ต!R124"")+IMPORTRANGE(""https://docs.google.com/spreadsheets/d/1woKwKjgoL"&amp;"ssDvPcPeVyezB5izizAn4X1JDrys69n6xI/edit?usp=sharing"",""ยะลา!R124"")+IMPORTRANGE(""https://docs.google.com/spreadsheets/d/1qfrKjzMhm2HJfxQ-qVlJlJQ25Hne1d0khsySbZyGtPA/edit?usp=sharing"",""ระนอง!R124"")+IMPORTRANGE(""https://docs.google.com/spreadsheets/d/"&amp;"1IbSCnFOKpZsnFogBHJnL_isstZVaOMnFiIN0fGTPZZw/edit?usp=sharing"",""สงขลา!R124"")+IMPORTRANGE(""https://docs.google.com/spreadsheets/d/1q9nWasZJ-K8bFGvbE9n0qSRuKGA4Toe3Y89cKCiVtCU/edit?usp=sharing"",""สตูล!R124"")+IMPORTRANGE(""https://docs.google.com/sprea"&amp;"dsheets/d/18T20gbkS_WBjdscyTOV05cvq_JqvqQ17C81mpxf7Ncs/edit?usp=sharing"",""สุราษฎร์ธานี!R124"")"),0)</f>
        <v>0</v>
      </c>
      <c r="S124" s="49">
        <f ca="1">IFERROR(__xludf.DUMMYFUNCTION("IMPORTRANGE(""https://docs.google.com/spreadsheets/d/1kKUcYdkIfrgTSj8iHHHB2MD2FAtwyyocFgqGQn6ADyI/edit?usp=sharing"",""กระบี่!S124"")+IMPORTRANGE(""https://docs.google.com/spreadsheets/d/1GwtLaSlNZkLk7iDqcyZz22giiy40b_usZZBXYciEN1U/edit?usp=sharing"",""ชุ"&amp;"มพร!S124"")+IMPORTRANGE(""https://docs.google.com/spreadsheets/d/16pAz3pOhQEZBhvFNMa5KGgZS6iKWpsKX0pg6tQmwFpo/edit?usp=sharing"",""ตรัง!S124"")+IMPORTRANGE(""https://docs.google.com/spreadsheets/d/1Dj4jcHCTV9JXKCaMoheSXS52JE63kDKyG7bPXnFogHk/edit?usp=shar"&amp;"ing"",""นครศรีธรรมราช!S124"")+IMPORTRANGE(""https://docs.google.com/spreadsheets/d/1iodCdmuK2GR3jzUwk8tpccY2JHQQA-87DLOtJP-ooyU/edit?usp=sharing"",""นราธิวาส!S124"")+IMPORTRANGE(""https://docs.google.com/spreadsheets/d/1SDNX3JhDdYRuIOsj0Wh2M-Qa_eaXl0NbWmh"&amp;"AOTbfQAs/edit?usp=sharing"",""ปัตตานี!S124"")+IMPORTRANGE(""https://docs.google.com/spreadsheets/d/16JDLGguT8s5DsGCND1KcwHP_AWR_zDMTqLHPLJUKhaU/edit?usp=sharing"",""พังงา!S124"")+IMPORTRANGE(""https://docs.google.com/spreadsheets/d/17ht0gPKzzT3PObBL1XJkeR"&amp;"mntBXI7wGjpLV7QorqlTk/edit?usp=sharing"",""พัทลุง!S124"")+IMPORTRANGE(""https://docs.google.com/spreadsheets/d/1rd4qoM1q_hsgaolqNGfrim9gbsoLxQsda4-vOz5x_BM/edit?usp=sharing"",""ภูเก็ต!S124"")+IMPORTRANGE(""https://docs.google.com/spreadsheets/d/1woKwKjgoL"&amp;"ssDvPcPeVyezB5izizAn4X1JDrys69n6xI/edit?usp=sharing"",""ยะลา!S124"")+IMPORTRANGE(""https://docs.google.com/spreadsheets/d/1qfrKjzMhm2HJfxQ-qVlJlJQ25Hne1d0khsySbZyGtPA/edit?usp=sharing"",""ระนอง!S124"")+IMPORTRANGE(""https://docs.google.com/spreadsheets/d/"&amp;"1IbSCnFOKpZsnFogBHJnL_isstZVaOMnFiIN0fGTPZZw/edit?usp=sharing"",""สงขลา!S124"")+IMPORTRANGE(""https://docs.google.com/spreadsheets/d/1q9nWasZJ-K8bFGvbE9n0qSRuKGA4Toe3Y89cKCiVtCU/edit?usp=sharing"",""สตูล!S124"")+IMPORTRANGE(""https://docs.google.com/sprea"&amp;"dsheets/d/18T20gbkS_WBjdscyTOV05cvq_JqvqQ17C81mpxf7Ncs/edit?usp=sharing"",""สุราษฎร์ธานี!S124"")"),0)</f>
        <v>0</v>
      </c>
      <c r="T124" s="49">
        <f t="shared" ca="1" si="94"/>
        <v>0</v>
      </c>
      <c r="U124" s="49">
        <f t="shared" ca="1" si="95"/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7">
        <f ca="1">IFERROR(__xludf.DUMMYFUNCTION("IMPORTRANGE(""https://docs.google.com/spreadsheets/d/1kKUcYdkIfrgTSj8iHHHB2MD2FAtwyyocFgqGQn6ADyI/edit?usp=sharing"",""กระบี่!L125"")+IMPORTRANGE(""https://docs.google.com/spreadsheets/d/1GwtLaSlNZkLk7iDqcyZz22giiy40b_usZZBXYciEN1U/edit?usp=sharing"",""ชุ"&amp;"มพร!L125"")+IMPORTRANGE(""https://docs.google.com/spreadsheets/d/16pAz3pOhQEZBhvFNMa5KGgZS6iKWpsKX0pg6tQmwFpo/edit?usp=sharing"",""ตรัง!L125"")+IMPORTRANGE(""https://docs.google.com/spreadsheets/d/1Dj4jcHCTV9JXKCaMoheSXS52JE63kDKyG7bPXnFogHk/edit?usp=shar"&amp;"ing"",""นครศรีธรรมราช!L125"")+IMPORTRANGE(""https://docs.google.com/spreadsheets/d/1iodCdmuK2GR3jzUwk8tpccY2JHQQA-87DLOtJP-ooyU/edit?usp=sharing"",""นราธิวาส!L125"")+IMPORTRANGE(""https://docs.google.com/spreadsheets/d/1SDNX3JhDdYRuIOsj0Wh2M-Qa_eaXl0NbWmh"&amp;"AOTbfQAs/edit?usp=sharing"",""ปัตตานี!L125"")+IMPORTRANGE(""https://docs.google.com/spreadsheets/d/16JDLGguT8s5DsGCND1KcwHP_AWR_zDMTqLHPLJUKhaU/edit?usp=sharing"",""พังงา!L125"")+IMPORTRANGE(""https://docs.google.com/spreadsheets/d/17ht0gPKzzT3PObBL1XJkeR"&amp;"mntBXI7wGjpLV7QorqlTk/edit?usp=sharing"",""พัทลุง!L125"")+IMPORTRANGE(""https://docs.google.com/spreadsheets/d/1rd4qoM1q_hsgaolqNGfrim9gbsoLxQsda4-vOz5x_BM/edit?usp=sharing"",""ภูเก็ต!L125"")+IMPORTRANGE(""https://docs.google.com/spreadsheets/d/1woKwKjgoL"&amp;"ssDvPcPeVyezB5izizAn4X1JDrys69n6xI/edit?usp=sharing"",""ยะลา!L125"")+IMPORTRANGE(""https://docs.google.com/spreadsheets/d/1qfrKjzMhm2HJfxQ-qVlJlJQ25Hne1d0khsySbZyGtPA/edit?usp=sharing"",""ระนอง!L125"")+IMPORTRANGE(""https://docs.google.com/spreadsheets/d/"&amp;"1IbSCnFOKpZsnFogBHJnL_isstZVaOMnFiIN0fGTPZZw/edit?usp=sharing"",""สงขลา!L125"")+IMPORTRANGE(""https://docs.google.com/spreadsheets/d/1q9nWasZJ-K8bFGvbE9n0qSRuKGA4Toe3Y89cKCiVtCU/edit?usp=sharing"",""สตูล!L125"")+IMPORTRANGE(""https://docs.google.com/sprea"&amp;"dsheets/d/18T20gbkS_WBjdscyTOV05cvq_JqvqQ17C81mpxf7Ncs/edit?usp=sharing"",""สุราษฎร์ธานี!L125"")"),351900)</f>
        <v>351900</v>
      </c>
      <c r="M125" s="47">
        <f ca="1">IFERROR(__xludf.DUMMYFUNCTION("IMPORTRANGE(""https://docs.google.com/spreadsheets/d/1kKUcYdkIfrgTSj8iHHHB2MD2FAtwyyocFgqGQn6ADyI/edit?usp=sharing"",""กระบี่!M125"")+IMPORTRANGE(""https://docs.google.com/spreadsheets/d/1GwtLaSlNZkLk7iDqcyZz22giiy40b_usZZBXYciEN1U/edit?usp=sharing"",""ชุ"&amp;"มพร!M125"")+IMPORTRANGE(""https://docs.google.com/spreadsheets/d/16pAz3pOhQEZBhvFNMa5KGgZS6iKWpsKX0pg6tQmwFpo/edit?usp=sharing"",""ตรัง!M125"")+IMPORTRANGE(""https://docs.google.com/spreadsheets/d/1Dj4jcHCTV9JXKCaMoheSXS52JE63kDKyG7bPXnFogHk/edit?usp=shar"&amp;"ing"",""นครศรีธรรมราช!M125"")+IMPORTRANGE(""https://docs.google.com/spreadsheets/d/1iodCdmuK2GR3jzUwk8tpccY2JHQQA-87DLOtJP-ooyU/edit?usp=sharing"",""นราธิวาส!M125"")+IMPORTRANGE(""https://docs.google.com/spreadsheets/d/1SDNX3JhDdYRuIOsj0Wh2M-Qa_eaXl0NbWmh"&amp;"AOTbfQAs/edit?usp=sharing"",""ปัตตานี!M125"")+IMPORTRANGE(""https://docs.google.com/spreadsheets/d/16JDLGguT8s5DsGCND1KcwHP_AWR_zDMTqLHPLJUKhaU/edit?usp=sharing"",""พังงา!M125"")+IMPORTRANGE(""https://docs.google.com/spreadsheets/d/17ht0gPKzzT3PObBL1XJkeR"&amp;"mntBXI7wGjpLV7QorqlTk/edit?usp=sharing"",""พัทลุง!M125"")+IMPORTRANGE(""https://docs.google.com/spreadsheets/d/1rd4qoM1q_hsgaolqNGfrim9gbsoLxQsda4-vOz5x_BM/edit?usp=sharing"",""ภูเก็ต!M125"")+IMPORTRANGE(""https://docs.google.com/spreadsheets/d/1woKwKjgoL"&amp;"ssDvPcPeVyezB5izizAn4X1JDrys69n6xI/edit?usp=sharing"",""ยะลา!M125"")+IMPORTRANGE(""https://docs.google.com/spreadsheets/d/1qfrKjzMhm2HJfxQ-qVlJlJQ25Hne1d0khsySbZyGtPA/edit?usp=sharing"",""ระนอง!M125"")+IMPORTRANGE(""https://docs.google.com/spreadsheets/d/"&amp;"1IbSCnFOKpZsnFogBHJnL_isstZVaOMnFiIN0fGTPZZw/edit?usp=sharing"",""สงขลา!M125"")+IMPORTRANGE(""https://docs.google.com/spreadsheets/d/1q9nWasZJ-K8bFGvbE9n0qSRuKGA4Toe3Y89cKCiVtCU/edit?usp=sharing"",""สตูล!M125"")+IMPORTRANGE(""https://docs.google.com/sprea"&amp;"dsheets/d/18T20gbkS_WBjdscyTOV05cvq_JqvqQ17C81mpxf7Ncs/edit?usp=sharing"",""สุราษฎร์ธานี!M125"")"),351900)</f>
        <v>351900</v>
      </c>
      <c r="N125" s="47">
        <f ca="1">IFERROR(__xludf.DUMMYFUNCTION("IMPORTRANGE(""https://docs.google.com/spreadsheets/d/1kKUcYdkIfrgTSj8iHHHB2MD2FAtwyyocFgqGQn6ADyI/edit?usp=sharing"",""กระบี่!N125"")+IMPORTRANGE(""https://docs.google.com/spreadsheets/d/1GwtLaSlNZkLk7iDqcyZz22giiy40b_usZZBXYciEN1U/edit?usp=sharing"",""ชุ"&amp;"มพร!N125"")+IMPORTRANGE(""https://docs.google.com/spreadsheets/d/16pAz3pOhQEZBhvFNMa5KGgZS6iKWpsKX0pg6tQmwFpo/edit?usp=sharing"",""ตรัง!N125"")+IMPORTRANGE(""https://docs.google.com/spreadsheets/d/1Dj4jcHCTV9JXKCaMoheSXS52JE63kDKyG7bPXnFogHk/edit?usp=shar"&amp;"ing"",""นครศรีธรรมราช!N125"")+IMPORTRANGE(""https://docs.google.com/spreadsheets/d/1iodCdmuK2GR3jzUwk8tpccY2JHQQA-87DLOtJP-ooyU/edit?usp=sharing"",""นราธิวาส!N125"")+IMPORTRANGE(""https://docs.google.com/spreadsheets/d/1SDNX3JhDdYRuIOsj0Wh2M-Qa_eaXl0NbWmh"&amp;"AOTbfQAs/edit?usp=sharing"",""ปัตตานี!N125"")+IMPORTRANGE(""https://docs.google.com/spreadsheets/d/16JDLGguT8s5DsGCND1KcwHP_AWR_zDMTqLHPLJUKhaU/edit?usp=sharing"",""พังงา!N125"")+IMPORTRANGE(""https://docs.google.com/spreadsheets/d/17ht0gPKzzT3PObBL1XJkeR"&amp;"mntBXI7wGjpLV7QorqlTk/edit?usp=sharing"",""พัทลุง!N125"")+IMPORTRANGE(""https://docs.google.com/spreadsheets/d/1rd4qoM1q_hsgaolqNGfrim9gbsoLxQsda4-vOz5x_BM/edit?usp=sharing"",""ภูเก็ต!N125"")+IMPORTRANGE(""https://docs.google.com/spreadsheets/d/1woKwKjgoL"&amp;"ssDvPcPeVyezB5izizAn4X1JDrys69n6xI/edit?usp=sharing"",""ยะลา!N125"")+IMPORTRANGE(""https://docs.google.com/spreadsheets/d/1qfrKjzMhm2HJfxQ-qVlJlJQ25Hne1d0khsySbZyGtPA/edit?usp=sharing"",""ระนอง!N125"")+IMPORTRANGE(""https://docs.google.com/spreadsheets/d/"&amp;"1IbSCnFOKpZsnFogBHJnL_isstZVaOMnFiIN0fGTPZZw/edit?usp=sharing"",""สงขลา!N125"")+IMPORTRANGE(""https://docs.google.com/spreadsheets/d/1q9nWasZJ-K8bFGvbE9n0qSRuKGA4Toe3Y89cKCiVtCU/edit?usp=sharing"",""สตูล!N125"")+IMPORTRANGE(""https://docs.google.com/sprea"&amp;"dsheets/d/18T20gbkS_WBjdscyTOV05cvq_JqvqQ17C81mpxf7Ncs/edit?usp=sharing"",""สุราษฎร์ธานี!N125"")"),0)</f>
        <v>0</v>
      </c>
      <c r="O125" s="47">
        <f t="shared" ca="1" si="91"/>
        <v>0</v>
      </c>
      <c r="P125" s="47">
        <f t="shared" ca="1" si="92"/>
        <v>0</v>
      </c>
      <c r="Q125" s="47">
        <f ca="1">IFERROR(__xludf.DUMMYFUNCTION("IMPORTRANGE(""https://docs.google.com/spreadsheets/d/1kKUcYdkIfrgTSj8iHHHB2MD2FAtwyyocFgqGQn6ADyI/edit?usp=sharing"",""กระบี่!Q125"")+IMPORTRANGE(""https://docs.google.com/spreadsheets/d/1GwtLaSlNZkLk7iDqcyZz22giiy40b_usZZBXYciEN1U/edit?usp=sharing"",""ชุ"&amp;"มพร!Q125"")+IMPORTRANGE(""https://docs.google.com/spreadsheets/d/16pAz3pOhQEZBhvFNMa5KGgZS6iKWpsKX0pg6tQmwFpo/edit?usp=sharing"",""ตรัง!Q125"")+IMPORTRANGE(""https://docs.google.com/spreadsheets/d/1Dj4jcHCTV9JXKCaMoheSXS52JE63kDKyG7bPXnFogHk/edit?usp=shar"&amp;"ing"",""นครศรีธรรมราช!Q125"")+IMPORTRANGE(""https://docs.google.com/spreadsheets/d/1iodCdmuK2GR3jzUwk8tpccY2JHQQA-87DLOtJP-ooyU/edit?usp=sharing"",""นราธิวาส!Q125"")+IMPORTRANGE(""https://docs.google.com/spreadsheets/d/1SDNX3JhDdYRuIOsj0Wh2M-Qa_eaXl0NbWmh"&amp;"AOTbfQAs/edit?usp=sharing"",""ปัตตานี!Q125"")+IMPORTRANGE(""https://docs.google.com/spreadsheets/d/16JDLGguT8s5DsGCND1KcwHP_AWR_zDMTqLHPLJUKhaU/edit?usp=sharing"",""พังงา!Q125"")+IMPORTRANGE(""https://docs.google.com/spreadsheets/d/17ht0gPKzzT3PObBL1XJkeR"&amp;"mntBXI7wGjpLV7QorqlTk/edit?usp=sharing"",""พัทลุง!Q125"")+IMPORTRANGE(""https://docs.google.com/spreadsheets/d/1rd4qoM1q_hsgaolqNGfrim9gbsoLxQsda4-vOz5x_BM/edit?usp=sharing"",""ภูเก็ต!Q125"")+IMPORTRANGE(""https://docs.google.com/spreadsheets/d/1woKwKjgoL"&amp;"ssDvPcPeVyezB5izizAn4X1JDrys69n6xI/edit?usp=sharing"",""ยะลา!Q125"")+IMPORTRANGE(""https://docs.google.com/spreadsheets/d/1qfrKjzMhm2HJfxQ-qVlJlJQ25Hne1d0khsySbZyGtPA/edit?usp=sharing"",""ระนอง!Q125"")+IMPORTRANGE(""https://docs.google.com/spreadsheets/d/"&amp;"1IbSCnFOKpZsnFogBHJnL_isstZVaOMnFiIN0fGTPZZw/edit?usp=sharing"",""สงขลา!Q125"")+IMPORTRANGE(""https://docs.google.com/spreadsheets/d/1q9nWasZJ-K8bFGvbE9n0qSRuKGA4Toe3Y89cKCiVtCU/edit?usp=sharing"",""สตูล!Q125"")+IMPORTRANGE(""https://docs.google.com/sprea"&amp;"dsheets/d/18T20gbkS_WBjdscyTOV05cvq_JqvqQ17C81mpxf7Ncs/edit?usp=sharing"",""สุราษฎร์ธานี!Q125"")"),3350000)</f>
        <v>3350000</v>
      </c>
      <c r="R125" s="47">
        <f ca="1">IFERROR(__xludf.DUMMYFUNCTION("IMPORTRANGE(""https://docs.google.com/spreadsheets/d/1kKUcYdkIfrgTSj8iHHHB2MD2FAtwyyocFgqGQn6ADyI/edit?usp=sharing"",""กระบี่!R125"")+IMPORTRANGE(""https://docs.google.com/spreadsheets/d/1GwtLaSlNZkLk7iDqcyZz22giiy40b_usZZBXYciEN1U/edit?usp=sharing"",""ชุ"&amp;"มพร!R125"")+IMPORTRANGE(""https://docs.google.com/spreadsheets/d/16pAz3pOhQEZBhvFNMa5KGgZS6iKWpsKX0pg6tQmwFpo/edit?usp=sharing"",""ตรัง!R125"")+IMPORTRANGE(""https://docs.google.com/spreadsheets/d/1Dj4jcHCTV9JXKCaMoheSXS52JE63kDKyG7bPXnFogHk/edit?usp=shar"&amp;"ing"",""นครศรีธรรมราช!R125"")+IMPORTRANGE(""https://docs.google.com/spreadsheets/d/1iodCdmuK2GR3jzUwk8tpccY2JHQQA-87DLOtJP-ooyU/edit?usp=sharing"",""นราธิวาส!R125"")+IMPORTRANGE(""https://docs.google.com/spreadsheets/d/1SDNX3JhDdYRuIOsj0Wh2M-Qa_eaXl0NbWmh"&amp;"AOTbfQAs/edit?usp=sharing"",""ปัตตานี!R125"")+IMPORTRANGE(""https://docs.google.com/spreadsheets/d/16JDLGguT8s5DsGCND1KcwHP_AWR_zDMTqLHPLJUKhaU/edit?usp=sharing"",""พังงา!R125"")+IMPORTRANGE(""https://docs.google.com/spreadsheets/d/17ht0gPKzzT3PObBL1XJkeR"&amp;"mntBXI7wGjpLV7QorqlTk/edit?usp=sharing"",""พัทลุง!R125"")+IMPORTRANGE(""https://docs.google.com/spreadsheets/d/1rd4qoM1q_hsgaolqNGfrim9gbsoLxQsda4-vOz5x_BM/edit?usp=sharing"",""ภูเก็ต!R125"")+IMPORTRANGE(""https://docs.google.com/spreadsheets/d/1woKwKjgoL"&amp;"ssDvPcPeVyezB5izizAn4X1JDrys69n6xI/edit?usp=sharing"",""ยะลา!R125"")+IMPORTRANGE(""https://docs.google.com/spreadsheets/d/1qfrKjzMhm2HJfxQ-qVlJlJQ25Hne1d0khsySbZyGtPA/edit?usp=sharing"",""ระนอง!R125"")+IMPORTRANGE(""https://docs.google.com/spreadsheets/d/"&amp;"1IbSCnFOKpZsnFogBHJnL_isstZVaOMnFiIN0fGTPZZw/edit?usp=sharing"",""สงขลา!R125"")+IMPORTRANGE(""https://docs.google.com/spreadsheets/d/1q9nWasZJ-K8bFGvbE9n0qSRuKGA4Toe3Y89cKCiVtCU/edit?usp=sharing"",""สตูล!R125"")+IMPORTRANGE(""https://docs.google.com/sprea"&amp;"dsheets/d/18T20gbkS_WBjdscyTOV05cvq_JqvqQ17C81mpxf7Ncs/edit?usp=sharing"",""สุราษฎร์ธานี!R125"")"),3350000)</f>
        <v>3350000</v>
      </c>
      <c r="S125" s="47">
        <f ca="1">IFERROR(__xludf.DUMMYFUNCTION("IMPORTRANGE(""https://docs.google.com/spreadsheets/d/1kKUcYdkIfrgTSj8iHHHB2MD2FAtwyyocFgqGQn6ADyI/edit?usp=sharing"",""กระบี่!S125"")+IMPORTRANGE(""https://docs.google.com/spreadsheets/d/1GwtLaSlNZkLk7iDqcyZz22giiy40b_usZZBXYciEN1U/edit?usp=sharing"",""ชุ"&amp;"มพร!S125"")+IMPORTRANGE(""https://docs.google.com/spreadsheets/d/16pAz3pOhQEZBhvFNMa5KGgZS6iKWpsKX0pg6tQmwFpo/edit?usp=sharing"",""ตรัง!S125"")+IMPORTRANGE(""https://docs.google.com/spreadsheets/d/1Dj4jcHCTV9JXKCaMoheSXS52JE63kDKyG7bPXnFogHk/edit?usp=shar"&amp;"ing"",""นครศรีธรรมราช!S125"")+IMPORTRANGE(""https://docs.google.com/spreadsheets/d/1iodCdmuK2GR3jzUwk8tpccY2JHQQA-87DLOtJP-ooyU/edit?usp=sharing"",""นราธิวาส!S125"")+IMPORTRANGE(""https://docs.google.com/spreadsheets/d/1SDNX3JhDdYRuIOsj0Wh2M-Qa_eaXl0NbWmh"&amp;"AOTbfQAs/edit?usp=sharing"",""ปัตตานี!S125"")+IMPORTRANGE(""https://docs.google.com/spreadsheets/d/16JDLGguT8s5DsGCND1KcwHP_AWR_zDMTqLHPLJUKhaU/edit?usp=sharing"",""พังงา!S125"")+IMPORTRANGE(""https://docs.google.com/spreadsheets/d/17ht0gPKzzT3PObBL1XJkeR"&amp;"mntBXI7wGjpLV7QorqlTk/edit?usp=sharing"",""พัทลุง!S125"")+IMPORTRANGE(""https://docs.google.com/spreadsheets/d/1rd4qoM1q_hsgaolqNGfrim9gbsoLxQsda4-vOz5x_BM/edit?usp=sharing"",""ภูเก็ต!S125"")+IMPORTRANGE(""https://docs.google.com/spreadsheets/d/1woKwKjgoL"&amp;"ssDvPcPeVyezB5izizAn4X1JDrys69n6xI/edit?usp=sharing"",""ยะลา!S125"")+IMPORTRANGE(""https://docs.google.com/spreadsheets/d/1qfrKjzMhm2HJfxQ-qVlJlJQ25Hne1d0khsySbZyGtPA/edit?usp=sharing"",""ระนอง!S125"")+IMPORTRANGE(""https://docs.google.com/spreadsheets/d/"&amp;"1IbSCnFOKpZsnFogBHJnL_isstZVaOMnFiIN0fGTPZZw/edit?usp=sharing"",""สงขลา!S125"")+IMPORTRANGE(""https://docs.google.com/spreadsheets/d/1q9nWasZJ-K8bFGvbE9n0qSRuKGA4Toe3Y89cKCiVtCU/edit?usp=sharing"",""สตูล!S125"")+IMPORTRANGE(""https://docs.google.com/sprea"&amp;"dsheets/d/18T20gbkS_WBjdscyTOV05cvq_JqvqQ17C81mpxf7Ncs/edit?usp=sharing"",""สุราษฎร์ธานี!S125"")"),0)</f>
        <v>0</v>
      </c>
      <c r="T125" s="47">
        <f t="shared" ca="1" si="94"/>
        <v>0</v>
      </c>
      <c r="U125" s="47">
        <f t="shared" ca="1" si="95"/>
        <v>0</v>
      </c>
    </row>
    <row r="126" spans="1:21" ht="19.5" x14ac:dyDescent="0.3">
      <c r="A126" s="138"/>
      <c r="B126" s="139"/>
      <c r="C126" s="188" t="s">
        <v>18</v>
      </c>
      <c r="D126" s="140" t="s">
        <v>38</v>
      </c>
      <c r="E126" s="141"/>
      <c r="F126" s="141"/>
      <c r="G126" s="142"/>
      <c r="H126" s="189"/>
      <c r="I126" s="45"/>
      <c r="J126" s="45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kKUcYdkIfrgTSj8iHHHB2MD2FAtwyyocFgqGQn6ADyI/edit?usp=sharing"",""กระบี่!I127"")+IMPORTRANGE(""https://docs.google.com/spreadsheets/d/1GwtLaSlNZkLk7iDqcyZz22giiy40b_usZZBXYciEN1U/edit?usp=sharing"",""ชุ"&amp;"มพร!I127"")+IMPORTRANGE(""https://docs.google.com/spreadsheets/d/16pAz3pOhQEZBhvFNMa5KGgZS6iKWpsKX0pg6tQmwFpo/edit?usp=sharing"",""ตรัง!I127"")+IMPORTRANGE(""https://docs.google.com/spreadsheets/d/1Dj4jcHCTV9JXKCaMoheSXS52JE63kDKyG7bPXnFogHk/edit?usp=shar"&amp;"ing"",""นครศรีธรรมราช!I127"")+IMPORTRANGE(""https://docs.google.com/spreadsheets/d/1iodCdmuK2GR3jzUwk8tpccY2JHQQA-87DLOtJP-ooyU/edit?usp=sharing"",""นราธิวาส!I127"")+IMPORTRANGE(""https://docs.google.com/spreadsheets/d/1SDNX3JhDdYRuIOsj0Wh2M-Qa_eaXl0NbWmh"&amp;"AOTbfQAs/edit?usp=sharing"",""ปัตตานี!I127"")+IMPORTRANGE(""https://docs.google.com/spreadsheets/d/16JDLGguT8s5DsGCND1KcwHP_AWR_zDMTqLHPLJUKhaU/edit?usp=sharing"",""พังงา!I127"")+IMPORTRANGE(""https://docs.google.com/spreadsheets/d/17ht0gPKzzT3PObBL1XJkeR"&amp;"mntBXI7wGjpLV7QorqlTk/edit?usp=sharing"",""พัทลุง!I127"")+IMPORTRANGE(""https://docs.google.com/spreadsheets/d/1rd4qoM1q_hsgaolqNGfrim9gbsoLxQsda4-vOz5x_BM/edit?usp=sharing"",""ภูเก็ต!I127"")+IMPORTRANGE(""https://docs.google.com/spreadsheets/d/1woKwKjgoL"&amp;"ssDvPcPeVyezB5izizAn4X1JDrys69n6xI/edit?usp=sharing"",""ยะลา!I127"")+IMPORTRANGE(""https://docs.google.com/spreadsheets/d/1qfrKjzMhm2HJfxQ-qVlJlJQ25Hne1d0khsySbZyGtPA/edit?usp=sharing"",""ระนอง!I127"")+IMPORTRANGE(""https://docs.google.com/spreadsheets/d/"&amp;"1IbSCnFOKpZsnFogBHJnL_isstZVaOMnFiIN0fGTPZZw/edit?usp=sharing"",""สงขลา!I127"")+IMPORTRANGE(""https://docs.google.com/spreadsheets/d/1q9nWasZJ-K8bFGvbE9n0qSRuKGA4Toe3Y89cKCiVtCU/edit?usp=sharing"",""สตูล!I127"")+IMPORTRANGE(""https://docs.google.com/sprea"&amp;"dsheets/d/18T20gbkS_WBjdscyTOV05cvq_JqvqQ17C81mpxf7Ncs/edit?usp=sharing"",""สุราษฎร์ธานี!I127"")"),255)</f>
        <v>255</v>
      </c>
      <c r="J127" s="167">
        <f ca="1">IFERROR(__xludf.DUMMYFUNCTION("IMPORTRANGE(""https://docs.google.com/spreadsheets/d/1kKUcYdkIfrgTSj8iHHHB2MD2FAtwyyocFgqGQn6ADyI/edit?usp=sharing"",""กระบี่!J127"")+IMPORTRANGE(""https://docs.google.com/spreadsheets/d/1GwtLaSlNZkLk7iDqcyZz22giiy40b_usZZBXYciEN1U/edit?usp=sharing"",""ชุ"&amp;"มพร!J127"")+IMPORTRANGE(""https://docs.google.com/spreadsheets/d/16pAz3pOhQEZBhvFNMa5KGgZS6iKWpsKX0pg6tQmwFpo/edit?usp=sharing"",""ตรัง!J127"")+IMPORTRANGE(""https://docs.google.com/spreadsheets/d/1Dj4jcHCTV9JXKCaMoheSXS52JE63kDKyG7bPXnFogHk/edit?usp=shar"&amp;"ing"",""นครศรีธรรมราช!J127"")+IMPORTRANGE(""https://docs.google.com/spreadsheets/d/1iodCdmuK2GR3jzUwk8tpccY2JHQQA-87DLOtJP-ooyU/edit?usp=sharing"",""นราธิวาส!J127"")+IMPORTRANGE(""https://docs.google.com/spreadsheets/d/1SDNX3JhDdYRuIOsj0Wh2M-Qa_eaXl0NbWmh"&amp;"AOTbfQAs/edit?usp=sharing"",""ปัตตานี!J127"")+IMPORTRANGE(""https://docs.google.com/spreadsheets/d/16JDLGguT8s5DsGCND1KcwHP_AWR_zDMTqLHPLJUKhaU/edit?usp=sharing"",""พังงา!J127"")+IMPORTRANGE(""https://docs.google.com/spreadsheets/d/17ht0gPKzzT3PObBL1XJkeR"&amp;"mntBXI7wGjpLV7QorqlTk/edit?usp=sharing"",""พัทลุง!J127"")+IMPORTRANGE(""https://docs.google.com/spreadsheets/d/1rd4qoM1q_hsgaolqNGfrim9gbsoLxQsda4-vOz5x_BM/edit?usp=sharing"",""ภูเก็ต!J127"")+IMPORTRANGE(""https://docs.google.com/spreadsheets/d/1woKwKjgoL"&amp;"ssDvPcPeVyezB5izizAn4X1JDrys69n6xI/edit?usp=sharing"",""ยะลา!J127"")+IMPORTRANGE(""https://docs.google.com/spreadsheets/d/1qfrKjzMhm2HJfxQ-qVlJlJQ25Hne1d0khsySbZyGtPA/edit?usp=sharing"",""ระนอง!J127"")+IMPORTRANGE(""https://docs.google.com/spreadsheets/d/"&amp;"1IbSCnFOKpZsnFogBHJnL_isstZVaOMnFiIN0fGTPZZw/edit?usp=sharing"",""สงขลา!J127"")+IMPORTRANGE(""https://docs.google.com/spreadsheets/d/1q9nWasZJ-K8bFGvbE9n0qSRuKGA4Toe3Y89cKCiVtCU/edit?usp=sharing"",""สตูล!J127"")+IMPORTRANGE(""https://docs.google.com/sprea"&amp;"dsheets/d/18T20gbkS_WBjdscyTOV05cvq_JqvqQ17C81mpxf7Ncs/edit?usp=sharing"",""สุราษฎร์ธานี!J127"")"),210)</f>
        <v>210</v>
      </c>
      <c r="K127" s="47">
        <f t="shared" ref="K127:K130" ca="1" si="104">IF(I127&gt;0,J127*100/I127,0)</f>
        <v>82.352941176470594</v>
      </c>
      <c r="L127" s="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kKUcYdkIfrgTSj8iHHHB2MD2FAtwyyocFgqGQn6ADyI/edit?usp=sharing"",""กระบี่!I128"")+IMPORTRANGE(""https://docs.google.com/spreadsheets/d/1GwtLaSlNZkLk7iDqcyZz22giiy40b_usZZBXYciEN1U/edit?usp=sharing"",""ชุ"&amp;"มพร!I128"")+IMPORTRANGE(""https://docs.google.com/spreadsheets/d/16pAz3pOhQEZBhvFNMa5KGgZS6iKWpsKX0pg6tQmwFpo/edit?usp=sharing"",""ตรัง!I128"")+IMPORTRANGE(""https://docs.google.com/spreadsheets/d/1Dj4jcHCTV9JXKCaMoheSXS52JE63kDKyG7bPXnFogHk/edit?usp=shar"&amp;"ing"",""นครศรีธรรมราช!I128"")+IMPORTRANGE(""https://docs.google.com/spreadsheets/d/1iodCdmuK2GR3jzUwk8tpccY2JHQQA-87DLOtJP-ooyU/edit?usp=sharing"",""นราธิวาส!I128"")+IMPORTRANGE(""https://docs.google.com/spreadsheets/d/1SDNX3JhDdYRuIOsj0Wh2M-Qa_eaXl0NbWmh"&amp;"AOTbfQAs/edit?usp=sharing"",""ปัตตานี!I128"")+IMPORTRANGE(""https://docs.google.com/spreadsheets/d/16JDLGguT8s5DsGCND1KcwHP_AWR_zDMTqLHPLJUKhaU/edit?usp=sharing"",""พังงา!I128"")+IMPORTRANGE(""https://docs.google.com/spreadsheets/d/17ht0gPKzzT3PObBL1XJkeR"&amp;"mntBXI7wGjpLV7QorqlTk/edit?usp=sharing"",""พัทลุง!I128"")+IMPORTRANGE(""https://docs.google.com/spreadsheets/d/1rd4qoM1q_hsgaolqNGfrim9gbsoLxQsda4-vOz5x_BM/edit?usp=sharing"",""ภูเก็ต!I128"")+IMPORTRANGE(""https://docs.google.com/spreadsheets/d/1woKwKjgoL"&amp;"ssDvPcPeVyezB5izizAn4X1JDrys69n6xI/edit?usp=sharing"",""ยะลา!I128"")+IMPORTRANGE(""https://docs.google.com/spreadsheets/d/1qfrKjzMhm2HJfxQ-qVlJlJQ25Hne1d0khsySbZyGtPA/edit?usp=sharing"",""ระนอง!I128"")+IMPORTRANGE(""https://docs.google.com/spreadsheets/d/"&amp;"1IbSCnFOKpZsnFogBHJnL_isstZVaOMnFiIN0fGTPZZw/edit?usp=sharing"",""สงขลา!I128"")+IMPORTRANGE(""https://docs.google.com/spreadsheets/d/1q9nWasZJ-K8bFGvbE9n0qSRuKGA4Toe3Y89cKCiVtCU/edit?usp=sharing"",""สตูล!I128"")+IMPORTRANGE(""https://docs.google.com/sprea"&amp;"dsheets/d/18T20gbkS_WBjdscyTOV05cvq_JqvqQ17C81mpxf7Ncs/edit?usp=sharing"",""สุราษฎร์ธานี!I128"")"),0)</f>
        <v>0</v>
      </c>
      <c r="J128" s="167">
        <f ca="1">IFERROR(__xludf.DUMMYFUNCTION("IMPORTRANGE(""https://docs.google.com/spreadsheets/d/1kKUcYdkIfrgTSj8iHHHB2MD2FAtwyyocFgqGQn6ADyI/edit?usp=sharing"",""กระบี่!J128"")+IMPORTRANGE(""https://docs.google.com/spreadsheets/d/1GwtLaSlNZkLk7iDqcyZz22giiy40b_usZZBXYciEN1U/edit?usp=sharing"",""ชุ"&amp;"มพร!J128"")+IMPORTRANGE(""https://docs.google.com/spreadsheets/d/16pAz3pOhQEZBhvFNMa5KGgZS6iKWpsKX0pg6tQmwFpo/edit?usp=sharing"",""ตรัง!J128"")+IMPORTRANGE(""https://docs.google.com/spreadsheets/d/1Dj4jcHCTV9JXKCaMoheSXS52JE63kDKyG7bPXnFogHk/edit?usp=shar"&amp;"ing"",""นครศรีธรรมราช!J128"")+IMPORTRANGE(""https://docs.google.com/spreadsheets/d/1iodCdmuK2GR3jzUwk8tpccY2JHQQA-87DLOtJP-ooyU/edit?usp=sharing"",""นราธิวาส!J128"")+IMPORTRANGE(""https://docs.google.com/spreadsheets/d/1SDNX3JhDdYRuIOsj0Wh2M-Qa_eaXl0NbWmh"&amp;"AOTbfQAs/edit?usp=sharing"",""ปัตตานี!J128"")+IMPORTRANGE(""https://docs.google.com/spreadsheets/d/16JDLGguT8s5DsGCND1KcwHP_AWR_zDMTqLHPLJUKhaU/edit?usp=sharing"",""พังงา!J128"")+IMPORTRANGE(""https://docs.google.com/spreadsheets/d/17ht0gPKzzT3PObBL1XJkeR"&amp;"mntBXI7wGjpLV7QorqlTk/edit?usp=sharing"",""พัทลุง!J128"")+IMPORTRANGE(""https://docs.google.com/spreadsheets/d/1rd4qoM1q_hsgaolqNGfrim9gbsoLxQsda4-vOz5x_BM/edit?usp=sharing"",""ภูเก็ต!J128"")+IMPORTRANGE(""https://docs.google.com/spreadsheets/d/1woKwKjgoL"&amp;"ssDvPcPeVyezB5izizAn4X1JDrys69n6xI/edit?usp=sharing"",""ยะลา!J128"")+IMPORTRANGE(""https://docs.google.com/spreadsheets/d/1qfrKjzMhm2HJfxQ-qVlJlJQ25Hne1d0khsySbZyGtPA/edit?usp=sharing"",""ระนอง!J128"")+IMPORTRANGE(""https://docs.google.com/spreadsheets/d/"&amp;"1IbSCnFOKpZsnFogBHJnL_isstZVaOMnFiIN0fGTPZZw/edit?usp=sharing"",""สงขลา!J128"")+IMPORTRANGE(""https://docs.google.com/spreadsheets/d/1q9nWasZJ-K8bFGvbE9n0qSRuKGA4Toe3Y89cKCiVtCU/edit?usp=sharing"",""สตูล!J128"")+IMPORTRANGE(""https://docs.google.com/sprea"&amp;"dsheets/d/18T20gbkS_WBjdscyTOV05cvq_JqvqQ17C81mpxf7Ncs/edit?usp=sharing"",""สุราษฎร์ธานี!J128"")"),4)</f>
        <v>4</v>
      </c>
      <c r="K128" s="47">
        <f t="shared" ca="1" si="104"/>
        <v>0</v>
      </c>
      <c r="L128" s="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kKUcYdkIfrgTSj8iHHHB2MD2FAtwyyocFgqGQn6ADyI/edit?usp=sharing"",""กระบี่!I129"")+IMPORTRANGE(""https://docs.google.com/spreadsheets/d/1GwtLaSlNZkLk7iDqcyZz22giiy40b_usZZBXYciEN1U/edit?usp=sharing"",""ชุ"&amp;"มพร!I129"")+IMPORTRANGE(""https://docs.google.com/spreadsheets/d/16pAz3pOhQEZBhvFNMa5KGgZS6iKWpsKX0pg6tQmwFpo/edit?usp=sharing"",""ตรัง!I129"")+IMPORTRANGE(""https://docs.google.com/spreadsheets/d/1Dj4jcHCTV9JXKCaMoheSXS52JE63kDKyG7bPXnFogHk/edit?usp=shar"&amp;"ing"",""นครศรีธรรมราช!I129"")+IMPORTRANGE(""https://docs.google.com/spreadsheets/d/1iodCdmuK2GR3jzUwk8tpccY2JHQQA-87DLOtJP-ooyU/edit?usp=sharing"",""นราธิวาส!I129"")+IMPORTRANGE(""https://docs.google.com/spreadsheets/d/1SDNX3JhDdYRuIOsj0Wh2M-Qa_eaXl0NbWmh"&amp;"AOTbfQAs/edit?usp=sharing"",""ปัตตานี!I129"")+IMPORTRANGE(""https://docs.google.com/spreadsheets/d/16JDLGguT8s5DsGCND1KcwHP_AWR_zDMTqLHPLJUKhaU/edit?usp=sharing"",""พังงา!I129"")+IMPORTRANGE(""https://docs.google.com/spreadsheets/d/17ht0gPKzzT3PObBL1XJkeR"&amp;"mntBXI7wGjpLV7QorqlTk/edit?usp=sharing"",""พัทลุง!I129"")+IMPORTRANGE(""https://docs.google.com/spreadsheets/d/1rd4qoM1q_hsgaolqNGfrim9gbsoLxQsda4-vOz5x_BM/edit?usp=sharing"",""ภูเก็ต!I129"")+IMPORTRANGE(""https://docs.google.com/spreadsheets/d/1woKwKjgoL"&amp;"ssDvPcPeVyezB5izizAn4X1JDrys69n6xI/edit?usp=sharing"",""ยะลา!I129"")+IMPORTRANGE(""https://docs.google.com/spreadsheets/d/1qfrKjzMhm2HJfxQ-qVlJlJQ25Hne1d0khsySbZyGtPA/edit?usp=sharing"",""ระนอง!I129"")+IMPORTRANGE(""https://docs.google.com/spreadsheets/d/"&amp;"1IbSCnFOKpZsnFogBHJnL_isstZVaOMnFiIN0fGTPZZw/edit?usp=sharing"",""สงขลา!I129"")+IMPORTRANGE(""https://docs.google.com/spreadsheets/d/1q9nWasZJ-K8bFGvbE9n0qSRuKGA4Toe3Y89cKCiVtCU/edit?usp=sharing"",""สตูล!I129"")+IMPORTRANGE(""https://docs.google.com/sprea"&amp;"dsheets/d/18T20gbkS_WBjdscyTOV05cvq_JqvqQ17C81mpxf7Ncs/edit?usp=sharing"",""สุราษฎร์ธานี!I129"")"),225)</f>
        <v>225</v>
      </c>
      <c r="J129" s="167">
        <f ca="1">IFERROR(__xludf.DUMMYFUNCTION("IMPORTRANGE(""https://docs.google.com/spreadsheets/d/1kKUcYdkIfrgTSj8iHHHB2MD2FAtwyyocFgqGQn6ADyI/edit?usp=sharing"",""กระบี่!J129"")+IMPORTRANGE(""https://docs.google.com/spreadsheets/d/1GwtLaSlNZkLk7iDqcyZz22giiy40b_usZZBXYciEN1U/edit?usp=sharing"",""ชุ"&amp;"มพร!J129"")+IMPORTRANGE(""https://docs.google.com/spreadsheets/d/16pAz3pOhQEZBhvFNMa5KGgZS6iKWpsKX0pg6tQmwFpo/edit?usp=sharing"",""ตรัง!J129"")+IMPORTRANGE(""https://docs.google.com/spreadsheets/d/1Dj4jcHCTV9JXKCaMoheSXS52JE63kDKyG7bPXnFogHk/edit?usp=shar"&amp;"ing"",""นครศรีธรรมราช!J129"")+IMPORTRANGE(""https://docs.google.com/spreadsheets/d/1iodCdmuK2GR3jzUwk8tpccY2JHQQA-87DLOtJP-ooyU/edit?usp=sharing"",""นราธิวาส!J129"")+IMPORTRANGE(""https://docs.google.com/spreadsheets/d/1SDNX3JhDdYRuIOsj0Wh2M-Qa_eaXl0NbWmh"&amp;"AOTbfQAs/edit?usp=sharing"",""ปัตตานี!J129"")+IMPORTRANGE(""https://docs.google.com/spreadsheets/d/16JDLGguT8s5DsGCND1KcwHP_AWR_zDMTqLHPLJUKhaU/edit?usp=sharing"",""พังงา!J129"")+IMPORTRANGE(""https://docs.google.com/spreadsheets/d/17ht0gPKzzT3PObBL1XJkeR"&amp;"mntBXI7wGjpLV7QorqlTk/edit?usp=sharing"",""พัทลุง!J129"")+IMPORTRANGE(""https://docs.google.com/spreadsheets/d/1rd4qoM1q_hsgaolqNGfrim9gbsoLxQsda4-vOz5x_BM/edit?usp=sharing"",""ภูเก็ต!J129"")+IMPORTRANGE(""https://docs.google.com/spreadsheets/d/1woKwKjgoL"&amp;"ssDvPcPeVyezB5izizAn4X1JDrys69n6xI/edit?usp=sharing"",""ยะลา!J129"")+IMPORTRANGE(""https://docs.google.com/spreadsheets/d/1qfrKjzMhm2HJfxQ-qVlJlJQ25Hne1d0khsySbZyGtPA/edit?usp=sharing"",""ระนอง!J129"")+IMPORTRANGE(""https://docs.google.com/spreadsheets/d/"&amp;"1IbSCnFOKpZsnFogBHJnL_isstZVaOMnFiIN0fGTPZZw/edit?usp=sharing"",""สงขลา!J129"")+IMPORTRANGE(""https://docs.google.com/spreadsheets/d/1q9nWasZJ-K8bFGvbE9n0qSRuKGA4Toe3Y89cKCiVtCU/edit?usp=sharing"",""สตูล!J129"")+IMPORTRANGE(""https://docs.google.com/sprea"&amp;"dsheets/d/18T20gbkS_WBjdscyTOV05cvq_JqvqQ17C81mpxf7Ncs/edit?usp=sharing"",""สุราษฎร์ธานี!J129"")"),180)</f>
        <v>180</v>
      </c>
      <c r="K129" s="47">
        <f t="shared" ca="1" si="104"/>
        <v>80</v>
      </c>
      <c r="L129" s="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kKUcYdkIfrgTSj8iHHHB2MD2FAtwyyocFgqGQn6ADyI/edit?usp=sharing"",""กระบี่!I130"")+IMPORTRANGE(""https://docs.google.com/spreadsheets/d/1GwtLaSlNZkLk7iDqcyZz22giiy40b_usZZBXYciEN1U/edit?usp=sharing"",""ชุ"&amp;"มพร!I130"")+IMPORTRANGE(""https://docs.google.com/spreadsheets/d/16pAz3pOhQEZBhvFNMa5KGgZS6iKWpsKX0pg6tQmwFpo/edit?usp=sharing"",""ตรัง!I130"")+IMPORTRANGE(""https://docs.google.com/spreadsheets/d/1Dj4jcHCTV9JXKCaMoheSXS52JE63kDKyG7bPXnFogHk/edit?usp=shar"&amp;"ing"",""นครศรีธรรมราช!I130"")+IMPORTRANGE(""https://docs.google.com/spreadsheets/d/1iodCdmuK2GR3jzUwk8tpccY2JHQQA-87DLOtJP-ooyU/edit?usp=sharing"",""นราธิวาส!I130"")+IMPORTRANGE(""https://docs.google.com/spreadsheets/d/1SDNX3JhDdYRuIOsj0Wh2M-Qa_eaXl0NbWmh"&amp;"AOTbfQAs/edit?usp=sharing"",""ปัตตานี!I130"")+IMPORTRANGE(""https://docs.google.com/spreadsheets/d/16JDLGguT8s5DsGCND1KcwHP_AWR_zDMTqLHPLJUKhaU/edit?usp=sharing"",""พังงา!I130"")+IMPORTRANGE(""https://docs.google.com/spreadsheets/d/17ht0gPKzzT3PObBL1XJkeR"&amp;"mntBXI7wGjpLV7QorqlTk/edit?usp=sharing"",""พัทลุง!I130"")+IMPORTRANGE(""https://docs.google.com/spreadsheets/d/1rd4qoM1q_hsgaolqNGfrim9gbsoLxQsda4-vOz5x_BM/edit?usp=sharing"",""ภูเก็ต!I130"")+IMPORTRANGE(""https://docs.google.com/spreadsheets/d/1woKwKjgoL"&amp;"ssDvPcPeVyezB5izizAn4X1JDrys69n6xI/edit?usp=sharing"",""ยะลา!I130"")+IMPORTRANGE(""https://docs.google.com/spreadsheets/d/1qfrKjzMhm2HJfxQ-qVlJlJQ25Hne1d0khsySbZyGtPA/edit?usp=sharing"",""ระนอง!I130"")+IMPORTRANGE(""https://docs.google.com/spreadsheets/d/"&amp;"1IbSCnFOKpZsnFogBHJnL_isstZVaOMnFiIN0fGTPZZw/edit?usp=sharing"",""สงขลา!I130"")+IMPORTRANGE(""https://docs.google.com/spreadsheets/d/1q9nWasZJ-K8bFGvbE9n0qSRuKGA4Toe3Y89cKCiVtCU/edit?usp=sharing"",""สตูล!I130"")+IMPORTRANGE(""https://docs.google.com/sprea"&amp;"dsheets/d/18T20gbkS_WBjdscyTOV05cvq_JqvqQ17C81mpxf7Ncs/edit?usp=sharing"",""สุราษฎร์ธานี!I130"")"),0)</f>
        <v>0</v>
      </c>
      <c r="J130" s="167">
        <f ca="1">IFERROR(__xludf.DUMMYFUNCTION("IMPORTRANGE(""https://docs.google.com/spreadsheets/d/1kKUcYdkIfrgTSj8iHHHB2MD2FAtwyyocFgqGQn6ADyI/edit?usp=sharing"",""กระบี่!J130"")+IMPORTRANGE(""https://docs.google.com/spreadsheets/d/1GwtLaSlNZkLk7iDqcyZz22giiy40b_usZZBXYciEN1U/edit?usp=sharing"",""ชุ"&amp;"มพร!J130"")+IMPORTRANGE(""https://docs.google.com/spreadsheets/d/16pAz3pOhQEZBhvFNMa5KGgZS6iKWpsKX0pg6tQmwFpo/edit?usp=sharing"",""ตรัง!J130"")+IMPORTRANGE(""https://docs.google.com/spreadsheets/d/1Dj4jcHCTV9JXKCaMoheSXS52JE63kDKyG7bPXnFogHk/edit?usp=shar"&amp;"ing"",""นครศรีธรรมราช!J130"")+IMPORTRANGE(""https://docs.google.com/spreadsheets/d/1iodCdmuK2GR3jzUwk8tpccY2JHQQA-87DLOtJP-ooyU/edit?usp=sharing"",""นราธิวาส!J130"")+IMPORTRANGE(""https://docs.google.com/spreadsheets/d/1SDNX3JhDdYRuIOsj0Wh2M-Qa_eaXl0NbWmh"&amp;"AOTbfQAs/edit?usp=sharing"",""ปัตตานี!J130"")+IMPORTRANGE(""https://docs.google.com/spreadsheets/d/16JDLGguT8s5DsGCND1KcwHP_AWR_zDMTqLHPLJUKhaU/edit?usp=sharing"",""พังงา!J130"")+IMPORTRANGE(""https://docs.google.com/spreadsheets/d/17ht0gPKzzT3PObBL1XJkeR"&amp;"mntBXI7wGjpLV7QorqlTk/edit?usp=sharing"",""พัทลุง!J130"")+IMPORTRANGE(""https://docs.google.com/spreadsheets/d/1rd4qoM1q_hsgaolqNGfrim9gbsoLxQsda4-vOz5x_BM/edit?usp=sharing"",""ภูเก็ต!J130"")+IMPORTRANGE(""https://docs.google.com/spreadsheets/d/1woKwKjgoL"&amp;"ssDvPcPeVyezB5izizAn4X1JDrys69n6xI/edit?usp=sharing"",""ยะลา!J130"")+IMPORTRANGE(""https://docs.google.com/spreadsheets/d/1qfrKjzMhm2HJfxQ-qVlJlJQ25Hne1d0khsySbZyGtPA/edit?usp=sharing"",""ระนอง!J130"")+IMPORTRANGE(""https://docs.google.com/spreadsheets/d/"&amp;"1IbSCnFOKpZsnFogBHJnL_isstZVaOMnFiIN0fGTPZZw/edit?usp=sharing"",""สงขลา!J130"")+IMPORTRANGE(""https://docs.google.com/spreadsheets/d/1q9nWasZJ-K8bFGvbE9n0qSRuKGA4Toe3Y89cKCiVtCU/edit?usp=sharing"",""สตูล!J130"")+IMPORTRANGE(""https://docs.google.com/sprea"&amp;"dsheets/d/18T20gbkS_WBjdscyTOV05cvq_JqvqQ17C81mpxf7Ncs/edit?usp=sharing"",""สุราษฎร์ธานี!J130"")"),4)</f>
        <v>4</v>
      </c>
      <c r="K130" s="47">
        <f t="shared" ca="1" si="104"/>
        <v>0</v>
      </c>
      <c r="L130" s="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t="shared" ref="I136:J136" ca="1" si="105">I154</f>
        <v>5</v>
      </c>
      <c r="J136" s="127">
        <f t="shared" ca="1" si="105"/>
        <v>0</v>
      </c>
      <c r="K136" s="35">
        <f t="shared" ref="K136:K138" ca="1" si="106">IF(I136&gt;0,J136*100/I136,0)</f>
        <v>0</v>
      </c>
      <c r="L136" s="34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t="shared" ref="I137:J137" ca="1" si="107">I152</f>
        <v>200</v>
      </c>
      <c r="J137" s="127">
        <f t="shared" ca="1" si="107"/>
        <v>90</v>
      </c>
      <c r="K137" s="35">
        <f t="shared" ca="1" si="106"/>
        <v>45</v>
      </c>
      <c r="L137" s="34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t="shared" ref="I138:J138" ca="1" si="108">I153</f>
        <v>20</v>
      </c>
      <c r="J138" s="127">
        <f t="shared" ca="1" si="108"/>
        <v>9</v>
      </c>
      <c r="K138" s="35">
        <f t="shared" ca="1" si="106"/>
        <v>45</v>
      </c>
      <c r="L138" s="34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13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132">
        <f t="shared" ref="L139:N139" ca="1" si="109">L140+L141</f>
        <v>597100</v>
      </c>
      <c r="M139" s="132">
        <f t="shared" ca="1" si="109"/>
        <v>562100</v>
      </c>
      <c r="N139" s="132">
        <f t="shared" ca="1" si="109"/>
        <v>386111.49</v>
      </c>
      <c r="O139" s="132">
        <f t="shared" ref="O139:O147" ca="1" si="110">IF(L139&gt;0,N139*100/L139,0)</f>
        <v>64.664459889465746</v>
      </c>
      <c r="P139" s="132">
        <f t="shared" ref="P139:P147" ca="1" si="111">IF(M139&gt;0,N139*100/M139,0)</f>
        <v>68.69088952143747</v>
      </c>
      <c r="Q139" s="132">
        <f t="shared" ref="Q139:S139" ca="1" si="112">Q140+Q141</f>
        <v>959020</v>
      </c>
      <c r="R139" s="132">
        <f t="shared" ca="1" si="112"/>
        <v>959020</v>
      </c>
      <c r="S139" s="132">
        <f t="shared" ca="1" si="112"/>
        <v>0</v>
      </c>
      <c r="T139" s="132">
        <f t="shared" ref="T139:T147" ca="1" si="113">IF(Q139&gt;0,S139*100/Q139,0)</f>
        <v>0</v>
      </c>
      <c r="U139" s="132">
        <f t="shared" ref="U139:U147" ca="1" si="114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48" t="s">
        <v>20</v>
      </c>
      <c r="F140" s="41"/>
      <c r="G140" s="43"/>
      <c r="H140" s="133" t="s">
        <v>14</v>
      </c>
      <c r="I140" s="45"/>
      <c r="J140" s="45"/>
      <c r="K140" s="46"/>
      <c r="L140" s="47">
        <f t="shared" ref="L140:N140" ca="1" si="115">L143+L146</f>
        <v>0</v>
      </c>
      <c r="M140" s="47">
        <f t="shared" ca="1" si="115"/>
        <v>0</v>
      </c>
      <c r="N140" s="47">
        <f t="shared" ca="1" si="115"/>
        <v>0</v>
      </c>
      <c r="O140" s="47">
        <f t="shared" ca="1" si="110"/>
        <v>0</v>
      </c>
      <c r="P140" s="47">
        <f t="shared" ca="1" si="111"/>
        <v>0</v>
      </c>
      <c r="Q140" s="47">
        <f t="shared" ref="Q140:S140" ca="1" si="116">Q143+Q146</f>
        <v>0</v>
      </c>
      <c r="R140" s="47">
        <f t="shared" ca="1" si="116"/>
        <v>0</v>
      </c>
      <c r="S140" s="47">
        <f t="shared" ca="1" si="116"/>
        <v>0</v>
      </c>
      <c r="T140" s="49">
        <f t="shared" ca="1" si="113"/>
        <v>0</v>
      </c>
      <c r="U140" s="49">
        <f t="shared" ca="1" si="114"/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7">
        <f t="shared" ref="L141:N141" ca="1" si="117">L144+L147</f>
        <v>597100</v>
      </c>
      <c r="M141" s="47">
        <f t="shared" ca="1" si="117"/>
        <v>562100</v>
      </c>
      <c r="N141" s="47">
        <f t="shared" ca="1" si="117"/>
        <v>386111.49</v>
      </c>
      <c r="O141" s="47">
        <f t="shared" ca="1" si="110"/>
        <v>64.664459889465746</v>
      </c>
      <c r="P141" s="47">
        <f t="shared" ca="1" si="111"/>
        <v>68.69088952143747</v>
      </c>
      <c r="Q141" s="47">
        <f t="shared" ref="Q141:S141" ca="1" si="118">Q144+Q147</f>
        <v>959020</v>
      </c>
      <c r="R141" s="47">
        <f t="shared" ca="1" si="118"/>
        <v>959020</v>
      </c>
      <c r="S141" s="47">
        <f t="shared" ca="1" si="118"/>
        <v>0</v>
      </c>
      <c r="T141" s="47">
        <f t="shared" ca="1" si="113"/>
        <v>0</v>
      </c>
      <c r="U141" s="47">
        <f t="shared" ca="1" si="114"/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7">
        <f t="shared" ref="L142:N142" ca="1" si="119">L143+L144</f>
        <v>597100</v>
      </c>
      <c r="M142" s="47">
        <f t="shared" ca="1" si="119"/>
        <v>562100</v>
      </c>
      <c r="N142" s="47">
        <f t="shared" ca="1" si="119"/>
        <v>386111.49</v>
      </c>
      <c r="O142" s="47">
        <f t="shared" ca="1" si="110"/>
        <v>64.664459889465746</v>
      </c>
      <c r="P142" s="47">
        <f t="shared" ca="1" si="111"/>
        <v>68.69088952143747</v>
      </c>
      <c r="Q142" s="47">
        <f t="shared" ref="Q142:S142" ca="1" si="120">Q143+Q144</f>
        <v>959020</v>
      </c>
      <c r="R142" s="47">
        <f t="shared" ca="1" si="120"/>
        <v>959020</v>
      </c>
      <c r="S142" s="47">
        <f t="shared" ca="1" si="120"/>
        <v>0</v>
      </c>
      <c r="T142" s="47">
        <f t="shared" ca="1" si="113"/>
        <v>0</v>
      </c>
      <c r="U142" s="47">
        <f t="shared" ca="1" si="114"/>
        <v>0</v>
      </c>
    </row>
    <row r="143" spans="1:21" ht="18.75" hidden="1" x14ac:dyDescent="0.25">
      <c r="A143" s="128"/>
      <c r="B143" s="41"/>
      <c r="C143" s="41"/>
      <c r="D143" s="41"/>
      <c r="E143" s="48" t="s">
        <v>36</v>
      </c>
      <c r="F143" s="41"/>
      <c r="G143" s="43"/>
      <c r="H143" s="134" t="s">
        <v>14</v>
      </c>
      <c r="I143" s="135"/>
      <c r="J143" s="135"/>
      <c r="K143" s="136"/>
      <c r="L143" s="47">
        <f ca="1">IFERROR(__xludf.DUMMYFUNCTION("IMPORTRANGE(""https://docs.google.com/spreadsheets/d/1kKUcYdkIfrgTSj8iHHHB2MD2FAtwyyocFgqGQn6ADyI/edit?usp=sharing"",""กระบี่!L143"")+IMPORTRANGE(""https://docs.google.com/spreadsheets/d/1GwtLaSlNZkLk7iDqcyZz22giiy40b_usZZBXYciEN1U/edit?usp=sharing"",""ชุ"&amp;"มพร!L143"")+IMPORTRANGE(""https://docs.google.com/spreadsheets/d/16pAz3pOhQEZBhvFNMa5KGgZS6iKWpsKX0pg6tQmwFpo/edit?usp=sharing"",""ตรัง!L143"")+IMPORTRANGE(""https://docs.google.com/spreadsheets/d/1Dj4jcHCTV9JXKCaMoheSXS52JE63kDKyG7bPXnFogHk/edit?usp=shar"&amp;"ing"",""นครศรีธรรมราช!L143"")+IMPORTRANGE(""https://docs.google.com/spreadsheets/d/1iodCdmuK2GR3jzUwk8tpccY2JHQQA-87DLOtJP-ooyU/edit?usp=sharing"",""นราธิวาส!L143"")+IMPORTRANGE(""https://docs.google.com/spreadsheets/d/1SDNX3JhDdYRuIOsj0Wh2M-Qa_eaXl0NbWmh"&amp;"AOTbfQAs/edit?usp=sharing"",""ปัตตานี!L143"")+IMPORTRANGE(""https://docs.google.com/spreadsheets/d/16JDLGguT8s5DsGCND1KcwHP_AWR_zDMTqLHPLJUKhaU/edit?usp=sharing"",""พังงา!L143"")+IMPORTRANGE(""https://docs.google.com/spreadsheets/d/17ht0gPKzzT3PObBL1XJkeR"&amp;"mntBXI7wGjpLV7QorqlTk/edit?usp=sharing"",""พัทลุง!L143"")+IMPORTRANGE(""https://docs.google.com/spreadsheets/d/1rd4qoM1q_hsgaolqNGfrim9gbsoLxQsda4-vOz5x_BM/edit?usp=sharing"",""ภูเก็ต!L143"")+IMPORTRANGE(""https://docs.google.com/spreadsheets/d/1woKwKjgoL"&amp;"ssDvPcPeVyezB5izizAn4X1JDrys69n6xI/edit?usp=sharing"",""ยะลา!L143"")+IMPORTRANGE(""https://docs.google.com/spreadsheets/d/1qfrKjzMhm2HJfxQ-qVlJlJQ25Hne1d0khsySbZyGtPA/edit?usp=sharing"",""ระนอง!L143"")+IMPORTRANGE(""https://docs.google.com/spreadsheets/d/"&amp;"1IbSCnFOKpZsnFogBHJnL_isstZVaOMnFiIN0fGTPZZw/edit?usp=sharing"",""สงขลา!L143"")+IMPORTRANGE(""https://docs.google.com/spreadsheets/d/1q9nWasZJ-K8bFGvbE9n0qSRuKGA4Toe3Y89cKCiVtCU/edit?usp=sharing"",""สตูล!L143"")+IMPORTRANGE(""https://docs.google.com/sprea"&amp;"dsheets/d/18T20gbkS_WBjdscyTOV05cvq_JqvqQ17C81mpxf7Ncs/edit?usp=sharing"",""สุราษฎร์ธานี!L143"")"),0)</f>
        <v>0</v>
      </c>
      <c r="M143" s="47">
        <f ca="1">IFERROR(__xludf.DUMMYFUNCTION("IMPORTRANGE(""https://docs.google.com/spreadsheets/d/1kKUcYdkIfrgTSj8iHHHB2MD2FAtwyyocFgqGQn6ADyI/edit?usp=sharing"",""กระบี่!M143"")+IMPORTRANGE(""https://docs.google.com/spreadsheets/d/1GwtLaSlNZkLk7iDqcyZz22giiy40b_usZZBXYciEN1U/edit?usp=sharing"",""ชุ"&amp;"มพร!M143"")+IMPORTRANGE(""https://docs.google.com/spreadsheets/d/16pAz3pOhQEZBhvFNMa5KGgZS6iKWpsKX0pg6tQmwFpo/edit?usp=sharing"",""ตรัง!M143"")+IMPORTRANGE(""https://docs.google.com/spreadsheets/d/1Dj4jcHCTV9JXKCaMoheSXS52JE63kDKyG7bPXnFogHk/edit?usp=shar"&amp;"ing"",""นครศรีธรรมราช!M143"")+IMPORTRANGE(""https://docs.google.com/spreadsheets/d/1iodCdmuK2GR3jzUwk8tpccY2JHQQA-87DLOtJP-ooyU/edit?usp=sharing"",""นราธิวาส!M143"")+IMPORTRANGE(""https://docs.google.com/spreadsheets/d/1SDNX3JhDdYRuIOsj0Wh2M-Qa_eaXl0NbWmh"&amp;"AOTbfQAs/edit?usp=sharing"",""ปัตตานี!M143"")+IMPORTRANGE(""https://docs.google.com/spreadsheets/d/16JDLGguT8s5DsGCND1KcwHP_AWR_zDMTqLHPLJUKhaU/edit?usp=sharing"",""พังงา!M143"")+IMPORTRANGE(""https://docs.google.com/spreadsheets/d/17ht0gPKzzT3PObBL1XJkeR"&amp;"mntBXI7wGjpLV7QorqlTk/edit?usp=sharing"",""พัทลุง!M143"")+IMPORTRANGE(""https://docs.google.com/spreadsheets/d/1rd4qoM1q_hsgaolqNGfrim9gbsoLxQsda4-vOz5x_BM/edit?usp=sharing"",""ภูเก็ต!M143"")+IMPORTRANGE(""https://docs.google.com/spreadsheets/d/1woKwKjgoL"&amp;"ssDvPcPeVyezB5izizAn4X1JDrys69n6xI/edit?usp=sharing"",""ยะลา!M143"")+IMPORTRANGE(""https://docs.google.com/spreadsheets/d/1qfrKjzMhm2HJfxQ-qVlJlJQ25Hne1d0khsySbZyGtPA/edit?usp=sharing"",""ระนอง!M143"")+IMPORTRANGE(""https://docs.google.com/spreadsheets/d/"&amp;"1IbSCnFOKpZsnFogBHJnL_isstZVaOMnFiIN0fGTPZZw/edit?usp=sharing"",""สงขลา!M143"")+IMPORTRANGE(""https://docs.google.com/spreadsheets/d/1q9nWasZJ-K8bFGvbE9n0qSRuKGA4Toe3Y89cKCiVtCU/edit?usp=sharing"",""สตูล!M143"")+IMPORTRANGE(""https://docs.google.com/sprea"&amp;"dsheets/d/18T20gbkS_WBjdscyTOV05cvq_JqvqQ17C81mpxf7Ncs/edit?usp=sharing"",""สุราษฎร์ธานี!M143"")"),0)</f>
        <v>0</v>
      </c>
      <c r="N143" s="47">
        <f ca="1">IFERROR(__xludf.DUMMYFUNCTION("IMPORTRANGE(""https://docs.google.com/spreadsheets/d/1kKUcYdkIfrgTSj8iHHHB2MD2FAtwyyocFgqGQn6ADyI/edit?usp=sharing"",""กระบี่!N143"")+IMPORTRANGE(""https://docs.google.com/spreadsheets/d/1GwtLaSlNZkLk7iDqcyZz22giiy40b_usZZBXYciEN1U/edit?usp=sharing"",""ชุ"&amp;"มพร!N143"")+IMPORTRANGE(""https://docs.google.com/spreadsheets/d/16pAz3pOhQEZBhvFNMa5KGgZS6iKWpsKX0pg6tQmwFpo/edit?usp=sharing"",""ตรัง!N143"")+IMPORTRANGE(""https://docs.google.com/spreadsheets/d/1Dj4jcHCTV9JXKCaMoheSXS52JE63kDKyG7bPXnFogHk/edit?usp=shar"&amp;"ing"",""นครศรีธรรมราช!N143"")+IMPORTRANGE(""https://docs.google.com/spreadsheets/d/1iodCdmuK2GR3jzUwk8tpccY2JHQQA-87DLOtJP-ooyU/edit?usp=sharing"",""นราธิวาส!N143"")+IMPORTRANGE(""https://docs.google.com/spreadsheets/d/1SDNX3JhDdYRuIOsj0Wh2M-Qa_eaXl0NbWmh"&amp;"AOTbfQAs/edit?usp=sharing"",""ปัตตานี!N143"")+IMPORTRANGE(""https://docs.google.com/spreadsheets/d/16JDLGguT8s5DsGCND1KcwHP_AWR_zDMTqLHPLJUKhaU/edit?usp=sharing"",""พังงา!N143"")+IMPORTRANGE(""https://docs.google.com/spreadsheets/d/17ht0gPKzzT3PObBL1XJkeR"&amp;"mntBXI7wGjpLV7QorqlTk/edit?usp=sharing"",""พัทลุง!N143"")+IMPORTRANGE(""https://docs.google.com/spreadsheets/d/1rd4qoM1q_hsgaolqNGfrim9gbsoLxQsda4-vOz5x_BM/edit?usp=sharing"",""ภูเก็ต!N143"")+IMPORTRANGE(""https://docs.google.com/spreadsheets/d/1woKwKjgoL"&amp;"ssDvPcPeVyezB5izizAn4X1JDrys69n6xI/edit?usp=sharing"",""ยะลา!N143"")+IMPORTRANGE(""https://docs.google.com/spreadsheets/d/1qfrKjzMhm2HJfxQ-qVlJlJQ25Hne1d0khsySbZyGtPA/edit?usp=sharing"",""ระนอง!N143"")+IMPORTRANGE(""https://docs.google.com/spreadsheets/d/"&amp;"1IbSCnFOKpZsnFogBHJnL_isstZVaOMnFiIN0fGTPZZw/edit?usp=sharing"",""สงขลา!N143"")+IMPORTRANGE(""https://docs.google.com/spreadsheets/d/1q9nWasZJ-K8bFGvbE9n0qSRuKGA4Toe3Y89cKCiVtCU/edit?usp=sharing"",""สตูล!N143"")+IMPORTRANGE(""https://docs.google.com/sprea"&amp;"dsheets/d/18T20gbkS_WBjdscyTOV05cvq_JqvqQ17C81mpxf7Ncs/edit?usp=sharing"",""สุราษฎร์ธานี!N143"")"),0)</f>
        <v>0</v>
      </c>
      <c r="O143" s="47">
        <f t="shared" ca="1" si="110"/>
        <v>0</v>
      </c>
      <c r="P143" s="47">
        <f t="shared" ca="1" si="111"/>
        <v>0</v>
      </c>
      <c r="Q143" s="47">
        <f ca="1">IFERROR(__xludf.DUMMYFUNCTION("IMPORTRANGE(""https://docs.google.com/spreadsheets/d/1kKUcYdkIfrgTSj8iHHHB2MD2FAtwyyocFgqGQn6ADyI/edit?usp=sharing"",""กระบี่!Q143"")+IMPORTRANGE(""https://docs.google.com/spreadsheets/d/1GwtLaSlNZkLk7iDqcyZz22giiy40b_usZZBXYciEN1U/edit?usp=sharing"",""ชุ"&amp;"มพร!Q143"")+IMPORTRANGE(""https://docs.google.com/spreadsheets/d/16pAz3pOhQEZBhvFNMa5KGgZS6iKWpsKX0pg6tQmwFpo/edit?usp=sharing"",""ตรัง!Q143"")+IMPORTRANGE(""https://docs.google.com/spreadsheets/d/1Dj4jcHCTV9JXKCaMoheSXS52JE63kDKyG7bPXnFogHk/edit?usp=shar"&amp;"ing"",""นครศรีธรรมราช!Q143"")+IMPORTRANGE(""https://docs.google.com/spreadsheets/d/1iodCdmuK2GR3jzUwk8tpccY2JHQQA-87DLOtJP-ooyU/edit?usp=sharing"",""นราธิวาส!Q143"")+IMPORTRANGE(""https://docs.google.com/spreadsheets/d/1SDNX3JhDdYRuIOsj0Wh2M-Qa_eaXl0NbWmh"&amp;"AOTbfQAs/edit?usp=sharing"",""ปัตตานี!Q143"")+IMPORTRANGE(""https://docs.google.com/spreadsheets/d/16JDLGguT8s5DsGCND1KcwHP_AWR_zDMTqLHPLJUKhaU/edit?usp=sharing"",""พังงา!Q143"")+IMPORTRANGE(""https://docs.google.com/spreadsheets/d/17ht0gPKzzT3PObBL1XJkeR"&amp;"mntBXI7wGjpLV7QorqlTk/edit?usp=sharing"",""พัทลุง!Q143"")+IMPORTRANGE(""https://docs.google.com/spreadsheets/d/1rd4qoM1q_hsgaolqNGfrim9gbsoLxQsda4-vOz5x_BM/edit?usp=sharing"",""ภูเก็ต!Q143"")+IMPORTRANGE(""https://docs.google.com/spreadsheets/d/1woKwKjgoL"&amp;"ssDvPcPeVyezB5izizAn4X1JDrys69n6xI/edit?usp=sharing"",""ยะลา!Q143"")+IMPORTRANGE(""https://docs.google.com/spreadsheets/d/1qfrKjzMhm2HJfxQ-qVlJlJQ25Hne1d0khsySbZyGtPA/edit?usp=sharing"",""ระนอง!Q143"")+IMPORTRANGE(""https://docs.google.com/spreadsheets/d/"&amp;"1IbSCnFOKpZsnFogBHJnL_isstZVaOMnFiIN0fGTPZZw/edit?usp=sharing"",""สงขลา!Q143"")+IMPORTRANGE(""https://docs.google.com/spreadsheets/d/1q9nWasZJ-K8bFGvbE9n0qSRuKGA4Toe3Y89cKCiVtCU/edit?usp=sharing"",""สตูล!Q143"")+IMPORTRANGE(""https://docs.google.com/sprea"&amp;"dsheets/d/18T20gbkS_WBjdscyTOV05cvq_JqvqQ17C81mpxf7Ncs/edit?usp=sharing"",""สุราษฎร์ธานี!Q143"")"),0)</f>
        <v>0</v>
      </c>
      <c r="R143" s="47">
        <f ca="1">IFERROR(__xludf.DUMMYFUNCTION("IMPORTRANGE(""https://docs.google.com/spreadsheets/d/1kKUcYdkIfrgTSj8iHHHB2MD2FAtwyyocFgqGQn6ADyI/edit?usp=sharing"",""กระบี่!R143"")+IMPORTRANGE(""https://docs.google.com/spreadsheets/d/1GwtLaSlNZkLk7iDqcyZz22giiy40b_usZZBXYciEN1U/edit?usp=sharing"",""ชุ"&amp;"มพร!R143"")+IMPORTRANGE(""https://docs.google.com/spreadsheets/d/16pAz3pOhQEZBhvFNMa5KGgZS6iKWpsKX0pg6tQmwFpo/edit?usp=sharing"",""ตรัง!R143"")+IMPORTRANGE(""https://docs.google.com/spreadsheets/d/1Dj4jcHCTV9JXKCaMoheSXS52JE63kDKyG7bPXnFogHk/edit?usp=shar"&amp;"ing"",""นครศรีธรรมราช!R143"")+IMPORTRANGE(""https://docs.google.com/spreadsheets/d/1iodCdmuK2GR3jzUwk8tpccY2JHQQA-87DLOtJP-ooyU/edit?usp=sharing"",""นราธิวาส!R143"")+IMPORTRANGE(""https://docs.google.com/spreadsheets/d/1SDNX3JhDdYRuIOsj0Wh2M-Qa_eaXl0NbWmh"&amp;"AOTbfQAs/edit?usp=sharing"",""ปัตตานี!R143"")+IMPORTRANGE(""https://docs.google.com/spreadsheets/d/16JDLGguT8s5DsGCND1KcwHP_AWR_zDMTqLHPLJUKhaU/edit?usp=sharing"",""พังงา!R143"")+IMPORTRANGE(""https://docs.google.com/spreadsheets/d/17ht0gPKzzT3PObBL1XJkeR"&amp;"mntBXI7wGjpLV7QorqlTk/edit?usp=sharing"",""พัทลุง!R143"")+IMPORTRANGE(""https://docs.google.com/spreadsheets/d/1rd4qoM1q_hsgaolqNGfrim9gbsoLxQsda4-vOz5x_BM/edit?usp=sharing"",""ภูเก็ต!R143"")+IMPORTRANGE(""https://docs.google.com/spreadsheets/d/1woKwKjgoL"&amp;"ssDvPcPeVyezB5izizAn4X1JDrys69n6xI/edit?usp=sharing"",""ยะลา!R143"")+IMPORTRANGE(""https://docs.google.com/spreadsheets/d/1qfrKjzMhm2HJfxQ-qVlJlJQ25Hne1d0khsySbZyGtPA/edit?usp=sharing"",""ระนอง!R143"")+IMPORTRANGE(""https://docs.google.com/spreadsheets/d/"&amp;"1IbSCnFOKpZsnFogBHJnL_isstZVaOMnFiIN0fGTPZZw/edit?usp=sharing"",""สงขลา!R143"")+IMPORTRANGE(""https://docs.google.com/spreadsheets/d/1q9nWasZJ-K8bFGvbE9n0qSRuKGA4Toe3Y89cKCiVtCU/edit?usp=sharing"",""สตูล!R143"")+IMPORTRANGE(""https://docs.google.com/sprea"&amp;"dsheets/d/18T20gbkS_WBjdscyTOV05cvq_JqvqQ17C81mpxf7Ncs/edit?usp=sharing"",""สุราษฎร์ธานี!R143"")"),0)</f>
        <v>0</v>
      </c>
      <c r="S143" s="47">
        <f ca="1">IFERROR(__xludf.DUMMYFUNCTION("IMPORTRANGE(""https://docs.google.com/spreadsheets/d/1kKUcYdkIfrgTSj8iHHHB2MD2FAtwyyocFgqGQn6ADyI/edit?usp=sharing"",""กระบี่!S143"")+IMPORTRANGE(""https://docs.google.com/spreadsheets/d/1GwtLaSlNZkLk7iDqcyZz22giiy40b_usZZBXYciEN1U/edit?usp=sharing"",""ชุ"&amp;"มพร!S143"")+IMPORTRANGE(""https://docs.google.com/spreadsheets/d/16pAz3pOhQEZBhvFNMa5KGgZS6iKWpsKX0pg6tQmwFpo/edit?usp=sharing"",""ตรัง!S143"")+IMPORTRANGE(""https://docs.google.com/spreadsheets/d/1Dj4jcHCTV9JXKCaMoheSXS52JE63kDKyG7bPXnFogHk/edit?usp=shar"&amp;"ing"",""นครศรีธรรมราช!S143"")+IMPORTRANGE(""https://docs.google.com/spreadsheets/d/1iodCdmuK2GR3jzUwk8tpccY2JHQQA-87DLOtJP-ooyU/edit?usp=sharing"",""นราธิวาส!S143"")+IMPORTRANGE(""https://docs.google.com/spreadsheets/d/1SDNX3JhDdYRuIOsj0Wh2M-Qa_eaXl0NbWmh"&amp;"AOTbfQAs/edit?usp=sharing"",""ปัตตานี!S143"")+IMPORTRANGE(""https://docs.google.com/spreadsheets/d/16JDLGguT8s5DsGCND1KcwHP_AWR_zDMTqLHPLJUKhaU/edit?usp=sharing"",""พังงา!S143"")+IMPORTRANGE(""https://docs.google.com/spreadsheets/d/17ht0gPKzzT3PObBL1XJkeR"&amp;"mntBXI7wGjpLV7QorqlTk/edit?usp=sharing"",""พัทลุง!S143"")+IMPORTRANGE(""https://docs.google.com/spreadsheets/d/1rd4qoM1q_hsgaolqNGfrim9gbsoLxQsda4-vOz5x_BM/edit?usp=sharing"",""ภูเก็ต!S143"")+IMPORTRANGE(""https://docs.google.com/spreadsheets/d/1woKwKjgoL"&amp;"ssDvPcPeVyezB5izizAn4X1JDrys69n6xI/edit?usp=sharing"",""ยะลา!S143"")+IMPORTRANGE(""https://docs.google.com/spreadsheets/d/1qfrKjzMhm2HJfxQ-qVlJlJQ25Hne1d0khsySbZyGtPA/edit?usp=sharing"",""ระนอง!S143"")+IMPORTRANGE(""https://docs.google.com/spreadsheets/d/"&amp;"1IbSCnFOKpZsnFogBHJnL_isstZVaOMnFiIN0fGTPZZw/edit?usp=sharing"",""สงขลา!S143"")+IMPORTRANGE(""https://docs.google.com/spreadsheets/d/1q9nWasZJ-K8bFGvbE9n0qSRuKGA4Toe3Y89cKCiVtCU/edit?usp=sharing"",""สตูล!S143"")+IMPORTRANGE(""https://docs.google.com/sprea"&amp;"dsheets/d/18T20gbkS_WBjdscyTOV05cvq_JqvqQ17C81mpxf7Ncs/edit?usp=sharing"",""สุราษฎร์ธานี!S143"")"),0)</f>
        <v>0</v>
      </c>
      <c r="T143" s="49">
        <f t="shared" ca="1" si="113"/>
        <v>0</v>
      </c>
      <c r="U143" s="49">
        <f t="shared" ca="1" si="114"/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7">
        <f ca="1">IFERROR(__xludf.DUMMYFUNCTION("IMPORTRANGE(""https://docs.google.com/spreadsheets/d/1kKUcYdkIfrgTSj8iHHHB2MD2FAtwyyocFgqGQn6ADyI/edit?usp=sharing"",""กระบี่!L144"")+IMPORTRANGE(""https://docs.google.com/spreadsheets/d/1GwtLaSlNZkLk7iDqcyZz22giiy40b_usZZBXYciEN1U/edit?usp=sharing"",""ชุ"&amp;"มพร!L144"")+IMPORTRANGE(""https://docs.google.com/spreadsheets/d/16pAz3pOhQEZBhvFNMa5KGgZS6iKWpsKX0pg6tQmwFpo/edit?usp=sharing"",""ตรัง!L144"")+IMPORTRANGE(""https://docs.google.com/spreadsheets/d/1Dj4jcHCTV9JXKCaMoheSXS52JE63kDKyG7bPXnFogHk/edit?usp=shar"&amp;"ing"",""นครศรีธรรมราช!L144"")+IMPORTRANGE(""https://docs.google.com/spreadsheets/d/1iodCdmuK2GR3jzUwk8tpccY2JHQQA-87DLOtJP-ooyU/edit?usp=sharing"",""นราธิวาส!L144"")+IMPORTRANGE(""https://docs.google.com/spreadsheets/d/1SDNX3JhDdYRuIOsj0Wh2M-Qa_eaXl0NbWmh"&amp;"AOTbfQAs/edit?usp=sharing"",""ปัตตานี!L144"")+IMPORTRANGE(""https://docs.google.com/spreadsheets/d/16JDLGguT8s5DsGCND1KcwHP_AWR_zDMTqLHPLJUKhaU/edit?usp=sharing"",""พังงา!L144"")+IMPORTRANGE(""https://docs.google.com/spreadsheets/d/17ht0gPKzzT3PObBL1XJkeR"&amp;"mntBXI7wGjpLV7QorqlTk/edit?usp=sharing"",""พัทลุง!L144"")+IMPORTRANGE(""https://docs.google.com/spreadsheets/d/1rd4qoM1q_hsgaolqNGfrim9gbsoLxQsda4-vOz5x_BM/edit?usp=sharing"",""ภูเก็ต!L144"")+IMPORTRANGE(""https://docs.google.com/spreadsheets/d/1woKwKjgoL"&amp;"ssDvPcPeVyezB5izizAn4X1JDrys69n6xI/edit?usp=sharing"",""ยะลา!L144"")+IMPORTRANGE(""https://docs.google.com/spreadsheets/d/1qfrKjzMhm2HJfxQ-qVlJlJQ25Hne1d0khsySbZyGtPA/edit?usp=sharing"",""ระนอง!L144"")+IMPORTRANGE(""https://docs.google.com/spreadsheets/d/"&amp;"1IbSCnFOKpZsnFogBHJnL_isstZVaOMnFiIN0fGTPZZw/edit?usp=sharing"",""สงขลา!L144"")+IMPORTRANGE(""https://docs.google.com/spreadsheets/d/1q9nWasZJ-K8bFGvbE9n0qSRuKGA4Toe3Y89cKCiVtCU/edit?usp=sharing"",""สตูล!L144"")+IMPORTRANGE(""https://docs.google.com/sprea"&amp;"dsheets/d/18T20gbkS_WBjdscyTOV05cvq_JqvqQ17C81mpxf7Ncs/edit?usp=sharing"",""สุราษฎร์ธานี!L144"")"),597100)</f>
        <v>597100</v>
      </c>
      <c r="M144" s="47">
        <f ca="1">IFERROR(__xludf.DUMMYFUNCTION("IMPORTRANGE(""https://docs.google.com/spreadsheets/d/1kKUcYdkIfrgTSj8iHHHB2MD2FAtwyyocFgqGQn6ADyI/edit?usp=sharing"",""กระบี่!M144"")+IMPORTRANGE(""https://docs.google.com/spreadsheets/d/1GwtLaSlNZkLk7iDqcyZz22giiy40b_usZZBXYciEN1U/edit?usp=sharing"",""ชุ"&amp;"มพร!M144"")+IMPORTRANGE(""https://docs.google.com/spreadsheets/d/16pAz3pOhQEZBhvFNMa5KGgZS6iKWpsKX0pg6tQmwFpo/edit?usp=sharing"",""ตรัง!M144"")+IMPORTRANGE(""https://docs.google.com/spreadsheets/d/1Dj4jcHCTV9JXKCaMoheSXS52JE63kDKyG7bPXnFogHk/edit?usp=shar"&amp;"ing"",""นครศรีธรรมราช!M144"")+IMPORTRANGE(""https://docs.google.com/spreadsheets/d/1iodCdmuK2GR3jzUwk8tpccY2JHQQA-87DLOtJP-ooyU/edit?usp=sharing"",""นราธิวาส!M144"")+IMPORTRANGE(""https://docs.google.com/spreadsheets/d/1SDNX3JhDdYRuIOsj0Wh2M-Qa_eaXl0NbWmh"&amp;"AOTbfQAs/edit?usp=sharing"",""ปัตตานี!M144"")+IMPORTRANGE(""https://docs.google.com/spreadsheets/d/16JDLGguT8s5DsGCND1KcwHP_AWR_zDMTqLHPLJUKhaU/edit?usp=sharing"",""พังงา!M144"")+IMPORTRANGE(""https://docs.google.com/spreadsheets/d/17ht0gPKzzT3PObBL1XJkeR"&amp;"mntBXI7wGjpLV7QorqlTk/edit?usp=sharing"",""พัทลุง!M144"")+IMPORTRANGE(""https://docs.google.com/spreadsheets/d/1rd4qoM1q_hsgaolqNGfrim9gbsoLxQsda4-vOz5x_BM/edit?usp=sharing"",""ภูเก็ต!M144"")+IMPORTRANGE(""https://docs.google.com/spreadsheets/d/1woKwKjgoL"&amp;"ssDvPcPeVyezB5izizAn4X1JDrys69n6xI/edit?usp=sharing"",""ยะลา!M144"")+IMPORTRANGE(""https://docs.google.com/spreadsheets/d/1qfrKjzMhm2HJfxQ-qVlJlJQ25Hne1d0khsySbZyGtPA/edit?usp=sharing"",""ระนอง!M144"")+IMPORTRANGE(""https://docs.google.com/spreadsheets/d/"&amp;"1IbSCnFOKpZsnFogBHJnL_isstZVaOMnFiIN0fGTPZZw/edit?usp=sharing"",""สงขลา!M144"")+IMPORTRANGE(""https://docs.google.com/spreadsheets/d/1q9nWasZJ-K8bFGvbE9n0qSRuKGA4Toe3Y89cKCiVtCU/edit?usp=sharing"",""สตูล!M144"")+IMPORTRANGE(""https://docs.google.com/sprea"&amp;"dsheets/d/18T20gbkS_WBjdscyTOV05cvq_JqvqQ17C81mpxf7Ncs/edit?usp=sharing"",""สุราษฎร์ธานี!M144"")"),562100)</f>
        <v>562100</v>
      </c>
      <c r="N144" s="47">
        <f ca="1">IFERROR(__xludf.DUMMYFUNCTION("IMPORTRANGE(""https://docs.google.com/spreadsheets/d/1kKUcYdkIfrgTSj8iHHHB2MD2FAtwyyocFgqGQn6ADyI/edit?usp=sharing"",""กระบี่!N144"")+IMPORTRANGE(""https://docs.google.com/spreadsheets/d/1GwtLaSlNZkLk7iDqcyZz22giiy40b_usZZBXYciEN1U/edit?usp=sharing"",""ชุ"&amp;"มพร!N144"")+IMPORTRANGE(""https://docs.google.com/spreadsheets/d/16pAz3pOhQEZBhvFNMa5KGgZS6iKWpsKX0pg6tQmwFpo/edit?usp=sharing"",""ตรัง!N144"")+IMPORTRANGE(""https://docs.google.com/spreadsheets/d/1Dj4jcHCTV9JXKCaMoheSXS52JE63kDKyG7bPXnFogHk/edit?usp=shar"&amp;"ing"",""นครศรีธรรมราช!N144"")+IMPORTRANGE(""https://docs.google.com/spreadsheets/d/1iodCdmuK2GR3jzUwk8tpccY2JHQQA-87DLOtJP-ooyU/edit?usp=sharing"",""นราธิวาส!N144"")+IMPORTRANGE(""https://docs.google.com/spreadsheets/d/1SDNX3JhDdYRuIOsj0Wh2M-Qa_eaXl0NbWmh"&amp;"AOTbfQAs/edit?usp=sharing"",""ปัตตานี!N144"")+IMPORTRANGE(""https://docs.google.com/spreadsheets/d/16JDLGguT8s5DsGCND1KcwHP_AWR_zDMTqLHPLJUKhaU/edit?usp=sharing"",""พังงา!N144"")+IMPORTRANGE(""https://docs.google.com/spreadsheets/d/17ht0gPKzzT3PObBL1XJkeR"&amp;"mntBXI7wGjpLV7QorqlTk/edit?usp=sharing"",""พัทลุง!N144"")+IMPORTRANGE(""https://docs.google.com/spreadsheets/d/1rd4qoM1q_hsgaolqNGfrim9gbsoLxQsda4-vOz5x_BM/edit?usp=sharing"",""ภูเก็ต!N144"")+IMPORTRANGE(""https://docs.google.com/spreadsheets/d/1woKwKjgoL"&amp;"ssDvPcPeVyezB5izizAn4X1JDrys69n6xI/edit?usp=sharing"",""ยะลา!N144"")+IMPORTRANGE(""https://docs.google.com/spreadsheets/d/1qfrKjzMhm2HJfxQ-qVlJlJQ25Hne1d0khsySbZyGtPA/edit?usp=sharing"",""ระนอง!N144"")+IMPORTRANGE(""https://docs.google.com/spreadsheets/d/"&amp;"1IbSCnFOKpZsnFogBHJnL_isstZVaOMnFiIN0fGTPZZw/edit?usp=sharing"",""สงขลา!N144"")+IMPORTRANGE(""https://docs.google.com/spreadsheets/d/1q9nWasZJ-K8bFGvbE9n0qSRuKGA4Toe3Y89cKCiVtCU/edit?usp=sharing"",""สตูล!N144"")+IMPORTRANGE(""https://docs.google.com/sprea"&amp;"dsheets/d/18T20gbkS_WBjdscyTOV05cvq_JqvqQ17C81mpxf7Ncs/edit?usp=sharing"",""สุราษฎร์ธานี!N144"")"),386111.49)</f>
        <v>386111.49</v>
      </c>
      <c r="O144" s="47">
        <f t="shared" ca="1" si="110"/>
        <v>64.664459889465746</v>
      </c>
      <c r="P144" s="47">
        <f t="shared" ca="1" si="111"/>
        <v>68.69088952143747</v>
      </c>
      <c r="Q144" s="47">
        <f ca="1">IFERROR(__xludf.DUMMYFUNCTION("IMPORTRANGE(""https://docs.google.com/spreadsheets/d/1kKUcYdkIfrgTSj8iHHHB2MD2FAtwyyocFgqGQn6ADyI/edit?usp=sharing"",""กระบี่!Q144"")+IMPORTRANGE(""https://docs.google.com/spreadsheets/d/1GwtLaSlNZkLk7iDqcyZz22giiy40b_usZZBXYciEN1U/edit?usp=sharing"",""ชุ"&amp;"มพร!Q144"")+IMPORTRANGE(""https://docs.google.com/spreadsheets/d/16pAz3pOhQEZBhvFNMa5KGgZS6iKWpsKX0pg6tQmwFpo/edit?usp=sharing"",""ตรัง!Q144"")+IMPORTRANGE(""https://docs.google.com/spreadsheets/d/1Dj4jcHCTV9JXKCaMoheSXS52JE63kDKyG7bPXnFogHk/edit?usp=shar"&amp;"ing"",""นครศรีธรรมราช!Q144"")+IMPORTRANGE(""https://docs.google.com/spreadsheets/d/1iodCdmuK2GR3jzUwk8tpccY2JHQQA-87DLOtJP-ooyU/edit?usp=sharing"",""นราธิวาส!Q144"")+IMPORTRANGE(""https://docs.google.com/spreadsheets/d/1SDNX3JhDdYRuIOsj0Wh2M-Qa_eaXl0NbWmh"&amp;"AOTbfQAs/edit?usp=sharing"",""ปัตตานี!Q144"")+IMPORTRANGE(""https://docs.google.com/spreadsheets/d/16JDLGguT8s5DsGCND1KcwHP_AWR_zDMTqLHPLJUKhaU/edit?usp=sharing"",""พังงา!Q144"")+IMPORTRANGE(""https://docs.google.com/spreadsheets/d/17ht0gPKzzT3PObBL1XJkeR"&amp;"mntBXI7wGjpLV7QorqlTk/edit?usp=sharing"",""พัทลุง!Q144"")+IMPORTRANGE(""https://docs.google.com/spreadsheets/d/1rd4qoM1q_hsgaolqNGfrim9gbsoLxQsda4-vOz5x_BM/edit?usp=sharing"",""ภูเก็ต!Q144"")+IMPORTRANGE(""https://docs.google.com/spreadsheets/d/1woKwKjgoL"&amp;"ssDvPcPeVyezB5izizAn4X1JDrys69n6xI/edit?usp=sharing"",""ยะลา!Q144"")+IMPORTRANGE(""https://docs.google.com/spreadsheets/d/1qfrKjzMhm2HJfxQ-qVlJlJQ25Hne1d0khsySbZyGtPA/edit?usp=sharing"",""ระนอง!Q144"")+IMPORTRANGE(""https://docs.google.com/spreadsheets/d/"&amp;"1IbSCnFOKpZsnFogBHJnL_isstZVaOMnFiIN0fGTPZZw/edit?usp=sharing"",""สงขลา!Q144"")+IMPORTRANGE(""https://docs.google.com/spreadsheets/d/1q9nWasZJ-K8bFGvbE9n0qSRuKGA4Toe3Y89cKCiVtCU/edit?usp=sharing"",""สตูล!Q144"")+IMPORTRANGE(""https://docs.google.com/sprea"&amp;"dsheets/d/18T20gbkS_WBjdscyTOV05cvq_JqvqQ17C81mpxf7Ncs/edit?usp=sharing"",""สุราษฎร์ธานี!Q144"")"),959020)</f>
        <v>959020</v>
      </c>
      <c r="R144" s="47">
        <f ca="1">IFERROR(__xludf.DUMMYFUNCTION("IMPORTRANGE(""https://docs.google.com/spreadsheets/d/1kKUcYdkIfrgTSj8iHHHB2MD2FAtwyyocFgqGQn6ADyI/edit?usp=sharing"",""กระบี่!R144"")+IMPORTRANGE(""https://docs.google.com/spreadsheets/d/1GwtLaSlNZkLk7iDqcyZz22giiy40b_usZZBXYciEN1U/edit?usp=sharing"",""ชุ"&amp;"มพร!R144"")+IMPORTRANGE(""https://docs.google.com/spreadsheets/d/16pAz3pOhQEZBhvFNMa5KGgZS6iKWpsKX0pg6tQmwFpo/edit?usp=sharing"",""ตรัง!R144"")+IMPORTRANGE(""https://docs.google.com/spreadsheets/d/1Dj4jcHCTV9JXKCaMoheSXS52JE63kDKyG7bPXnFogHk/edit?usp=shar"&amp;"ing"",""นครศรีธรรมราช!R144"")+IMPORTRANGE(""https://docs.google.com/spreadsheets/d/1iodCdmuK2GR3jzUwk8tpccY2JHQQA-87DLOtJP-ooyU/edit?usp=sharing"",""นราธิวาส!R144"")+IMPORTRANGE(""https://docs.google.com/spreadsheets/d/1SDNX3JhDdYRuIOsj0Wh2M-Qa_eaXl0NbWmh"&amp;"AOTbfQAs/edit?usp=sharing"",""ปัตตานี!R144"")+IMPORTRANGE(""https://docs.google.com/spreadsheets/d/16JDLGguT8s5DsGCND1KcwHP_AWR_zDMTqLHPLJUKhaU/edit?usp=sharing"",""พังงา!R144"")+IMPORTRANGE(""https://docs.google.com/spreadsheets/d/17ht0gPKzzT3PObBL1XJkeR"&amp;"mntBXI7wGjpLV7QorqlTk/edit?usp=sharing"",""พัทลุง!R144"")+IMPORTRANGE(""https://docs.google.com/spreadsheets/d/1rd4qoM1q_hsgaolqNGfrim9gbsoLxQsda4-vOz5x_BM/edit?usp=sharing"",""ภูเก็ต!R144"")+IMPORTRANGE(""https://docs.google.com/spreadsheets/d/1woKwKjgoL"&amp;"ssDvPcPeVyezB5izizAn4X1JDrys69n6xI/edit?usp=sharing"",""ยะลา!R144"")+IMPORTRANGE(""https://docs.google.com/spreadsheets/d/1qfrKjzMhm2HJfxQ-qVlJlJQ25Hne1d0khsySbZyGtPA/edit?usp=sharing"",""ระนอง!R144"")+IMPORTRANGE(""https://docs.google.com/spreadsheets/d/"&amp;"1IbSCnFOKpZsnFogBHJnL_isstZVaOMnFiIN0fGTPZZw/edit?usp=sharing"",""สงขลา!R144"")+IMPORTRANGE(""https://docs.google.com/spreadsheets/d/1q9nWasZJ-K8bFGvbE9n0qSRuKGA4Toe3Y89cKCiVtCU/edit?usp=sharing"",""สตูล!R144"")+IMPORTRANGE(""https://docs.google.com/sprea"&amp;"dsheets/d/18T20gbkS_WBjdscyTOV05cvq_JqvqQ17C81mpxf7Ncs/edit?usp=sharing"",""สุราษฎร์ธานี!R144"")"),959020)</f>
        <v>959020</v>
      </c>
      <c r="S144" s="47">
        <f ca="1">IFERROR(__xludf.DUMMYFUNCTION("IMPORTRANGE(""https://docs.google.com/spreadsheets/d/1kKUcYdkIfrgTSj8iHHHB2MD2FAtwyyocFgqGQn6ADyI/edit?usp=sharing"",""กระบี่!S144"")+IMPORTRANGE(""https://docs.google.com/spreadsheets/d/1GwtLaSlNZkLk7iDqcyZz22giiy40b_usZZBXYciEN1U/edit?usp=sharing"",""ชุ"&amp;"มพร!S144"")+IMPORTRANGE(""https://docs.google.com/spreadsheets/d/16pAz3pOhQEZBhvFNMa5KGgZS6iKWpsKX0pg6tQmwFpo/edit?usp=sharing"",""ตรัง!S144"")+IMPORTRANGE(""https://docs.google.com/spreadsheets/d/1Dj4jcHCTV9JXKCaMoheSXS52JE63kDKyG7bPXnFogHk/edit?usp=shar"&amp;"ing"",""นครศรีธรรมราช!S144"")+IMPORTRANGE(""https://docs.google.com/spreadsheets/d/1iodCdmuK2GR3jzUwk8tpccY2JHQQA-87DLOtJP-ooyU/edit?usp=sharing"",""นราธิวาส!S144"")+IMPORTRANGE(""https://docs.google.com/spreadsheets/d/1SDNX3JhDdYRuIOsj0Wh2M-Qa_eaXl0NbWmh"&amp;"AOTbfQAs/edit?usp=sharing"",""ปัตตานี!S144"")+IMPORTRANGE(""https://docs.google.com/spreadsheets/d/16JDLGguT8s5DsGCND1KcwHP_AWR_zDMTqLHPLJUKhaU/edit?usp=sharing"",""พังงา!S144"")+IMPORTRANGE(""https://docs.google.com/spreadsheets/d/17ht0gPKzzT3PObBL1XJkeR"&amp;"mntBXI7wGjpLV7QorqlTk/edit?usp=sharing"",""พัทลุง!S144"")+IMPORTRANGE(""https://docs.google.com/spreadsheets/d/1rd4qoM1q_hsgaolqNGfrim9gbsoLxQsda4-vOz5x_BM/edit?usp=sharing"",""ภูเก็ต!S144"")+IMPORTRANGE(""https://docs.google.com/spreadsheets/d/1woKwKjgoL"&amp;"ssDvPcPeVyezB5izizAn4X1JDrys69n6xI/edit?usp=sharing"",""ยะลา!S144"")+IMPORTRANGE(""https://docs.google.com/spreadsheets/d/1qfrKjzMhm2HJfxQ-qVlJlJQ25Hne1d0khsySbZyGtPA/edit?usp=sharing"",""ระนอง!S144"")+IMPORTRANGE(""https://docs.google.com/spreadsheets/d/"&amp;"1IbSCnFOKpZsnFogBHJnL_isstZVaOMnFiIN0fGTPZZw/edit?usp=sharing"",""สงขลา!S144"")+IMPORTRANGE(""https://docs.google.com/spreadsheets/d/1q9nWasZJ-K8bFGvbE9n0qSRuKGA4Toe3Y89cKCiVtCU/edit?usp=sharing"",""สตูล!S144"")+IMPORTRANGE(""https://docs.google.com/sprea"&amp;"dsheets/d/18T20gbkS_WBjdscyTOV05cvq_JqvqQ17C81mpxf7Ncs/edit?usp=sharing"",""สุราษฎร์ธานี!S144"")"),0)</f>
        <v>0</v>
      </c>
      <c r="T144" s="47">
        <f t="shared" ca="1" si="113"/>
        <v>0</v>
      </c>
      <c r="U144" s="47">
        <f t="shared" ca="1" si="114"/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7">
        <f t="shared" ref="L145:N145" ca="1" si="121">L146+L147</f>
        <v>0</v>
      </c>
      <c r="M145" s="47">
        <f t="shared" ca="1" si="121"/>
        <v>0</v>
      </c>
      <c r="N145" s="47">
        <f t="shared" ca="1" si="121"/>
        <v>0</v>
      </c>
      <c r="O145" s="47">
        <f t="shared" ca="1" si="110"/>
        <v>0</v>
      </c>
      <c r="P145" s="47">
        <f t="shared" ca="1" si="111"/>
        <v>0</v>
      </c>
      <c r="Q145" s="47">
        <f t="shared" ref="Q145:S145" ca="1" si="122">Q146+Q147</f>
        <v>0</v>
      </c>
      <c r="R145" s="47">
        <f t="shared" ca="1" si="122"/>
        <v>0</v>
      </c>
      <c r="S145" s="47">
        <f t="shared" ca="1" si="122"/>
        <v>0</v>
      </c>
      <c r="T145" s="47">
        <f t="shared" ca="1" si="113"/>
        <v>0</v>
      </c>
      <c r="U145" s="47">
        <f t="shared" ca="1" si="114"/>
        <v>0</v>
      </c>
    </row>
    <row r="146" spans="1:21" ht="18.75" hidden="1" x14ac:dyDescent="0.25">
      <c r="A146" s="128"/>
      <c r="B146" s="41"/>
      <c r="C146" s="41"/>
      <c r="D146" s="41"/>
      <c r="E146" s="48" t="s">
        <v>20</v>
      </c>
      <c r="F146" s="41"/>
      <c r="G146" s="43"/>
      <c r="H146" s="134" t="s">
        <v>14</v>
      </c>
      <c r="I146" s="135"/>
      <c r="J146" s="135"/>
      <c r="K146" s="136"/>
      <c r="L146" s="47">
        <f ca="1">IFERROR(__xludf.DUMMYFUNCTION("IMPORTRANGE(""https://docs.google.com/spreadsheets/d/1kKUcYdkIfrgTSj8iHHHB2MD2FAtwyyocFgqGQn6ADyI/edit?usp=sharing"",""กระบี่!L146"")+IMPORTRANGE(""https://docs.google.com/spreadsheets/d/1GwtLaSlNZkLk7iDqcyZz22giiy40b_usZZBXYciEN1U/edit?usp=sharing"",""ชุ"&amp;"มพร!L146"")+IMPORTRANGE(""https://docs.google.com/spreadsheets/d/16pAz3pOhQEZBhvFNMa5KGgZS6iKWpsKX0pg6tQmwFpo/edit?usp=sharing"",""ตรัง!L146"")+IMPORTRANGE(""https://docs.google.com/spreadsheets/d/1Dj4jcHCTV9JXKCaMoheSXS52JE63kDKyG7bPXnFogHk/edit?usp=shar"&amp;"ing"",""นครศรีธรรมราช!L146"")+IMPORTRANGE(""https://docs.google.com/spreadsheets/d/1iodCdmuK2GR3jzUwk8tpccY2JHQQA-87DLOtJP-ooyU/edit?usp=sharing"",""นราธิวาส!L146"")+IMPORTRANGE(""https://docs.google.com/spreadsheets/d/1SDNX3JhDdYRuIOsj0Wh2M-Qa_eaXl0NbWmh"&amp;"AOTbfQAs/edit?usp=sharing"",""ปัตตานี!L146"")+IMPORTRANGE(""https://docs.google.com/spreadsheets/d/16JDLGguT8s5DsGCND1KcwHP_AWR_zDMTqLHPLJUKhaU/edit?usp=sharing"",""พังงา!L146"")+IMPORTRANGE(""https://docs.google.com/spreadsheets/d/17ht0gPKzzT3PObBL1XJkeR"&amp;"mntBXI7wGjpLV7QorqlTk/edit?usp=sharing"",""พัทลุง!L146"")+IMPORTRANGE(""https://docs.google.com/spreadsheets/d/1rd4qoM1q_hsgaolqNGfrim9gbsoLxQsda4-vOz5x_BM/edit?usp=sharing"",""ภูเก็ต!L146"")+IMPORTRANGE(""https://docs.google.com/spreadsheets/d/1woKwKjgoL"&amp;"ssDvPcPeVyezB5izizAn4X1JDrys69n6xI/edit?usp=sharing"",""ยะลา!L146"")+IMPORTRANGE(""https://docs.google.com/spreadsheets/d/1qfrKjzMhm2HJfxQ-qVlJlJQ25Hne1d0khsySbZyGtPA/edit?usp=sharing"",""ระนอง!L146"")+IMPORTRANGE(""https://docs.google.com/spreadsheets/d/"&amp;"1IbSCnFOKpZsnFogBHJnL_isstZVaOMnFiIN0fGTPZZw/edit?usp=sharing"",""สงขลา!L146"")+IMPORTRANGE(""https://docs.google.com/spreadsheets/d/1q9nWasZJ-K8bFGvbE9n0qSRuKGA4Toe3Y89cKCiVtCU/edit?usp=sharing"",""สตูล!L146"")+IMPORTRANGE(""https://docs.google.com/sprea"&amp;"dsheets/d/18T20gbkS_WBjdscyTOV05cvq_JqvqQ17C81mpxf7Ncs/edit?usp=sharing"",""สุราษฎร์ธานี!L146"")"),0)</f>
        <v>0</v>
      </c>
      <c r="M146" s="47">
        <f ca="1">IFERROR(__xludf.DUMMYFUNCTION("IMPORTRANGE(""https://docs.google.com/spreadsheets/d/1kKUcYdkIfrgTSj8iHHHB2MD2FAtwyyocFgqGQn6ADyI/edit?usp=sharing"",""กระบี่!M146"")+IMPORTRANGE(""https://docs.google.com/spreadsheets/d/1GwtLaSlNZkLk7iDqcyZz22giiy40b_usZZBXYciEN1U/edit?usp=sharing"",""ชุ"&amp;"มพร!M146"")+IMPORTRANGE(""https://docs.google.com/spreadsheets/d/16pAz3pOhQEZBhvFNMa5KGgZS6iKWpsKX0pg6tQmwFpo/edit?usp=sharing"",""ตรัง!M146"")+IMPORTRANGE(""https://docs.google.com/spreadsheets/d/1Dj4jcHCTV9JXKCaMoheSXS52JE63kDKyG7bPXnFogHk/edit?usp=shar"&amp;"ing"",""นครศรีธรรมราช!M146"")+IMPORTRANGE(""https://docs.google.com/spreadsheets/d/1iodCdmuK2GR3jzUwk8tpccY2JHQQA-87DLOtJP-ooyU/edit?usp=sharing"",""นราธิวาส!M146"")+IMPORTRANGE(""https://docs.google.com/spreadsheets/d/1SDNX3JhDdYRuIOsj0Wh2M-Qa_eaXl0NbWmh"&amp;"AOTbfQAs/edit?usp=sharing"",""ปัตตานี!M146"")+IMPORTRANGE(""https://docs.google.com/spreadsheets/d/16JDLGguT8s5DsGCND1KcwHP_AWR_zDMTqLHPLJUKhaU/edit?usp=sharing"",""พังงา!M146"")+IMPORTRANGE(""https://docs.google.com/spreadsheets/d/17ht0gPKzzT3PObBL1XJkeR"&amp;"mntBXI7wGjpLV7QorqlTk/edit?usp=sharing"",""พัทลุง!M146"")+IMPORTRANGE(""https://docs.google.com/spreadsheets/d/1rd4qoM1q_hsgaolqNGfrim9gbsoLxQsda4-vOz5x_BM/edit?usp=sharing"",""ภูเก็ต!M146"")+IMPORTRANGE(""https://docs.google.com/spreadsheets/d/1woKwKjgoL"&amp;"ssDvPcPeVyezB5izizAn4X1JDrys69n6xI/edit?usp=sharing"",""ยะลา!M146"")+IMPORTRANGE(""https://docs.google.com/spreadsheets/d/1qfrKjzMhm2HJfxQ-qVlJlJQ25Hne1d0khsySbZyGtPA/edit?usp=sharing"",""ระนอง!M146"")+IMPORTRANGE(""https://docs.google.com/spreadsheets/d/"&amp;"1IbSCnFOKpZsnFogBHJnL_isstZVaOMnFiIN0fGTPZZw/edit?usp=sharing"",""สงขลา!M146"")+IMPORTRANGE(""https://docs.google.com/spreadsheets/d/1q9nWasZJ-K8bFGvbE9n0qSRuKGA4Toe3Y89cKCiVtCU/edit?usp=sharing"",""สตูล!M146"")+IMPORTRANGE(""https://docs.google.com/sprea"&amp;"dsheets/d/18T20gbkS_WBjdscyTOV05cvq_JqvqQ17C81mpxf7Ncs/edit?usp=sharing"",""สุราษฎร์ธานี!M146"")"),0)</f>
        <v>0</v>
      </c>
      <c r="N146" s="47">
        <f ca="1">IFERROR(__xludf.DUMMYFUNCTION("IMPORTRANGE(""https://docs.google.com/spreadsheets/d/1kKUcYdkIfrgTSj8iHHHB2MD2FAtwyyocFgqGQn6ADyI/edit?usp=sharing"",""กระบี่!N146"")+IMPORTRANGE(""https://docs.google.com/spreadsheets/d/1GwtLaSlNZkLk7iDqcyZz22giiy40b_usZZBXYciEN1U/edit?usp=sharing"",""ชุ"&amp;"มพร!N146"")+IMPORTRANGE(""https://docs.google.com/spreadsheets/d/16pAz3pOhQEZBhvFNMa5KGgZS6iKWpsKX0pg6tQmwFpo/edit?usp=sharing"",""ตรัง!N146"")+IMPORTRANGE(""https://docs.google.com/spreadsheets/d/1Dj4jcHCTV9JXKCaMoheSXS52JE63kDKyG7bPXnFogHk/edit?usp=shar"&amp;"ing"",""นครศรีธรรมราช!N146"")+IMPORTRANGE(""https://docs.google.com/spreadsheets/d/1iodCdmuK2GR3jzUwk8tpccY2JHQQA-87DLOtJP-ooyU/edit?usp=sharing"",""นราธิวาส!N146"")+IMPORTRANGE(""https://docs.google.com/spreadsheets/d/1SDNX3JhDdYRuIOsj0Wh2M-Qa_eaXl0NbWmh"&amp;"AOTbfQAs/edit?usp=sharing"",""ปัตตานี!N146"")+IMPORTRANGE(""https://docs.google.com/spreadsheets/d/16JDLGguT8s5DsGCND1KcwHP_AWR_zDMTqLHPLJUKhaU/edit?usp=sharing"",""พังงา!N146"")+IMPORTRANGE(""https://docs.google.com/spreadsheets/d/17ht0gPKzzT3PObBL1XJkeR"&amp;"mntBXI7wGjpLV7QorqlTk/edit?usp=sharing"",""พัทลุง!N146"")+IMPORTRANGE(""https://docs.google.com/spreadsheets/d/1rd4qoM1q_hsgaolqNGfrim9gbsoLxQsda4-vOz5x_BM/edit?usp=sharing"",""ภูเก็ต!N146"")+IMPORTRANGE(""https://docs.google.com/spreadsheets/d/1woKwKjgoL"&amp;"ssDvPcPeVyezB5izizAn4X1JDrys69n6xI/edit?usp=sharing"",""ยะลา!N146"")+IMPORTRANGE(""https://docs.google.com/spreadsheets/d/1qfrKjzMhm2HJfxQ-qVlJlJQ25Hne1d0khsySbZyGtPA/edit?usp=sharing"",""ระนอง!N146"")+IMPORTRANGE(""https://docs.google.com/spreadsheets/d/"&amp;"1IbSCnFOKpZsnFogBHJnL_isstZVaOMnFiIN0fGTPZZw/edit?usp=sharing"",""สงขลา!N146"")+IMPORTRANGE(""https://docs.google.com/spreadsheets/d/1q9nWasZJ-K8bFGvbE9n0qSRuKGA4Toe3Y89cKCiVtCU/edit?usp=sharing"",""สตูล!N146"")+IMPORTRANGE(""https://docs.google.com/sprea"&amp;"dsheets/d/18T20gbkS_WBjdscyTOV05cvq_JqvqQ17C81mpxf7Ncs/edit?usp=sharing"",""สุราษฎร์ธานี!N146"")"),0)</f>
        <v>0</v>
      </c>
      <c r="O146" s="47">
        <f t="shared" ca="1" si="110"/>
        <v>0</v>
      </c>
      <c r="P146" s="47">
        <f t="shared" ca="1" si="111"/>
        <v>0</v>
      </c>
      <c r="Q146" s="47">
        <f ca="1">IFERROR(__xludf.DUMMYFUNCTION("IMPORTRANGE(""https://docs.google.com/spreadsheets/d/1kKUcYdkIfrgTSj8iHHHB2MD2FAtwyyocFgqGQn6ADyI/edit?usp=sharing"",""กระบี่!Q146"")+IMPORTRANGE(""https://docs.google.com/spreadsheets/d/1GwtLaSlNZkLk7iDqcyZz22giiy40b_usZZBXYciEN1U/edit?usp=sharing"",""ชุ"&amp;"มพร!Q146"")+IMPORTRANGE(""https://docs.google.com/spreadsheets/d/16pAz3pOhQEZBhvFNMa5KGgZS6iKWpsKX0pg6tQmwFpo/edit?usp=sharing"",""ตรัง!Q146"")+IMPORTRANGE(""https://docs.google.com/spreadsheets/d/1Dj4jcHCTV9JXKCaMoheSXS52JE63kDKyG7bPXnFogHk/edit?usp=shar"&amp;"ing"",""นครศรีธรรมราช!Q146"")+IMPORTRANGE(""https://docs.google.com/spreadsheets/d/1iodCdmuK2GR3jzUwk8tpccY2JHQQA-87DLOtJP-ooyU/edit?usp=sharing"",""นราธิวาส!Q146"")+IMPORTRANGE(""https://docs.google.com/spreadsheets/d/1SDNX3JhDdYRuIOsj0Wh2M-Qa_eaXl0NbWmh"&amp;"AOTbfQAs/edit?usp=sharing"",""ปัตตานี!Q146"")+IMPORTRANGE(""https://docs.google.com/spreadsheets/d/16JDLGguT8s5DsGCND1KcwHP_AWR_zDMTqLHPLJUKhaU/edit?usp=sharing"",""พังงา!Q146"")+IMPORTRANGE(""https://docs.google.com/spreadsheets/d/17ht0gPKzzT3PObBL1XJkeR"&amp;"mntBXI7wGjpLV7QorqlTk/edit?usp=sharing"",""พัทลุง!Q146"")+IMPORTRANGE(""https://docs.google.com/spreadsheets/d/1rd4qoM1q_hsgaolqNGfrim9gbsoLxQsda4-vOz5x_BM/edit?usp=sharing"",""ภูเก็ต!Q146"")+IMPORTRANGE(""https://docs.google.com/spreadsheets/d/1woKwKjgoL"&amp;"ssDvPcPeVyezB5izizAn4X1JDrys69n6xI/edit?usp=sharing"",""ยะลา!Q146"")+IMPORTRANGE(""https://docs.google.com/spreadsheets/d/1qfrKjzMhm2HJfxQ-qVlJlJQ25Hne1d0khsySbZyGtPA/edit?usp=sharing"",""ระนอง!Q146"")+IMPORTRANGE(""https://docs.google.com/spreadsheets/d/"&amp;"1IbSCnFOKpZsnFogBHJnL_isstZVaOMnFiIN0fGTPZZw/edit?usp=sharing"",""สงขลา!Q146"")+IMPORTRANGE(""https://docs.google.com/spreadsheets/d/1q9nWasZJ-K8bFGvbE9n0qSRuKGA4Toe3Y89cKCiVtCU/edit?usp=sharing"",""สตูล!Q146"")+IMPORTRANGE(""https://docs.google.com/sprea"&amp;"dsheets/d/18T20gbkS_WBjdscyTOV05cvq_JqvqQ17C81mpxf7Ncs/edit?usp=sharing"",""สุราษฎร์ธานี!Q146"")"),0)</f>
        <v>0</v>
      </c>
      <c r="R146" s="47">
        <f ca="1">IFERROR(__xludf.DUMMYFUNCTION("IMPORTRANGE(""https://docs.google.com/spreadsheets/d/1kKUcYdkIfrgTSj8iHHHB2MD2FAtwyyocFgqGQn6ADyI/edit?usp=sharing"",""กระบี่!R146"")+IMPORTRANGE(""https://docs.google.com/spreadsheets/d/1GwtLaSlNZkLk7iDqcyZz22giiy40b_usZZBXYciEN1U/edit?usp=sharing"",""ชุ"&amp;"มพร!R146"")+IMPORTRANGE(""https://docs.google.com/spreadsheets/d/16pAz3pOhQEZBhvFNMa5KGgZS6iKWpsKX0pg6tQmwFpo/edit?usp=sharing"",""ตรัง!R146"")+IMPORTRANGE(""https://docs.google.com/spreadsheets/d/1Dj4jcHCTV9JXKCaMoheSXS52JE63kDKyG7bPXnFogHk/edit?usp=shar"&amp;"ing"",""นครศรีธรรมราช!R146"")+IMPORTRANGE(""https://docs.google.com/spreadsheets/d/1iodCdmuK2GR3jzUwk8tpccY2JHQQA-87DLOtJP-ooyU/edit?usp=sharing"",""นราธิวาส!R146"")+IMPORTRANGE(""https://docs.google.com/spreadsheets/d/1SDNX3JhDdYRuIOsj0Wh2M-Qa_eaXl0NbWmh"&amp;"AOTbfQAs/edit?usp=sharing"",""ปัตตานี!R146"")+IMPORTRANGE(""https://docs.google.com/spreadsheets/d/16JDLGguT8s5DsGCND1KcwHP_AWR_zDMTqLHPLJUKhaU/edit?usp=sharing"",""พังงา!R146"")+IMPORTRANGE(""https://docs.google.com/spreadsheets/d/17ht0gPKzzT3PObBL1XJkeR"&amp;"mntBXI7wGjpLV7QorqlTk/edit?usp=sharing"",""พัทลุง!R146"")+IMPORTRANGE(""https://docs.google.com/spreadsheets/d/1rd4qoM1q_hsgaolqNGfrim9gbsoLxQsda4-vOz5x_BM/edit?usp=sharing"",""ภูเก็ต!R146"")+IMPORTRANGE(""https://docs.google.com/spreadsheets/d/1woKwKjgoL"&amp;"ssDvPcPeVyezB5izizAn4X1JDrys69n6xI/edit?usp=sharing"",""ยะลา!R146"")+IMPORTRANGE(""https://docs.google.com/spreadsheets/d/1qfrKjzMhm2HJfxQ-qVlJlJQ25Hne1d0khsySbZyGtPA/edit?usp=sharing"",""ระนอง!R146"")+IMPORTRANGE(""https://docs.google.com/spreadsheets/d/"&amp;"1IbSCnFOKpZsnFogBHJnL_isstZVaOMnFiIN0fGTPZZw/edit?usp=sharing"",""สงขลา!R146"")+IMPORTRANGE(""https://docs.google.com/spreadsheets/d/1q9nWasZJ-K8bFGvbE9n0qSRuKGA4Toe3Y89cKCiVtCU/edit?usp=sharing"",""สตูล!R146"")+IMPORTRANGE(""https://docs.google.com/sprea"&amp;"dsheets/d/18T20gbkS_WBjdscyTOV05cvq_JqvqQ17C81mpxf7Ncs/edit?usp=sharing"",""สุราษฎร์ธานี!R146"")"),0)</f>
        <v>0</v>
      </c>
      <c r="S146" s="47">
        <f ca="1">IFERROR(__xludf.DUMMYFUNCTION("IMPORTRANGE(""https://docs.google.com/spreadsheets/d/1kKUcYdkIfrgTSj8iHHHB2MD2FAtwyyocFgqGQn6ADyI/edit?usp=sharing"",""กระบี่!S146"")+IMPORTRANGE(""https://docs.google.com/spreadsheets/d/1GwtLaSlNZkLk7iDqcyZz22giiy40b_usZZBXYciEN1U/edit?usp=sharing"",""ชุ"&amp;"มพร!S146"")+IMPORTRANGE(""https://docs.google.com/spreadsheets/d/16pAz3pOhQEZBhvFNMa5KGgZS6iKWpsKX0pg6tQmwFpo/edit?usp=sharing"",""ตรัง!S146"")+IMPORTRANGE(""https://docs.google.com/spreadsheets/d/1Dj4jcHCTV9JXKCaMoheSXS52JE63kDKyG7bPXnFogHk/edit?usp=shar"&amp;"ing"",""นครศรีธรรมราช!S146"")+IMPORTRANGE(""https://docs.google.com/spreadsheets/d/1iodCdmuK2GR3jzUwk8tpccY2JHQQA-87DLOtJP-ooyU/edit?usp=sharing"",""นราธิวาส!S146"")+IMPORTRANGE(""https://docs.google.com/spreadsheets/d/1SDNX3JhDdYRuIOsj0Wh2M-Qa_eaXl0NbWmh"&amp;"AOTbfQAs/edit?usp=sharing"",""ปัตตานี!S146"")+IMPORTRANGE(""https://docs.google.com/spreadsheets/d/16JDLGguT8s5DsGCND1KcwHP_AWR_zDMTqLHPLJUKhaU/edit?usp=sharing"",""พังงา!S146"")+IMPORTRANGE(""https://docs.google.com/spreadsheets/d/17ht0gPKzzT3PObBL1XJkeR"&amp;"mntBXI7wGjpLV7QorqlTk/edit?usp=sharing"",""พัทลุง!S146"")+IMPORTRANGE(""https://docs.google.com/spreadsheets/d/1rd4qoM1q_hsgaolqNGfrim9gbsoLxQsda4-vOz5x_BM/edit?usp=sharing"",""ภูเก็ต!S146"")+IMPORTRANGE(""https://docs.google.com/spreadsheets/d/1woKwKjgoL"&amp;"ssDvPcPeVyezB5izizAn4X1JDrys69n6xI/edit?usp=sharing"",""ยะลา!S146"")+IMPORTRANGE(""https://docs.google.com/spreadsheets/d/1qfrKjzMhm2HJfxQ-qVlJlJQ25Hne1d0khsySbZyGtPA/edit?usp=sharing"",""ระนอง!S146"")+IMPORTRANGE(""https://docs.google.com/spreadsheets/d/"&amp;"1IbSCnFOKpZsnFogBHJnL_isstZVaOMnFiIN0fGTPZZw/edit?usp=sharing"",""สงขลา!S146"")+IMPORTRANGE(""https://docs.google.com/spreadsheets/d/1q9nWasZJ-K8bFGvbE9n0qSRuKGA4Toe3Y89cKCiVtCU/edit?usp=sharing"",""สตูล!S146"")+IMPORTRANGE(""https://docs.google.com/sprea"&amp;"dsheets/d/18T20gbkS_WBjdscyTOV05cvq_JqvqQ17C81mpxf7Ncs/edit?usp=sharing"",""สุราษฎร์ธานี!S146"")"),0)</f>
        <v>0</v>
      </c>
      <c r="T146" s="49">
        <f t="shared" ca="1" si="113"/>
        <v>0</v>
      </c>
      <c r="U146" s="49">
        <f t="shared" ca="1" si="114"/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7">
        <f ca="1">IFERROR(__xludf.DUMMYFUNCTION("IMPORTRANGE(""https://docs.google.com/spreadsheets/d/1kKUcYdkIfrgTSj8iHHHB2MD2FAtwyyocFgqGQn6ADyI/edit?usp=sharing"",""กระบี่!L147"")+IMPORTRANGE(""https://docs.google.com/spreadsheets/d/1GwtLaSlNZkLk7iDqcyZz22giiy40b_usZZBXYciEN1U/edit?usp=sharing"",""ชุ"&amp;"มพร!L147"")+IMPORTRANGE(""https://docs.google.com/spreadsheets/d/16pAz3pOhQEZBhvFNMa5KGgZS6iKWpsKX0pg6tQmwFpo/edit?usp=sharing"",""ตรัง!L147"")+IMPORTRANGE(""https://docs.google.com/spreadsheets/d/1Dj4jcHCTV9JXKCaMoheSXS52JE63kDKyG7bPXnFogHk/edit?usp=shar"&amp;"ing"",""นครศรีธรรมราช!L147"")+IMPORTRANGE(""https://docs.google.com/spreadsheets/d/1iodCdmuK2GR3jzUwk8tpccY2JHQQA-87DLOtJP-ooyU/edit?usp=sharing"",""นราธิวาส!L147"")+IMPORTRANGE(""https://docs.google.com/spreadsheets/d/1SDNX3JhDdYRuIOsj0Wh2M-Qa_eaXl0NbWmh"&amp;"AOTbfQAs/edit?usp=sharing"",""ปัตตานี!L147"")+IMPORTRANGE(""https://docs.google.com/spreadsheets/d/16JDLGguT8s5DsGCND1KcwHP_AWR_zDMTqLHPLJUKhaU/edit?usp=sharing"",""พังงา!L147"")+IMPORTRANGE(""https://docs.google.com/spreadsheets/d/17ht0gPKzzT3PObBL1XJkeR"&amp;"mntBXI7wGjpLV7QorqlTk/edit?usp=sharing"",""พัทลุง!L147"")+IMPORTRANGE(""https://docs.google.com/spreadsheets/d/1rd4qoM1q_hsgaolqNGfrim9gbsoLxQsda4-vOz5x_BM/edit?usp=sharing"",""ภูเก็ต!L147"")+IMPORTRANGE(""https://docs.google.com/spreadsheets/d/1woKwKjgoL"&amp;"ssDvPcPeVyezB5izizAn4X1JDrys69n6xI/edit?usp=sharing"",""ยะลา!L147"")+IMPORTRANGE(""https://docs.google.com/spreadsheets/d/1qfrKjzMhm2HJfxQ-qVlJlJQ25Hne1d0khsySbZyGtPA/edit?usp=sharing"",""ระนอง!L147"")+IMPORTRANGE(""https://docs.google.com/spreadsheets/d/"&amp;"1IbSCnFOKpZsnFogBHJnL_isstZVaOMnFiIN0fGTPZZw/edit?usp=sharing"",""สงขลา!L147"")+IMPORTRANGE(""https://docs.google.com/spreadsheets/d/1q9nWasZJ-K8bFGvbE9n0qSRuKGA4Toe3Y89cKCiVtCU/edit?usp=sharing"",""สตูล!L147"")+IMPORTRANGE(""https://docs.google.com/sprea"&amp;"dsheets/d/18T20gbkS_WBjdscyTOV05cvq_JqvqQ17C81mpxf7Ncs/edit?usp=sharing"",""สุราษฎร์ธานี!L147"")"),0)</f>
        <v>0</v>
      </c>
      <c r="M147" s="47">
        <f ca="1">IFERROR(__xludf.DUMMYFUNCTION("IMPORTRANGE(""https://docs.google.com/spreadsheets/d/1kKUcYdkIfrgTSj8iHHHB2MD2FAtwyyocFgqGQn6ADyI/edit?usp=sharing"",""กระบี่!M147"")+IMPORTRANGE(""https://docs.google.com/spreadsheets/d/1GwtLaSlNZkLk7iDqcyZz22giiy40b_usZZBXYciEN1U/edit?usp=sharing"",""ชุ"&amp;"มพร!M147"")+IMPORTRANGE(""https://docs.google.com/spreadsheets/d/16pAz3pOhQEZBhvFNMa5KGgZS6iKWpsKX0pg6tQmwFpo/edit?usp=sharing"",""ตรัง!M147"")+IMPORTRANGE(""https://docs.google.com/spreadsheets/d/1Dj4jcHCTV9JXKCaMoheSXS52JE63kDKyG7bPXnFogHk/edit?usp=shar"&amp;"ing"",""นครศรีธรรมราช!M147"")+IMPORTRANGE(""https://docs.google.com/spreadsheets/d/1iodCdmuK2GR3jzUwk8tpccY2JHQQA-87DLOtJP-ooyU/edit?usp=sharing"",""นราธิวาส!M147"")+IMPORTRANGE(""https://docs.google.com/spreadsheets/d/1SDNX3JhDdYRuIOsj0Wh2M-Qa_eaXl0NbWmh"&amp;"AOTbfQAs/edit?usp=sharing"",""ปัตตานี!M147"")+IMPORTRANGE(""https://docs.google.com/spreadsheets/d/16JDLGguT8s5DsGCND1KcwHP_AWR_zDMTqLHPLJUKhaU/edit?usp=sharing"",""พังงา!M147"")+IMPORTRANGE(""https://docs.google.com/spreadsheets/d/17ht0gPKzzT3PObBL1XJkeR"&amp;"mntBXI7wGjpLV7QorqlTk/edit?usp=sharing"",""พัทลุง!M147"")+IMPORTRANGE(""https://docs.google.com/spreadsheets/d/1rd4qoM1q_hsgaolqNGfrim9gbsoLxQsda4-vOz5x_BM/edit?usp=sharing"",""ภูเก็ต!M147"")+IMPORTRANGE(""https://docs.google.com/spreadsheets/d/1woKwKjgoL"&amp;"ssDvPcPeVyezB5izizAn4X1JDrys69n6xI/edit?usp=sharing"",""ยะลา!M147"")+IMPORTRANGE(""https://docs.google.com/spreadsheets/d/1qfrKjzMhm2HJfxQ-qVlJlJQ25Hne1d0khsySbZyGtPA/edit?usp=sharing"",""ระนอง!M147"")+IMPORTRANGE(""https://docs.google.com/spreadsheets/d/"&amp;"1IbSCnFOKpZsnFogBHJnL_isstZVaOMnFiIN0fGTPZZw/edit?usp=sharing"",""สงขลา!M147"")+IMPORTRANGE(""https://docs.google.com/spreadsheets/d/1q9nWasZJ-K8bFGvbE9n0qSRuKGA4Toe3Y89cKCiVtCU/edit?usp=sharing"",""สตูล!M147"")+IMPORTRANGE(""https://docs.google.com/sprea"&amp;"dsheets/d/18T20gbkS_WBjdscyTOV05cvq_JqvqQ17C81mpxf7Ncs/edit?usp=sharing"",""สุราษฎร์ธานี!M147"")"),0)</f>
        <v>0</v>
      </c>
      <c r="N147" s="47">
        <f ca="1">IFERROR(__xludf.DUMMYFUNCTION("IMPORTRANGE(""https://docs.google.com/spreadsheets/d/1kKUcYdkIfrgTSj8iHHHB2MD2FAtwyyocFgqGQn6ADyI/edit?usp=sharing"",""กระบี่!N147"")+IMPORTRANGE(""https://docs.google.com/spreadsheets/d/1GwtLaSlNZkLk7iDqcyZz22giiy40b_usZZBXYciEN1U/edit?usp=sharing"",""ชุ"&amp;"มพร!N147"")+IMPORTRANGE(""https://docs.google.com/spreadsheets/d/16pAz3pOhQEZBhvFNMa5KGgZS6iKWpsKX0pg6tQmwFpo/edit?usp=sharing"",""ตรัง!N147"")+IMPORTRANGE(""https://docs.google.com/spreadsheets/d/1Dj4jcHCTV9JXKCaMoheSXS52JE63kDKyG7bPXnFogHk/edit?usp=shar"&amp;"ing"",""นครศรีธรรมราช!N147"")+IMPORTRANGE(""https://docs.google.com/spreadsheets/d/1iodCdmuK2GR3jzUwk8tpccY2JHQQA-87DLOtJP-ooyU/edit?usp=sharing"",""นราธิวาส!N147"")+IMPORTRANGE(""https://docs.google.com/spreadsheets/d/1SDNX3JhDdYRuIOsj0Wh2M-Qa_eaXl0NbWmh"&amp;"AOTbfQAs/edit?usp=sharing"",""ปัตตานี!N147"")+IMPORTRANGE(""https://docs.google.com/spreadsheets/d/16JDLGguT8s5DsGCND1KcwHP_AWR_zDMTqLHPLJUKhaU/edit?usp=sharing"",""พังงา!N147"")+IMPORTRANGE(""https://docs.google.com/spreadsheets/d/17ht0gPKzzT3PObBL1XJkeR"&amp;"mntBXI7wGjpLV7QorqlTk/edit?usp=sharing"",""พัทลุง!N147"")+IMPORTRANGE(""https://docs.google.com/spreadsheets/d/1rd4qoM1q_hsgaolqNGfrim9gbsoLxQsda4-vOz5x_BM/edit?usp=sharing"",""ภูเก็ต!N147"")+IMPORTRANGE(""https://docs.google.com/spreadsheets/d/1woKwKjgoL"&amp;"ssDvPcPeVyezB5izizAn4X1JDrys69n6xI/edit?usp=sharing"",""ยะลา!N147"")+IMPORTRANGE(""https://docs.google.com/spreadsheets/d/1qfrKjzMhm2HJfxQ-qVlJlJQ25Hne1d0khsySbZyGtPA/edit?usp=sharing"",""ระนอง!N147"")+IMPORTRANGE(""https://docs.google.com/spreadsheets/d/"&amp;"1IbSCnFOKpZsnFogBHJnL_isstZVaOMnFiIN0fGTPZZw/edit?usp=sharing"",""สงขลา!N147"")+IMPORTRANGE(""https://docs.google.com/spreadsheets/d/1q9nWasZJ-K8bFGvbE9n0qSRuKGA4Toe3Y89cKCiVtCU/edit?usp=sharing"",""สตูล!N147"")+IMPORTRANGE(""https://docs.google.com/sprea"&amp;"dsheets/d/18T20gbkS_WBjdscyTOV05cvq_JqvqQ17C81mpxf7Ncs/edit?usp=sharing"",""สุราษฎร์ธานี!N147"")"),0)</f>
        <v>0</v>
      </c>
      <c r="O147" s="47">
        <f t="shared" ca="1" si="110"/>
        <v>0</v>
      </c>
      <c r="P147" s="47">
        <f t="shared" ca="1" si="111"/>
        <v>0</v>
      </c>
      <c r="Q147" s="47">
        <f ca="1">IFERROR(__xludf.DUMMYFUNCTION("IMPORTRANGE(""https://docs.google.com/spreadsheets/d/1kKUcYdkIfrgTSj8iHHHB2MD2FAtwyyocFgqGQn6ADyI/edit?usp=sharing"",""กระบี่!Q147"")+IMPORTRANGE(""https://docs.google.com/spreadsheets/d/1GwtLaSlNZkLk7iDqcyZz22giiy40b_usZZBXYciEN1U/edit?usp=sharing"",""ชุ"&amp;"มพร!Q147"")+IMPORTRANGE(""https://docs.google.com/spreadsheets/d/16pAz3pOhQEZBhvFNMa5KGgZS6iKWpsKX0pg6tQmwFpo/edit?usp=sharing"",""ตรัง!Q147"")+IMPORTRANGE(""https://docs.google.com/spreadsheets/d/1Dj4jcHCTV9JXKCaMoheSXS52JE63kDKyG7bPXnFogHk/edit?usp=shar"&amp;"ing"",""นครศรีธรรมราช!Q147"")+IMPORTRANGE(""https://docs.google.com/spreadsheets/d/1iodCdmuK2GR3jzUwk8tpccY2JHQQA-87DLOtJP-ooyU/edit?usp=sharing"",""นราธิวาส!Q147"")+IMPORTRANGE(""https://docs.google.com/spreadsheets/d/1SDNX3JhDdYRuIOsj0Wh2M-Qa_eaXl0NbWmh"&amp;"AOTbfQAs/edit?usp=sharing"",""ปัตตานี!Q147"")+IMPORTRANGE(""https://docs.google.com/spreadsheets/d/16JDLGguT8s5DsGCND1KcwHP_AWR_zDMTqLHPLJUKhaU/edit?usp=sharing"",""พังงา!Q147"")+IMPORTRANGE(""https://docs.google.com/spreadsheets/d/17ht0gPKzzT3PObBL1XJkeR"&amp;"mntBXI7wGjpLV7QorqlTk/edit?usp=sharing"",""พัทลุง!Q147"")+IMPORTRANGE(""https://docs.google.com/spreadsheets/d/1rd4qoM1q_hsgaolqNGfrim9gbsoLxQsda4-vOz5x_BM/edit?usp=sharing"",""ภูเก็ต!Q147"")+IMPORTRANGE(""https://docs.google.com/spreadsheets/d/1woKwKjgoL"&amp;"ssDvPcPeVyezB5izizAn4X1JDrys69n6xI/edit?usp=sharing"",""ยะลา!Q147"")+IMPORTRANGE(""https://docs.google.com/spreadsheets/d/1qfrKjzMhm2HJfxQ-qVlJlJQ25Hne1d0khsySbZyGtPA/edit?usp=sharing"",""ระนอง!Q147"")+IMPORTRANGE(""https://docs.google.com/spreadsheets/d/"&amp;"1IbSCnFOKpZsnFogBHJnL_isstZVaOMnFiIN0fGTPZZw/edit?usp=sharing"",""สงขลา!Q147"")+IMPORTRANGE(""https://docs.google.com/spreadsheets/d/1q9nWasZJ-K8bFGvbE9n0qSRuKGA4Toe3Y89cKCiVtCU/edit?usp=sharing"",""สตูล!Q147"")+IMPORTRANGE(""https://docs.google.com/sprea"&amp;"dsheets/d/18T20gbkS_WBjdscyTOV05cvq_JqvqQ17C81mpxf7Ncs/edit?usp=sharing"",""สุราษฎร์ธานี!Q147"")"),0)</f>
        <v>0</v>
      </c>
      <c r="R147" s="47">
        <f ca="1">IFERROR(__xludf.DUMMYFUNCTION("IMPORTRANGE(""https://docs.google.com/spreadsheets/d/1kKUcYdkIfrgTSj8iHHHB2MD2FAtwyyocFgqGQn6ADyI/edit?usp=sharing"",""กระบี่!R147"")+IMPORTRANGE(""https://docs.google.com/spreadsheets/d/1GwtLaSlNZkLk7iDqcyZz22giiy40b_usZZBXYciEN1U/edit?usp=sharing"",""ชุ"&amp;"มพร!R147"")+IMPORTRANGE(""https://docs.google.com/spreadsheets/d/16pAz3pOhQEZBhvFNMa5KGgZS6iKWpsKX0pg6tQmwFpo/edit?usp=sharing"",""ตรัง!R147"")+IMPORTRANGE(""https://docs.google.com/spreadsheets/d/1Dj4jcHCTV9JXKCaMoheSXS52JE63kDKyG7bPXnFogHk/edit?usp=shar"&amp;"ing"",""นครศรีธรรมราช!R147"")+IMPORTRANGE(""https://docs.google.com/spreadsheets/d/1iodCdmuK2GR3jzUwk8tpccY2JHQQA-87DLOtJP-ooyU/edit?usp=sharing"",""นราธิวาส!R147"")+IMPORTRANGE(""https://docs.google.com/spreadsheets/d/1SDNX3JhDdYRuIOsj0Wh2M-Qa_eaXl0NbWmh"&amp;"AOTbfQAs/edit?usp=sharing"",""ปัตตานี!R147"")+IMPORTRANGE(""https://docs.google.com/spreadsheets/d/16JDLGguT8s5DsGCND1KcwHP_AWR_zDMTqLHPLJUKhaU/edit?usp=sharing"",""พังงา!R147"")+IMPORTRANGE(""https://docs.google.com/spreadsheets/d/17ht0gPKzzT3PObBL1XJkeR"&amp;"mntBXI7wGjpLV7QorqlTk/edit?usp=sharing"",""พัทลุง!R147"")+IMPORTRANGE(""https://docs.google.com/spreadsheets/d/1rd4qoM1q_hsgaolqNGfrim9gbsoLxQsda4-vOz5x_BM/edit?usp=sharing"",""ภูเก็ต!R147"")+IMPORTRANGE(""https://docs.google.com/spreadsheets/d/1woKwKjgoL"&amp;"ssDvPcPeVyezB5izizAn4X1JDrys69n6xI/edit?usp=sharing"",""ยะลา!R147"")+IMPORTRANGE(""https://docs.google.com/spreadsheets/d/1qfrKjzMhm2HJfxQ-qVlJlJQ25Hne1d0khsySbZyGtPA/edit?usp=sharing"",""ระนอง!R147"")+IMPORTRANGE(""https://docs.google.com/spreadsheets/d/"&amp;"1IbSCnFOKpZsnFogBHJnL_isstZVaOMnFiIN0fGTPZZw/edit?usp=sharing"",""สงขลา!R147"")+IMPORTRANGE(""https://docs.google.com/spreadsheets/d/1q9nWasZJ-K8bFGvbE9n0qSRuKGA4Toe3Y89cKCiVtCU/edit?usp=sharing"",""สตูล!R147"")+IMPORTRANGE(""https://docs.google.com/sprea"&amp;"dsheets/d/18T20gbkS_WBjdscyTOV05cvq_JqvqQ17C81mpxf7Ncs/edit?usp=sharing"",""สุราษฎร์ธานี!R147"")"),0)</f>
        <v>0</v>
      </c>
      <c r="S147" s="47">
        <f ca="1">IFERROR(__xludf.DUMMYFUNCTION("IMPORTRANGE(""https://docs.google.com/spreadsheets/d/1kKUcYdkIfrgTSj8iHHHB2MD2FAtwyyocFgqGQn6ADyI/edit?usp=sharing"",""กระบี่!S147"")+IMPORTRANGE(""https://docs.google.com/spreadsheets/d/1GwtLaSlNZkLk7iDqcyZz22giiy40b_usZZBXYciEN1U/edit?usp=sharing"",""ชุ"&amp;"มพร!S147"")+IMPORTRANGE(""https://docs.google.com/spreadsheets/d/16pAz3pOhQEZBhvFNMa5KGgZS6iKWpsKX0pg6tQmwFpo/edit?usp=sharing"",""ตรัง!S147"")+IMPORTRANGE(""https://docs.google.com/spreadsheets/d/1Dj4jcHCTV9JXKCaMoheSXS52JE63kDKyG7bPXnFogHk/edit?usp=shar"&amp;"ing"",""นครศรีธรรมราช!S147"")+IMPORTRANGE(""https://docs.google.com/spreadsheets/d/1iodCdmuK2GR3jzUwk8tpccY2JHQQA-87DLOtJP-ooyU/edit?usp=sharing"",""นราธิวาส!S147"")+IMPORTRANGE(""https://docs.google.com/spreadsheets/d/1SDNX3JhDdYRuIOsj0Wh2M-Qa_eaXl0NbWmh"&amp;"AOTbfQAs/edit?usp=sharing"",""ปัตตานี!S147"")+IMPORTRANGE(""https://docs.google.com/spreadsheets/d/16JDLGguT8s5DsGCND1KcwHP_AWR_zDMTqLHPLJUKhaU/edit?usp=sharing"",""พังงา!S147"")+IMPORTRANGE(""https://docs.google.com/spreadsheets/d/17ht0gPKzzT3PObBL1XJkeR"&amp;"mntBXI7wGjpLV7QorqlTk/edit?usp=sharing"",""พัทลุง!S147"")+IMPORTRANGE(""https://docs.google.com/spreadsheets/d/1rd4qoM1q_hsgaolqNGfrim9gbsoLxQsda4-vOz5x_BM/edit?usp=sharing"",""ภูเก็ต!S147"")+IMPORTRANGE(""https://docs.google.com/spreadsheets/d/1woKwKjgoL"&amp;"ssDvPcPeVyezB5izizAn4X1JDrys69n6xI/edit?usp=sharing"",""ยะลา!S147"")+IMPORTRANGE(""https://docs.google.com/spreadsheets/d/1qfrKjzMhm2HJfxQ-qVlJlJQ25Hne1d0khsySbZyGtPA/edit?usp=sharing"",""ระนอง!S147"")+IMPORTRANGE(""https://docs.google.com/spreadsheets/d/"&amp;"1IbSCnFOKpZsnFogBHJnL_isstZVaOMnFiIN0fGTPZZw/edit?usp=sharing"",""สงขลา!S147"")+IMPORTRANGE(""https://docs.google.com/spreadsheets/d/1q9nWasZJ-K8bFGvbE9n0qSRuKGA4Toe3Y89cKCiVtCU/edit?usp=sharing"",""สตูล!S147"")+IMPORTRANGE(""https://docs.google.com/sprea"&amp;"dsheets/d/18T20gbkS_WBjdscyTOV05cvq_JqvqQ17C81mpxf7Ncs/edit?usp=sharing"",""สุราษฎร์ธานี!S147"")"),0)</f>
        <v>0</v>
      </c>
      <c r="T147" s="47">
        <f t="shared" ca="1" si="113"/>
        <v>0</v>
      </c>
      <c r="U147" s="47">
        <f t="shared" ca="1" si="114"/>
        <v>0</v>
      </c>
    </row>
    <row r="148" spans="1:21" ht="19.5" x14ac:dyDescent="0.3">
      <c r="A148" s="138"/>
      <c r="B148" s="139"/>
      <c r="C148" s="129" t="s">
        <v>18</v>
      </c>
      <c r="D148" s="140" t="s">
        <v>38</v>
      </c>
      <c r="E148" s="141"/>
      <c r="F148" s="141"/>
      <c r="G148" s="142"/>
      <c r="H148" s="189"/>
      <c r="I148" s="45"/>
      <c r="J148" s="45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52">
        <f ca="1">IFERROR(__xludf.DUMMYFUNCTION("IMPORTRANGE(""https://docs.google.com/spreadsheets/d/1kKUcYdkIfrgTSj8iHHHB2MD2FAtwyyocFgqGQn6ADyI/edit?usp=sharing"",""กระบี่!J149"")+IMPORTRANGE(""https://docs.google.com/spreadsheets/d/1GwtLaSlNZkLk7iDqcyZz22giiy40b_usZZBXYciEN1U/edit?usp=sharing"",""ชุ"&amp;"มพร!J149"")+IMPORTRANGE(""https://docs.google.com/spreadsheets/d/16pAz3pOhQEZBhvFNMa5KGgZS6iKWpsKX0pg6tQmwFpo/edit?usp=sharing"",""ตรัง!J149"")+IMPORTRANGE(""https://docs.google.com/spreadsheets/d/1Dj4jcHCTV9JXKCaMoheSXS52JE63kDKyG7bPXnFogHk/edit?usp=shar"&amp;"ing"",""นครศรีธรรมราช!J149"")+IMPORTRANGE(""https://docs.google.com/spreadsheets/d/1iodCdmuK2GR3jzUwk8tpccY2JHQQA-87DLOtJP-ooyU/edit?usp=sharing"",""นราธิวาส!J149"")+IMPORTRANGE(""https://docs.google.com/spreadsheets/d/1SDNX3JhDdYRuIOsj0Wh2M-Qa_eaXl0NbWmh"&amp;"AOTbfQAs/edit?usp=sharing"",""ปัตตานี!J149"")+IMPORTRANGE(""https://docs.google.com/spreadsheets/d/16JDLGguT8s5DsGCND1KcwHP_AWR_zDMTqLHPLJUKhaU/edit?usp=sharing"",""พังงา!J149"")+IMPORTRANGE(""https://docs.google.com/spreadsheets/d/17ht0gPKzzT3PObBL1XJkeR"&amp;"mntBXI7wGjpLV7QorqlTk/edit?usp=sharing"",""พัทลุง!J149"")+IMPORTRANGE(""https://docs.google.com/spreadsheets/d/1rd4qoM1q_hsgaolqNGfrim9gbsoLxQsda4-vOz5x_BM/edit?usp=sharing"",""ภูเก็ต!J149"")+IMPORTRANGE(""https://docs.google.com/spreadsheets/d/1woKwKjgoL"&amp;"ssDvPcPeVyezB5izizAn4X1JDrys69n6xI/edit?usp=sharing"",""ยะลา!J149"")+IMPORTRANGE(""https://docs.google.com/spreadsheets/d/1qfrKjzMhm2HJfxQ-qVlJlJQ25Hne1d0khsySbZyGtPA/edit?usp=sharing"",""ระนอง!J149"")+IMPORTRANGE(""https://docs.google.com/spreadsheets/d/"&amp;"1IbSCnFOKpZsnFogBHJnL_isstZVaOMnFiIN0fGTPZZw/edit?usp=sharing"",""สงขลา!J149"")+IMPORTRANGE(""https://docs.google.com/spreadsheets/d/1q9nWasZJ-K8bFGvbE9n0qSRuKGA4Toe3Y89cKCiVtCU/edit?usp=sharing"",""สตูล!J149"")+IMPORTRANGE(""https://docs.google.com/sprea"&amp;"dsheets/d/18T20gbkS_WBjdscyTOV05cvq_JqvqQ17C81mpxf7Ncs/edit?usp=sharing"",""สุราษฎร์ธานี!J149"")"),0)</f>
        <v>0</v>
      </c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kKUcYdkIfrgTSj8iHHHB2MD2FAtwyyocFgqGQn6ADyI/edit?usp=sharing"",""กระบี่!I150"")+IMPORTRANGE(""https://docs.google.com/spreadsheets/d/1GwtLaSlNZkLk7iDqcyZz22giiy40b_usZZBXYciEN1U/edit?usp=sharing"",""ชุ"&amp;"มพร!I150"")+IMPORTRANGE(""https://docs.google.com/spreadsheets/d/16pAz3pOhQEZBhvFNMa5KGgZS6iKWpsKX0pg6tQmwFpo/edit?usp=sharing"",""ตรัง!I150"")+IMPORTRANGE(""https://docs.google.com/spreadsheets/d/1Dj4jcHCTV9JXKCaMoheSXS52JE63kDKyG7bPXnFogHk/edit?usp=shar"&amp;"ing"",""นครศรีธรรมราช!I150"")+IMPORTRANGE(""https://docs.google.com/spreadsheets/d/1iodCdmuK2GR3jzUwk8tpccY2JHQQA-87DLOtJP-ooyU/edit?usp=sharing"",""นราธิวาส!I150"")+IMPORTRANGE(""https://docs.google.com/spreadsheets/d/1SDNX3JhDdYRuIOsj0Wh2M-Qa_eaXl0NbWmh"&amp;"AOTbfQAs/edit?usp=sharing"",""ปัตตานี!I150"")+IMPORTRANGE(""https://docs.google.com/spreadsheets/d/16JDLGguT8s5DsGCND1KcwHP_AWR_zDMTqLHPLJUKhaU/edit?usp=sharing"",""พังงา!I150"")+IMPORTRANGE(""https://docs.google.com/spreadsheets/d/17ht0gPKzzT3PObBL1XJkeR"&amp;"mntBXI7wGjpLV7QorqlTk/edit?usp=sharing"",""พัทลุง!I150"")+IMPORTRANGE(""https://docs.google.com/spreadsheets/d/1rd4qoM1q_hsgaolqNGfrim9gbsoLxQsda4-vOz5x_BM/edit?usp=sharing"",""ภูเก็ต!I150"")+IMPORTRANGE(""https://docs.google.com/spreadsheets/d/1woKwKjgoL"&amp;"ssDvPcPeVyezB5izizAn4X1JDrys69n6xI/edit?usp=sharing"",""ยะลา!I150"")+IMPORTRANGE(""https://docs.google.com/spreadsheets/d/1qfrKjzMhm2HJfxQ-qVlJlJQ25Hne1d0khsySbZyGtPA/edit?usp=sharing"",""ระนอง!I150"")+IMPORTRANGE(""https://docs.google.com/spreadsheets/d/"&amp;"1IbSCnFOKpZsnFogBHJnL_isstZVaOMnFiIN0fGTPZZw/edit?usp=sharing"",""สงขลา!I150"")+IMPORTRANGE(""https://docs.google.com/spreadsheets/d/1q9nWasZJ-K8bFGvbE9n0qSRuKGA4Toe3Y89cKCiVtCU/edit?usp=sharing"",""สตูล!I150"")+IMPORTRANGE(""https://docs.google.com/sprea"&amp;"dsheets/d/18T20gbkS_WBjdscyTOV05cvq_JqvqQ17C81mpxf7Ncs/edit?usp=sharing"",""สุราษฎร์ธานี!I150"")"),50)</f>
        <v>50</v>
      </c>
      <c r="J150" s="152">
        <f ca="1">IFERROR(__xludf.DUMMYFUNCTION("IMPORTRANGE(""https://docs.google.com/spreadsheets/d/1kKUcYdkIfrgTSj8iHHHB2MD2FAtwyyocFgqGQn6ADyI/edit?usp=sharing"",""กระบี่!J150"")+IMPORTRANGE(""https://docs.google.com/spreadsheets/d/1GwtLaSlNZkLk7iDqcyZz22giiy40b_usZZBXYciEN1U/edit?usp=sharing"",""ชุ"&amp;"มพร!J150"")+IMPORTRANGE(""https://docs.google.com/spreadsheets/d/16pAz3pOhQEZBhvFNMa5KGgZS6iKWpsKX0pg6tQmwFpo/edit?usp=sharing"",""ตรัง!J150"")+IMPORTRANGE(""https://docs.google.com/spreadsheets/d/1Dj4jcHCTV9JXKCaMoheSXS52JE63kDKyG7bPXnFogHk/edit?usp=shar"&amp;"ing"",""นครศรีธรรมราช!J150"")+IMPORTRANGE(""https://docs.google.com/spreadsheets/d/1iodCdmuK2GR3jzUwk8tpccY2JHQQA-87DLOtJP-ooyU/edit?usp=sharing"",""นราธิวาส!J150"")+IMPORTRANGE(""https://docs.google.com/spreadsheets/d/1SDNX3JhDdYRuIOsj0Wh2M-Qa_eaXl0NbWmh"&amp;"AOTbfQAs/edit?usp=sharing"",""ปัตตานี!J150"")+IMPORTRANGE(""https://docs.google.com/spreadsheets/d/16JDLGguT8s5DsGCND1KcwHP_AWR_zDMTqLHPLJUKhaU/edit?usp=sharing"",""พังงา!J150"")+IMPORTRANGE(""https://docs.google.com/spreadsheets/d/17ht0gPKzzT3PObBL1XJkeR"&amp;"mntBXI7wGjpLV7QorqlTk/edit?usp=sharing"",""พัทลุง!J150"")+IMPORTRANGE(""https://docs.google.com/spreadsheets/d/1rd4qoM1q_hsgaolqNGfrim9gbsoLxQsda4-vOz5x_BM/edit?usp=sharing"",""ภูเก็ต!J150"")+IMPORTRANGE(""https://docs.google.com/spreadsheets/d/1woKwKjgoL"&amp;"ssDvPcPeVyezB5izizAn4X1JDrys69n6xI/edit?usp=sharing"",""ยะลา!J150"")+IMPORTRANGE(""https://docs.google.com/spreadsheets/d/1qfrKjzMhm2HJfxQ-qVlJlJQ25Hne1d0khsySbZyGtPA/edit?usp=sharing"",""ระนอง!J150"")+IMPORTRANGE(""https://docs.google.com/spreadsheets/d/"&amp;"1IbSCnFOKpZsnFogBHJnL_isstZVaOMnFiIN0fGTPZZw/edit?usp=sharing"",""สงขลา!J150"")+IMPORTRANGE(""https://docs.google.com/spreadsheets/d/1q9nWasZJ-K8bFGvbE9n0qSRuKGA4Toe3Y89cKCiVtCU/edit?usp=sharing"",""สตูล!J150"")+IMPORTRANGE(""https://docs.google.com/sprea"&amp;"dsheets/d/18T20gbkS_WBjdscyTOV05cvq_JqvqQ17C81mpxf7Ncs/edit?usp=sharing"",""สุราษฎร์ธานี!J150"")"),30)</f>
        <v>30</v>
      </c>
      <c r="K150" s="47">
        <f t="shared" ref="K150:K154" ca="1" si="123">IF(I150&gt;0,J150*100/I150,0)</f>
        <v>60</v>
      </c>
      <c r="L150" s="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kKUcYdkIfrgTSj8iHHHB2MD2FAtwyyocFgqGQn6ADyI/edit?usp=sharing"",""กระบี่!I151"")+IMPORTRANGE(""https://docs.google.com/spreadsheets/d/1GwtLaSlNZkLk7iDqcyZz22giiy40b_usZZBXYciEN1U/edit?usp=sharing"",""ชุ"&amp;"มพร!I151"")+IMPORTRANGE(""https://docs.google.com/spreadsheets/d/16pAz3pOhQEZBhvFNMa5KGgZS6iKWpsKX0pg6tQmwFpo/edit?usp=sharing"",""ตรัง!I151"")+IMPORTRANGE(""https://docs.google.com/spreadsheets/d/1Dj4jcHCTV9JXKCaMoheSXS52JE63kDKyG7bPXnFogHk/edit?usp=shar"&amp;"ing"",""นครศรีธรรมราช!I151"")+IMPORTRANGE(""https://docs.google.com/spreadsheets/d/1iodCdmuK2GR3jzUwk8tpccY2JHQQA-87DLOtJP-ooyU/edit?usp=sharing"",""นราธิวาส!I151"")+IMPORTRANGE(""https://docs.google.com/spreadsheets/d/1SDNX3JhDdYRuIOsj0Wh2M-Qa_eaXl0NbWmh"&amp;"AOTbfQAs/edit?usp=sharing"",""ปัตตานี!I151"")+IMPORTRANGE(""https://docs.google.com/spreadsheets/d/16JDLGguT8s5DsGCND1KcwHP_AWR_zDMTqLHPLJUKhaU/edit?usp=sharing"",""พังงา!I151"")+IMPORTRANGE(""https://docs.google.com/spreadsheets/d/17ht0gPKzzT3PObBL1XJkeR"&amp;"mntBXI7wGjpLV7QorqlTk/edit?usp=sharing"",""พัทลุง!I151"")+IMPORTRANGE(""https://docs.google.com/spreadsheets/d/1rd4qoM1q_hsgaolqNGfrim9gbsoLxQsda4-vOz5x_BM/edit?usp=sharing"",""ภูเก็ต!I151"")+IMPORTRANGE(""https://docs.google.com/spreadsheets/d/1woKwKjgoL"&amp;"ssDvPcPeVyezB5izizAn4X1JDrys69n6xI/edit?usp=sharing"",""ยะลา!I151"")+IMPORTRANGE(""https://docs.google.com/spreadsheets/d/1qfrKjzMhm2HJfxQ-qVlJlJQ25Hne1d0khsySbZyGtPA/edit?usp=sharing"",""ระนอง!I151"")+IMPORTRANGE(""https://docs.google.com/spreadsheets/d/"&amp;"1IbSCnFOKpZsnFogBHJnL_isstZVaOMnFiIN0fGTPZZw/edit?usp=sharing"",""สงขลา!I151"")+IMPORTRANGE(""https://docs.google.com/spreadsheets/d/1q9nWasZJ-K8bFGvbE9n0qSRuKGA4Toe3Y89cKCiVtCU/edit?usp=sharing"",""สตูล!I151"")+IMPORTRANGE(""https://docs.google.com/sprea"&amp;"dsheets/d/18T20gbkS_WBjdscyTOV05cvq_JqvqQ17C81mpxf7Ncs/edit?usp=sharing"",""สุราษฎร์ธานี!I151"")"),5)</f>
        <v>5</v>
      </c>
      <c r="J151" s="152">
        <f ca="1">IFERROR(__xludf.DUMMYFUNCTION("IMPORTRANGE(""https://docs.google.com/spreadsheets/d/1kKUcYdkIfrgTSj8iHHHB2MD2FAtwyyocFgqGQn6ADyI/edit?usp=sharing"",""กระบี่!J151"")+IMPORTRANGE(""https://docs.google.com/spreadsheets/d/1GwtLaSlNZkLk7iDqcyZz22giiy40b_usZZBXYciEN1U/edit?usp=sharing"",""ชุ"&amp;"มพร!J151"")+IMPORTRANGE(""https://docs.google.com/spreadsheets/d/16pAz3pOhQEZBhvFNMa5KGgZS6iKWpsKX0pg6tQmwFpo/edit?usp=sharing"",""ตรัง!J151"")+IMPORTRANGE(""https://docs.google.com/spreadsheets/d/1Dj4jcHCTV9JXKCaMoheSXS52JE63kDKyG7bPXnFogHk/edit?usp=shar"&amp;"ing"",""นครศรีธรรมราช!J151"")+IMPORTRANGE(""https://docs.google.com/spreadsheets/d/1iodCdmuK2GR3jzUwk8tpccY2JHQQA-87DLOtJP-ooyU/edit?usp=sharing"",""นราธิวาส!J151"")+IMPORTRANGE(""https://docs.google.com/spreadsheets/d/1SDNX3JhDdYRuIOsj0Wh2M-Qa_eaXl0NbWmh"&amp;"AOTbfQAs/edit?usp=sharing"",""ปัตตานี!J151"")+IMPORTRANGE(""https://docs.google.com/spreadsheets/d/16JDLGguT8s5DsGCND1KcwHP_AWR_zDMTqLHPLJUKhaU/edit?usp=sharing"",""พังงา!J151"")+IMPORTRANGE(""https://docs.google.com/spreadsheets/d/17ht0gPKzzT3PObBL1XJkeR"&amp;"mntBXI7wGjpLV7QorqlTk/edit?usp=sharing"",""พัทลุง!J151"")+IMPORTRANGE(""https://docs.google.com/spreadsheets/d/1rd4qoM1q_hsgaolqNGfrim9gbsoLxQsda4-vOz5x_BM/edit?usp=sharing"",""ภูเก็ต!J151"")+IMPORTRANGE(""https://docs.google.com/spreadsheets/d/1woKwKjgoL"&amp;"ssDvPcPeVyezB5izizAn4X1JDrys69n6xI/edit?usp=sharing"",""ยะลา!J151"")+IMPORTRANGE(""https://docs.google.com/spreadsheets/d/1qfrKjzMhm2HJfxQ-qVlJlJQ25Hne1d0khsySbZyGtPA/edit?usp=sharing"",""ระนอง!J151"")+IMPORTRANGE(""https://docs.google.com/spreadsheets/d/"&amp;"1IbSCnFOKpZsnFogBHJnL_isstZVaOMnFiIN0fGTPZZw/edit?usp=sharing"",""สงขลา!J151"")+IMPORTRANGE(""https://docs.google.com/spreadsheets/d/1q9nWasZJ-K8bFGvbE9n0qSRuKGA4Toe3Y89cKCiVtCU/edit?usp=sharing"",""สตูล!J151"")+IMPORTRANGE(""https://docs.google.com/sprea"&amp;"dsheets/d/18T20gbkS_WBjdscyTOV05cvq_JqvqQ17C81mpxf7Ncs/edit?usp=sharing"",""สุราษฎร์ธานี!J151"")"),3)</f>
        <v>3</v>
      </c>
      <c r="K151" s="47">
        <f t="shared" ca="1" si="123"/>
        <v>60</v>
      </c>
      <c r="L151" s="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kKUcYdkIfrgTSj8iHHHB2MD2FAtwyyocFgqGQn6ADyI/edit?usp=sharing"",""กระบี่!I152"")+IMPORTRANGE(""https://docs.google.com/spreadsheets/d/1GwtLaSlNZkLk7iDqcyZz22giiy40b_usZZBXYciEN1U/edit?usp=sharing"",""ชุ"&amp;"มพร!I152"")+IMPORTRANGE(""https://docs.google.com/spreadsheets/d/16pAz3pOhQEZBhvFNMa5KGgZS6iKWpsKX0pg6tQmwFpo/edit?usp=sharing"",""ตรัง!I152"")+IMPORTRANGE(""https://docs.google.com/spreadsheets/d/1Dj4jcHCTV9JXKCaMoheSXS52JE63kDKyG7bPXnFogHk/edit?usp=shar"&amp;"ing"",""นครศรีธรรมราช!I152"")+IMPORTRANGE(""https://docs.google.com/spreadsheets/d/1iodCdmuK2GR3jzUwk8tpccY2JHQQA-87DLOtJP-ooyU/edit?usp=sharing"",""นราธิวาส!I152"")+IMPORTRANGE(""https://docs.google.com/spreadsheets/d/1SDNX3JhDdYRuIOsj0Wh2M-Qa_eaXl0NbWmh"&amp;"AOTbfQAs/edit?usp=sharing"",""ปัตตานี!I152"")+IMPORTRANGE(""https://docs.google.com/spreadsheets/d/16JDLGguT8s5DsGCND1KcwHP_AWR_zDMTqLHPLJUKhaU/edit?usp=sharing"",""พังงา!I152"")+IMPORTRANGE(""https://docs.google.com/spreadsheets/d/17ht0gPKzzT3PObBL1XJkeR"&amp;"mntBXI7wGjpLV7QorqlTk/edit?usp=sharing"",""พัทลุง!I152"")+IMPORTRANGE(""https://docs.google.com/spreadsheets/d/1rd4qoM1q_hsgaolqNGfrim9gbsoLxQsda4-vOz5x_BM/edit?usp=sharing"",""ภูเก็ต!I152"")+IMPORTRANGE(""https://docs.google.com/spreadsheets/d/1woKwKjgoL"&amp;"ssDvPcPeVyezB5izizAn4X1JDrys69n6xI/edit?usp=sharing"",""ยะลา!I152"")+IMPORTRANGE(""https://docs.google.com/spreadsheets/d/1qfrKjzMhm2HJfxQ-qVlJlJQ25Hne1d0khsySbZyGtPA/edit?usp=sharing"",""ระนอง!I152"")+IMPORTRANGE(""https://docs.google.com/spreadsheets/d/"&amp;"1IbSCnFOKpZsnFogBHJnL_isstZVaOMnFiIN0fGTPZZw/edit?usp=sharing"",""สงขลา!I152"")+IMPORTRANGE(""https://docs.google.com/spreadsheets/d/1q9nWasZJ-K8bFGvbE9n0qSRuKGA4Toe3Y89cKCiVtCU/edit?usp=sharing"",""สตูล!I152"")+IMPORTRANGE(""https://docs.google.com/sprea"&amp;"dsheets/d/18T20gbkS_WBjdscyTOV05cvq_JqvqQ17C81mpxf7Ncs/edit?usp=sharing"",""สุราษฎร์ธานี!I152"")"),200)</f>
        <v>200</v>
      </c>
      <c r="J152" s="152">
        <f ca="1">IFERROR(__xludf.DUMMYFUNCTION("IMPORTRANGE(""https://docs.google.com/spreadsheets/d/1kKUcYdkIfrgTSj8iHHHB2MD2FAtwyyocFgqGQn6ADyI/edit?usp=sharing"",""กระบี่!J152"")+IMPORTRANGE(""https://docs.google.com/spreadsheets/d/1GwtLaSlNZkLk7iDqcyZz22giiy40b_usZZBXYciEN1U/edit?usp=sharing"",""ชุ"&amp;"มพร!J152"")+IMPORTRANGE(""https://docs.google.com/spreadsheets/d/16pAz3pOhQEZBhvFNMa5KGgZS6iKWpsKX0pg6tQmwFpo/edit?usp=sharing"",""ตรัง!J152"")+IMPORTRANGE(""https://docs.google.com/spreadsheets/d/1Dj4jcHCTV9JXKCaMoheSXS52JE63kDKyG7bPXnFogHk/edit?usp=shar"&amp;"ing"",""นครศรีธรรมราช!J152"")+IMPORTRANGE(""https://docs.google.com/spreadsheets/d/1iodCdmuK2GR3jzUwk8tpccY2JHQQA-87DLOtJP-ooyU/edit?usp=sharing"",""นราธิวาส!J152"")+IMPORTRANGE(""https://docs.google.com/spreadsheets/d/1SDNX3JhDdYRuIOsj0Wh2M-Qa_eaXl0NbWmh"&amp;"AOTbfQAs/edit?usp=sharing"",""ปัตตานี!J152"")+IMPORTRANGE(""https://docs.google.com/spreadsheets/d/16JDLGguT8s5DsGCND1KcwHP_AWR_zDMTqLHPLJUKhaU/edit?usp=sharing"",""พังงา!J152"")+IMPORTRANGE(""https://docs.google.com/spreadsheets/d/17ht0gPKzzT3PObBL1XJkeR"&amp;"mntBXI7wGjpLV7QorqlTk/edit?usp=sharing"",""พัทลุง!J152"")+IMPORTRANGE(""https://docs.google.com/spreadsheets/d/1rd4qoM1q_hsgaolqNGfrim9gbsoLxQsda4-vOz5x_BM/edit?usp=sharing"",""ภูเก็ต!J152"")+IMPORTRANGE(""https://docs.google.com/spreadsheets/d/1woKwKjgoL"&amp;"ssDvPcPeVyezB5izizAn4X1JDrys69n6xI/edit?usp=sharing"",""ยะลา!J152"")+IMPORTRANGE(""https://docs.google.com/spreadsheets/d/1qfrKjzMhm2HJfxQ-qVlJlJQ25Hne1d0khsySbZyGtPA/edit?usp=sharing"",""ระนอง!J152"")+IMPORTRANGE(""https://docs.google.com/spreadsheets/d/"&amp;"1IbSCnFOKpZsnFogBHJnL_isstZVaOMnFiIN0fGTPZZw/edit?usp=sharing"",""สงขลา!J152"")+IMPORTRANGE(""https://docs.google.com/spreadsheets/d/1q9nWasZJ-K8bFGvbE9n0qSRuKGA4Toe3Y89cKCiVtCU/edit?usp=sharing"",""สตูล!J152"")+IMPORTRANGE(""https://docs.google.com/sprea"&amp;"dsheets/d/18T20gbkS_WBjdscyTOV05cvq_JqvqQ17C81mpxf7Ncs/edit?usp=sharing"",""สุราษฎร์ธานี!J152"")"),90)</f>
        <v>90</v>
      </c>
      <c r="K152" s="47">
        <f t="shared" ca="1" si="123"/>
        <v>45</v>
      </c>
      <c r="L152" s="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kKUcYdkIfrgTSj8iHHHB2MD2FAtwyyocFgqGQn6ADyI/edit?usp=sharing"",""กระบี่!I153"")+IMPORTRANGE(""https://docs.google.com/spreadsheets/d/1GwtLaSlNZkLk7iDqcyZz22giiy40b_usZZBXYciEN1U/edit?usp=sharing"",""ชุ"&amp;"มพร!I153"")+IMPORTRANGE(""https://docs.google.com/spreadsheets/d/16pAz3pOhQEZBhvFNMa5KGgZS6iKWpsKX0pg6tQmwFpo/edit?usp=sharing"",""ตรัง!I153"")+IMPORTRANGE(""https://docs.google.com/spreadsheets/d/1Dj4jcHCTV9JXKCaMoheSXS52JE63kDKyG7bPXnFogHk/edit?usp=shar"&amp;"ing"",""นครศรีธรรมราช!I153"")+IMPORTRANGE(""https://docs.google.com/spreadsheets/d/1iodCdmuK2GR3jzUwk8tpccY2JHQQA-87DLOtJP-ooyU/edit?usp=sharing"",""นราธิวาส!I153"")+IMPORTRANGE(""https://docs.google.com/spreadsheets/d/1SDNX3JhDdYRuIOsj0Wh2M-Qa_eaXl0NbWmh"&amp;"AOTbfQAs/edit?usp=sharing"",""ปัตตานี!I153"")+IMPORTRANGE(""https://docs.google.com/spreadsheets/d/16JDLGguT8s5DsGCND1KcwHP_AWR_zDMTqLHPLJUKhaU/edit?usp=sharing"",""พังงา!I153"")+IMPORTRANGE(""https://docs.google.com/spreadsheets/d/17ht0gPKzzT3PObBL1XJkeR"&amp;"mntBXI7wGjpLV7QorqlTk/edit?usp=sharing"",""พัทลุง!I153"")+IMPORTRANGE(""https://docs.google.com/spreadsheets/d/1rd4qoM1q_hsgaolqNGfrim9gbsoLxQsda4-vOz5x_BM/edit?usp=sharing"",""ภูเก็ต!I153"")+IMPORTRANGE(""https://docs.google.com/spreadsheets/d/1woKwKjgoL"&amp;"ssDvPcPeVyezB5izizAn4X1JDrys69n6xI/edit?usp=sharing"",""ยะลา!I153"")+IMPORTRANGE(""https://docs.google.com/spreadsheets/d/1qfrKjzMhm2HJfxQ-qVlJlJQ25Hne1d0khsySbZyGtPA/edit?usp=sharing"",""ระนอง!I153"")+IMPORTRANGE(""https://docs.google.com/spreadsheets/d/"&amp;"1IbSCnFOKpZsnFogBHJnL_isstZVaOMnFiIN0fGTPZZw/edit?usp=sharing"",""สงขลา!I153"")+IMPORTRANGE(""https://docs.google.com/spreadsheets/d/1q9nWasZJ-K8bFGvbE9n0qSRuKGA4Toe3Y89cKCiVtCU/edit?usp=sharing"",""สตูล!I153"")+IMPORTRANGE(""https://docs.google.com/sprea"&amp;"dsheets/d/18T20gbkS_WBjdscyTOV05cvq_JqvqQ17C81mpxf7Ncs/edit?usp=sharing"",""สุราษฎร์ธานี!I153"")"),20)</f>
        <v>20</v>
      </c>
      <c r="J153" s="152">
        <f ca="1">IFERROR(__xludf.DUMMYFUNCTION("IMPORTRANGE(""https://docs.google.com/spreadsheets/d/1kKUcYdkIfrgTSj8iHHHB2MD2FAtwyyocFgqGQn6ADyI/edit?usp=sharing"",""กระบี่!J153"")+IMPORTRANGE(""https://docs.google.com/spreadsheets/d/1GwtLaSlNZkLk7iDqcyZz22giiy40b_usZZBXYciEN1U/edit?usp=sharing"",""ชุ"&amp;"มพร!J153"")+IMPORTRANGE(""https://docs.google.com/spreadsheets/d/16pAz3pOhQEZBhvFNMa5KGgZS6iKWpsKX0pg6tQmwFpo/edit?usp=sharing"",""ตรัง!J153"")+IMPORTRANGE(""https://docs.google.com/spreadsheets/d/1Dj4jcHCTV9JXKCaMoheSXS52JE63kDKyG7bPXnFogHk/edit?usp=shar"&amp;"ing"",""นครศรีธรรมราช!J153"")+IMPORTRANGE(""https://docs.google.com/spreadsheets/d/1iodCdmuK2GR3jzUwk8tpccY2JHQQA-87DLOtJP-ooyU/edit?usp=sharing"",""นราธิวาส!J153"")+IMPORTRANGE(""https://docs.google.com/spreadsheets/d/1SDNX3JhDdYRuIOsj0Wh2M-Qa_eaXl0NbWmh"&amp;"AOTbfQAs/edit?usp=sharing"",""ปัตตานี!J153"")+IMPORTRANGE(""https://docs.google.com/spreadsheets/d/16JDLGguT8s5DsGCND1KcwHP_AWR_zDMTqLHPLJUKhaU/edit?usp=sharing"",""พังงา!J153"")+IMPORTRANGE(""https://docs.google.com/spreadsheets/d/17ht0gPKzzT3PObBL1XJkeR"&amp;"mntBXI7wGjpLV7QorqlTk/edit?usp=sharing"",""พัทลุง!J153"")+IMPORTRANGE(""https://docs.google.com/spreadsheets/d/1rd4qoM1q_hsgaolqNGfrim9gbsoLxQsda4-vOz5x_BM/edit?usp=sharing"",""ภูเก็ต!J153"")+IMPORTRANGE(""https://docs.google.com/spreadsheets/d/1woKwKjgoL"&amp;"ssDvPcPeVyezB5izizAn4X1JDrys69n6xI/edit?usp=sharing"",""ยะลา!J153"")+IMPORTRANGE(""https://docs.google.com/spreadsheets/d/1qfrKjzMhm2HJfxQ-qVlJlJQ25Hne1d0khsySbZyGtPA/edit?usp=sharing"",""ระนอง!J153"")+IMPORTRANGE(""https://docs.google.com/spreadsheets/d/"&amp;"1IbSCnFOKpZsnFogBHJnL_isstZVaOMnFiIN0fGTPZZw/edit?usp=sharing"",""สงขลา!J153"")+IMPORTRANGE(""https://docs.google.com/spreadsheets/d/1q9nWasZJ-K8bFGvbE9n0qSRuKGA4Toe3Y89cKCiVtCU/edit?usp=sharing"",""สตูล!J153"")+IMPORTRANGE(""https://docs.google.com/sprea"&amp;"dsheets/d/18T20gbkS_WBjdscyTOV05cvq_JqvqQ17C81mpxf7Ncs/edit?usp=sharing"",""สุราษฎร์ธานี!J153"")"),9)</f>
        <v>9</v>
      </c>
      <c r="K153" s="47">
        <f t="shared" ca="1" si="123"/>
        <v>45</v>
      </c>
      <c r="L153" s="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kKUcYdkIfrgTSj8iHHHB2MD2FAtwyyocFgqGQn6ADyI/edit?usp=sharing"",""กระบี่!I154"")+IMPORTRANGE(""https://docs.google.com/spreadsheets/d/1GwtLaSlNZkLk7iDqcyZz22giiy40b_usZZBXYciEN1U/edit?usp=sharing"",""ชุ"&amp;"มพร!I154"")+IMPORTRANGE(""https://docs.google.com/spreadsheets/d/16pAz3pOhQEZBhvFNMa5KGgZS6iKWpsKX0pg6tQmwFpo/edit?usp=sharing"",""ตรัง!I154"")+IMPORTRANGE(""https://docs.google.com/spreadsheets/d/1Dj4jcHCTV9JXKCaMoheSXS52JE63kDKyG7bPXnFogHk/edit?usp=shar"&amp;"ing"",""นครศรีธรรมราช!I154"")+IMPORTRANGE(""https://docs.google.com/spreadsheets/d/1iodCdmuK2GR3jzUwk8tpccY2JHQQA-87DLOtJP-ooyU/edit?usp=sharing"",""นราธิวาส!I154"")+IMPORTRANGE(""https://docs.google.com/spreadsheets/d/1SDNX3JhDdYRuIOsj0Wh2M-Qa_eaXl0NbWmh"&amp;"AOTbfQAs/edit?usp=sharing"",""ปัตตานี!I154"")+IMPORTRANGE(""https://docs.google.com/spreadsheets/d/16JDLGguT8s5DsGCND1KcwHP_AWR_zDMTqLHPLJUKhaU/edit?usp=sharing"",""พังงา!I154"")+IMPORTRANGE(""https://docs.google.com/spreadsheets/d/17ht0gPKzzT3PObBL1XJkeR"&amp;"mntBXI7wGjpLV7QorqlTk/edit?usp=sharing"",""พัทลุง!I154"")+IMPORTRANGE(""https://docs.google.com/spreadsheets/d/1rd4qoM1q_hsgaolqNGfrim9gbsoLxQsda4-vOz5x_BM/edit?usp=sharing"",""ภูเก็ต!I154"")+IMPORTRANGE(""https://docs.google.com/spreadsheets/d/1woKwKjgoL"&amp;"ssDvPcPeVyezB5izizAn4X1JDrys69n6xI/edit?usp=sharing"",""ยะลา!I154"")+IMPORTRANGE(""https://docs.google.com/spreadsheets/d/1qfrKjzMhm2HJfxQ-qVlJlJQ25Hne1d0khsySbZyGtPA/edit?usp=sharing"",""ระนอง!I154"")+IMPORTRANGE(""https://docs.google.com/spreadsheets/d/"&amp;"1IbSCnFOKpZsnFogBHJnL_isstZVaOMnFiIN0fGTPZZw/edit?usp=sharing"",""สงขลา!I154"")+IMPORTRANGE(""https://docs.google.com/spreadsheets/d/1q9nWasZJ-K8bFGvbE9n0qSRuKGA4Toe3Y89cKCiVtCU/edit?usp=sharing"",""สตูล!I154"")+IMPORTRANGE(""https://docs.google.com/sprea"&amp;"dsheets/d/18T20gbkS_WBjdscyTOV05cvq_JqvqQ17C81mpxf7Ncs/edit?usp=sharing"",""สุราษฎร์ธานี!I154"")"),5)</f>
        <v>5</v>
      </c>
      <c r="J154" s="152">
        <f ca="1">IFERROR(__xludf.DUMMYFUNCTION("IMPORTRANGE(""https://docs.google.com/spreadsheets/d/1kKUcYdkIfrgTSj8iHHHB2MD2FAtwyyocFgqGQn6ADyI/edit?usp=sharing"",""กระบี่!J154"")+IMPORTRANGE(""https://docs.google.com/spreadsheets/d/1GwtLaSlNZkLk7iDqcyZz22giiy40b_usZZBXYciEN1U/edit?usp=sharing"",""ชุ"&amp;"มพร!J154"")+IMPORTRANGE(""https://docs.google.com/spreadsheets/d/16pAz3pOhQEZBhvFNMa5KGgZS6iKWpsKX0pg6tQmwFpo/edit?usp=sharing"",""ตรัง!J154"")+IMPORTRANGE(""https://docs.google.com/spreadsheets/d/1Dj4jcHCTV9JXKCaMoheSXS52JE63kDKyG7bPXnFogHk/edit?usp=shar"&amp;"ing"",""นครศรีธรรมราช!J154"")+IMPORTRANGE(""https://docs.google.com/spreadsheets/d/1iodCdmuK2GR3jzUwk8tpccY2JHQQA-87DLOtJP-ooyU/edit?usp=sharing"",""นราธิวาส!J154"")+IMPORTRANGE(""https://docs.google.com/spreadsheets/d/1SDNX3JhDdYRuIOsj0Wh2M-Qa_eaXl0NbWmh"&amp;"AOTbfQAs/edit?usp=sharing"",""ปัตตานี!J154"")+IMPORTRANGE(""https://docs.google.com/spreadsheets/d/16JDLGguT8s5DsGCND1KcwHP_AWR_zDMTqLHPLJUKhaU/edit?usp=sharing"",""พังงา!J154"")+IMPORTRANGE(""https://docs.google.com/spreadsheets/d/17ht0gPKzzT3PObBL1XJkeR"&amp;"mntBXI7wGjpLV7QorqlTk/edit?usp=sharing"",""พัทลุง!J154"")+IMPORTRANGE(""https://docs.google.com/spreadsheets/d/1rd4qoM1q_hsgaolqNGfrim9gbsoLxQsda4-vOz5x_BM/edit?usp=sharing"",""ภูเก็ต!J154"")+IMPORTRANGE(""https://docs.google.com/spreadsheets/d/1woKwKjgoL"&amp;"ssDvPcPeVyezB5izizAn4X1JDrys69n6xI/edit?usp=sharing"",""ยะลา!J154"")+IMPORTRANGE(""https://docs.google.com/spreadsheets/d/1qfrKjzMhm2HJfxQ-qVlJlJQ25Hne1d0khsySbZyGtPA/edit?usp=sharing"",""ระนอง!J154"")+IMPORTRANGE(""https://docs.google.com/spreadsheets/d/"&amp;"1IbSCnFOKpZsnFogBHJnL_isstZVaOMnFiIN0fGTPZZw/edit?usp=sharing"",""สงขลา!J154"")+IMPORTRANGE(""https://docs.google.com/spreadsheets/d/1q9nWasZJ-K8bFGvbE9n0qSRuKGA4Toe3Y89cKCiVtCU/edit?usp=sharing"",""สตูล!J154"")+IMPORTRANGE(""https://docs.google.com/sprea"&amp;"dsheets/d/18T20gbkS_WBjdscyTOV05cvq_JqvqQ17C81mpxf7Ncs/edit?usp=sharing"",""สุราษฎร์ธานี!J154"")"),0)</f>
        <v>0</v>
      </c>
      <c r="K154" s="47">
        <f t="shared" ca="1" si="123"/>
        <v>0</v>
      </c>
      <c r="L154" s="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I167</f>
        <v>30</v>
      </c>
      <c r="J156" s="127">
        <f>J168</f>
        <v>0</v>
      </c>
      <c r="K156" s="35">
        <f ca="1">IF(I156&gt;0,J156*100/I156,0)</f>
        <v>0</v>
      </c>
      <c r="L156" s="34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13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132">
        <f t="shared" ref="L157:N157" ca="1" si="124">L158+L159</f>
        <v>9000</v>
      </c>
      <c r="M157" s="132">
        <f t="shared" ca="1" si="124"/>
        <v>39320</v>
      </c>
      <c r="N157" s="132">
        <f t="shared" ca="1" si="124"/>
        <v>9075.41</v>
      </c>
      <c r="O157" s="132">
        <f t="shared" ref="O157:O165" ca="1" si="125">IF(L157&gt;0,N157*100/L157,0)</f>
        <v>100.83788888888888</v>
      </c>
      <c r="P157" s="132">
        <f t="shared" ref="P157:P165" ca="1" si="126">IF(M157&gt;0,N157*100/M157,0)</f>
        <v>23.080900305188198</v>
      </c>
      <c r="Q157" s="132">
        <f t="shared" ref="Q157:S157" ca="1" si="127">Q158+Q159</f>
        <v>0</v>
      </c>
      <c r="R157" s="132">
        <f t="shared" ca="1" si="127"/>
        <v>0</v>
      </c>
      <c r="S157" s="132">
        <f t="shared" ca="1" si="127"/>
        <v>0</v>
      </c>
      <c r="T157" s="132">
        <f t="shared" ref="T157:T165" ca="1" si="128">IF(Q157&gt;0,S157*100/Q157,0)</f>
        <v>0</v>
      </c>
      <c r="U157" s="132">
        <f t="shared" ref="U157:U165" ca="1" si="129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48" t="s">
        <v>20</v>
      </c>
      <c r="F158" s="41"/>
      <c r="G158" s="43"/>
      <c r="H158" s="133" t="s">
        <v>14</v>
      </c>
      <c r="I158" s="45"/>
      <c r="J158" s="45"/>
      <c r="K158" s="46"/>
      <c r="L158" s="47">
        <f t="shared" ref="L158:N158" ca="1" si="130">L161+L164</f>
        <v>0</v>
      </c>
      <c r="M158" s="47">
        <f t="shared" ca="1" si="130"/>
        <v>0</v>
      </c>
      <c r="N158" s="47">
        <f t="shared" ca="1" si="130"/>
        <v>0</v>
      </c>
      <c r="O158" s="47">
        <f t="shared" ca="1" si="125"/>
        <v>0</v>
      </c>
      <c r="P158" s="47">
        <f t="shared" ca="1" si="126"/>
        <v>0</v>
      </c>
      <c r="Q158" s="47">
        <f t="shared" ref="Q158:S158" ca="1" si="131">Q161+Q164</f>
        <v>0</v>
      </c>
      <c r="R158" s="47">
        <f t="shared" ca="1" si="131"/>
        <v>0</v>
      </c>
      <c r="S158" s="47">
        <f t="shared" ca="1" si="131"/>
        <v>0</v>
      </c>
      <c r="T158" s="49">
        <f t="shared" ca="1" si="128"/>
        <v>0</v>
      </c>
      <c r="U158" s="49">
        <f t="shared" ca="1" si="129"/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7">
        <f t="shared" ref="L159:N159" ca="1" si="132">L162+L165</f>
        <v>9000</v>
      </c>
      <c r="M159" s="47">
        <f t="shared" ca="1" si="132"/>
        <v>39320</v>
      </c>
      <c r="N159" s="47">
        <f t="shared" ca="1" si="132"/>
        <v>9075.41</v>
      </c>
      <c r="O159" s="47">
        <f t="shared" ca="1" si="125"/>
        <v>100.83788888888888</v>
      </c>
      <c r="P159" s="47">
        <f t="shared" ca="1" si="126"/>
        <v>23.080900305188198</v>
      </c>
      <c r="Q159" s="47">
        <f t="shared" ref="Q159:S159" ca="1" si="133">Q162+Q165</f>
        <v>0</v>
      </c>
      <c r="R159" s="47">
        <f t="shared" ca="1" si="133"/>
        <v>0</v>
      </c>
      <c r="S159" s="47">
        <f t="shared" ca="1" si="133"/>
        <v>0</v>
      </c>
      <c r="T159" s="47">
        <f t="shared" ca="1" si="128"/>
        <v>0</v>
      </c>
      <c r="U159" s="47">
        <f t="shared" ca="1" si="129"/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7">
        <f t="shared" ref="L160:N160" ca="1" si="134">L161+L162</f>
        <v>9000</v>
      </c>
      <c r="M160" s="47">
        <f t="shared" ca="1" si="134"/>
        <v>39320</v>
      </c>
      <c r="N160" s="47">
        <f t="shared" ca="1" si="134"/>
        <v>9075.41</v>
      </c>
      <c r="O160" s="47">
        <f t="shared" ca="1" si="125"/>
        <v>100.83788888888888</v>
      </c>
      <c r="P160" s="47">
        <f t="shared" ca="1" si="126"/>
        <v>23.080900305188198</v>
      </c>
      <c r="Q160" s="47">
        <f t="shared" ref="Q160:S160" ca="1" si="135">Q161+Q162</f>
        <v>0</v>
      </c>
      <c r="R160" s="47">
        <f t="shared" ca="1" si="135"/>
        <v>0</v>
      </c>
      <c r="S160" s="47">
        <f t="shared" ca="1" si="135"/>
        <v>0</v>
      </c>
      <c r="T160" s="47">
        <f t="shared" ca="1" si="128"/>
        <v>0</v>
      </c>
      <c r="U160" s="47">
        <f t="shared" ca="1" si="129"/>
        <v>0</v>
      </c>
    </row>
    <row r="161" spans="1:21" ht="18.75" hidden="1" x14ac:dyDescent="0.25">
      <c r="A161" s="128"/>
      <c r="B161" s="41"/>
      <c r="C161" s="41"/>
      <c r="D161" s="41"/>
      <c r="E161" s="48" t="s">
        <v>36</v>
      </c>
      <c r="F161" s="41"/>
      <c r="G161" s="43"/>
      <c r="H161" s="134" t="s">
        <v>14</v>
      </c>
      <c r="I161" s="135"/>
      <c r="J161" s="135"/>
      <c r="K161" s="136"/>
      <c r="L161" s="47">
        <f ca="1">IFERROR(__xludf.DUMMYFUNCTION("IMPORTRANGE(""https://docs.google.com/spreadsheets/d/1kKUcYdkIfrgTSj8iHHHB2MD2FAtwyyocFgqGQn6ADyI/edit?usp=sharing"",""กระบี่!L161"")+IMPORTRANGE(""https://docs.google.com/spreadsheets/d/1GwtLaSlNZkLk7iDqcyZz22giiy40b_usZZBXYciEN1U/edit?usp=sharing"",""ชุ"&amp;"มพร!L161"")+IMPORTRANGE(""https://docs.google.com/spreadsheets/d/16pAz3pOhQEZBhvFNMa5KGgZS6iKWpsKX0pg6tQmwFpo/edit?usp=sharing"",""ตรัง!L161"")+IMPORTRANGE(""https://docs.google.com/spreadsheets/d/1Dj4jcHCTV9JXKCaMoheSXS52JE63kDKyG7bPXnFogHk/edit?usp=shar"&amp;"ing"",""นครศรีธรรมราช!L161"")+IMPORTRANGE(""https://docs.google.com/spreadsheets/d/1iodCdmuK2GR3jzUwk8tpccY2JHQQA-87DLOtJP-ooyU/edit?usp=sharing"",""นราธิวาส!L161"")+IMPORTRANGE(""https://docs.google.com/spreadsheets/d/1SDNX3JhDdYRuIOsj0Wh2M-Qa_eaXl0NbWmh"&amp;"AOTbfQAs/edit?usp=sharing"",""ปัตตานี!L161"")+IMPORTRANGE(""https://docs.google.com/spreadsheets/d/16JDLGguT8s5DsGCND1KcwHP_AWR_zDMTqLHPLJUKhaU/edit?usp=sharing"",""พังงา!L161"")+IMPORTRANGE(""https://docs.google.com/spreadsheets/d/17ht0gPKzzT3PObBL1XJkeR"&amp;"mntBXI7wGjpLV7QorqlTk/edit?usp=sharing"",""พัทลุง!L161"")+IMPORTRANGE(""https://docs.google.com/spreadsheets/d/1rd4qoM1q_hsgaolqNGfrim9gbsoLxQsda4-vOz5x_BM/edit?usp=sharing"",""ภูเก็ต!L161"")+IMPORTRANGE(""https://docs.google.com/spreadsheets/d/1woKwKjgoL"&amp;"ssDvPcPeVyezB5izizAn4X1JDrys69n6xI/edit?usp=sharing"",""ยะลา!L161"")+IMPORTRANGE(""https://docs.google.com/spreadsheets/d/1qfrKjzMhm2HJfxQ-qVlJlJQ25Hne1d0khsySbZyGtPA/edit?usp=sharing"",""ระนอง!L161"")+IMPORTRANGE(""https://docs.google.com/spreadsheets/d/"&amp;"1IbSCnFOKpZsnFogBHJnL_isstZVaOMnFiIN0fGTPZZw/edit?usp=sharing"",""สงขลา!L161"")+IMPORTRANGE(""https://docs.google.com/spreadsheets/d/1q9nWasZJ-K8bFGvbE9n0qSRuKGA4Toe3Y89cKCiVtCU/edit?usp=sharing"",""สตูล!L161"")+IMPORTRANGE(""https://docs.google.com/sprea"&amp;"dsheets/d/18T20gbkS_WBjdscyTOV05cvq_JqvqQ17C81mpxf7Ncs/edit?usp=sharing"",""สุราษฎร์ธานี!L161"")"),0)</f>
        <v>0</v>
      </c>
      <c r="M161" s="47">
        <f ca="1">IFERROR(__xludf.DUMMYFUNCTION("IMPORTRANGE(""https://docs.google.com/spreadsheets/d/1kKUcYdkIfrgTSj8iHHHB2MD2FAtwyyocFgqGQn6ADyI/edit?usp=sharing"",""กระบี่!M161"")+IMPORTRANGE(""https://docs.google.com/spreadsheets/d/1GwtLaSlNZkLk7iDqcyZz22giiy40b_usZZBXYciEN1U/edit?usp=sharing"",""ชุ"&amp;"มพร!M161"")+IMPORTRANGE(""https://docs.google.com/spreadsheets/d/16pAz3pOhQEZBhvFNMa5KGgZS6iKWpsKX0pg6tQmwFpo/edit?usp=sharing"",""ตรัง!M161"")+IMPORTRANGE(""https://docs.google.com/spreadsheets/d/1Dj4jcHCTV9JXKCaMoheSXS52JE63kDKyG7bPXnFogHk/edit?usp=shar"&amp;"ing"",""นครศรีธรรมราช!M161"")+IMPORTRANGE(""https://docs.google.com/spreadsheets/d/1iodCdmuK2GR3jzUwk8tpccY2JHQQA-87DLOtJP-ooyU/edit?usp=sharing"",""นราธิวาส!M161"")+IMPORTRANGE(""https://docs.google.com/spreadsheets/d/1SDNX3JhDdYRuIOsj0Wh2M-Qa_eaXl0NbWmh"&amp;"AOTbfQAs/edit?usp=sharing"",""ปัตตานี!M161"")+IMPORTRANGE(""https://docs.google.com/spreadsheets/d/16JDLGguT8s5DsGCND1KcwHP_AWR_zDMTqLHPLJUKhaU/edit?usp=sharing"",""พังงา!M161"")+IMPORTRANGE(""https://docs.google.com/spreadsheets/d/17ht0gPKzzT3PObBL1XJkeR"&amp;"mntBXI7wGjpLV7QorqlTk/edit?usp=sharing"",""พัทลุง!M161"")+IMPORTRANGE(""https://docs.google.com/spreadsheets/d/1rd4qoM1q_hsgaolqNGfrim9gbsoLxQsda4-vOz5x_BM/edit?usp=sharing"",""ภูเก็ต!M161"")+IMPORTRANGE(""https://docs.google.com/spreadsheets/d/1woKwKjgoL"&amp;"ssDvPcPeVyezB5izizAn4X1JDrys69n6xI/edit?usp=sharing"",""ยะลา!M161"")+IMPORTRANGE(""https://docs.google.com/spreadsheets/d/1qfrKjzMhm2HJfxQ-qVlJlJQ25Hne1d0khsySbZyGtPA/edit?usp=sharing"",""ระนอง!M161"")+IMPORTRANGE(""https://docs.google.com/spreadsheets/d/"&amp;"1IbSCnFOKpZsnFogBHJnL_isstZVaOMnFiIN0fGTPZZw/edit?usp=sharing"",""สงขลา!M161"")+IMPORTRANGE(""https://docs.google.com/spreadsheets/d/1q9nWasZJ-K8bFGvbE9n0qSRuKGA4Toe3Y89cKCiVtCU/edit?usp=sharing"",""สตูล!M161"")+IMPORTRANGE(""https://docs.google.com/sprea"&amp;"dsheets/d/18T20gbkS_WBjdscyTOV05cvq_JqvqQ17C81mpxf7Ncs/edit?usp=sharing"",""สุราษฎร์ธานี!M161"")"),0)</f>
        <v>0</v>
      </c>
      <c r="N161" s="47">
        <f ca="1">IFERROR(__xludf.DUMMYFUNCTION("IMPORTRANGE(""https://docs.google.com/spreadsheets/d/1kKUcYdkIfrgTSj8iHHHB2MD2FAtwyyocFgqGQn6ADyI/edit?usp=sharing"",""กระบี่!N161"")+IMPORTRANGE(""https://docs.google.com/spreadsheets/d/1GwtLaSlNZkLk7iDqcyZz22giiy40b_usZZBXYciEN1U/edit?usp=sharing"",""ชุ"&amp;"มพร!N161"")+IMPORTRANGE(""https://docs.google.com/spreadsheets/d/16pAz3pOhQEZBhvFNMa5KGgZS6iKWpsKX0pg6tQmwFpo/edit?usp=sharing"",""ตรัง!N161"")+IMPORTRANGE(""https://docs.google.com/spreadsheets/d/1Dj4jcHCTV9JXKCaMoheSXS52JE63kDKyG7bPXnFogHk/edit?usp=shar"&amp;"ing"",""นครศรีธรรมราช!N161"")+IMPORTRANGE(""https://docs.google.com/spreadsheets/d/1iodCdmuK2GR3jzUwk8tpccY2JHQQA-87DLOtJP-ooyU/edit?usp=sharing"",""นราธิวาส!N161"")+IMPORTRANGE(""https://docs.google.com/spreadsheets/d/1SDNX3JhDdYRuIOsj0Wh2M-Qa_eaXl0NbWmh"&amp;"AOTbfQAs/edit?usp=sharing"",""ปัตตานี!N161"")+IMPORTRANGE(""https://docs.google.com/spreadsheets/d/16JDLGguT8s5DsGCND1KcwHP_AWR_zDMTqLHPLJUKhaU/edit?usp=sharing"",""พังงา!N161"")+IMPORTRANGE(""https://docs.google.com/spreadsheets/d/17ht0gPKzzT3PObBL1XJkeR"&amp;"mntBXI7wGjpLV7QorqlTk/edit?usp=sharing"",""พัทลุง!N161"")+IMPORTRANGE(""https://docs.google.com/spreadsheets/d/1rd4qoM1q_hsgaolqNGfrim9gbsoLxQsda4-vOz5x_BM/edit?usp=sharing"",""ภูเก็ต!N161"")+IMPORTRANGE(""https://docs.google.com/spreadsheets/d/1woKwKjgoL"&amp;"ssDvPcPeVyezB5izizAn4X1JDrys69n6xI/edit?usp=sharing"",""ยะลา!N161"")+IMPORTRANGE(""https://docs.google.com/spreadsheets/d/1qfrKjzMhm2HJfxQ-qVlJlJQ25Hne1d0khsySbZyGtPA/edit?usp=sharing"",""ระนอง!N161"")+IMPORTRANGE(""https://docs.google.com/spreadsheets/d/"&amp;"1IbSCnFOKpZsnFogBHJnL_isstZVaOMnFiIN0fGTPZZw/edit?usp=sharing"",""สงขลา!N161"")+IMPORTRANGE(""https://docs.google.com/spreadsheets/d/1q9nWasZJ-K8bFGvbE9n0qSRuKGA4Toe3Y89cKCiVtCU/edit?usp=sharing"",""สตูล!N161"")+IMPORTRANGE(""https://docs.google.com/sprea"&amp;"dsheets/d/18T20gbkS_WBjdscyTOV05cvq_JqvqQ17C81mpxf7Ncs/edit?usp=sharing"",""สุราษฎร์ธานี!N161"")"),0)</f>
        <v>0</v>
      </c>
      <c r="O161" s="47">
        <f t="shared" ca="1" si="125"/>
        <v>0</v>
      </c>
      <c r="P161" s="47">
        <f t="shared" ca="1" si="126"/>
        <v>0</v>
      </c>
      <c r="Q161" s="47">
        <f ca="1">IFERROR(__xludf.DUMMYFUNCTION("IMPORTRANGE(""https://docs.google.com/spreadsheets/d/1kKUcYdkIfrgTSj8iHHHB2MD2FAtwyyocFgqGQn6ADyI/edit?usp=sharing"",""กระบี่!Q161"")+IMPORTRANGE(""https://docs.google.com/spreadsheets/d/1GwtLaSlNZkLk7iDqcyZz22giiy40b_usZZBXYciEN1U/edit?usp=sharing"",""ชุ"&amp;"มพร!Q161"")+IMPORTRANGE(""https://docs.google.com/spreadsheets/d/16pAz3pOhQEZBhvFNMa5KGgZS6iKWpsKX0pg6tQmwFpo/edit?usp=sharing"",""ตรัง!Q161"")+IMPORTRANGE(""https://docs.google.com/spreadsheets/d/1Dj4jcHCTV9JXKCaMoheSXS52JE63kDKyG7bPXnFogHk/edit?usp=shar"&amp;"ing"",""นครศรีธรรมราช!Q161"")+IMPORTRANGE(""https://docs.google.com/spreadsheets/d/1iodCdmuK2GR3jzUwk8tpccY2JHQQA-87DLOtJP-ooyU/edit?usp=sharing"",""นราธิวาส!Q161"")+IMPORTRANGE(""https://docs.google.com/spreadsheets/d/1SDNX3JhDdYRuIOsj0Wh2M-Qa_eaXl0NbWmh"&amp;"AOTbfQAs/edit?usp=sharing"",""ปัตตานี!Q161"")+IMPORTRANGE(""https://docs.google.com/spreadsheets/d/16JDLGguT8s5DsGCND1KcwHP_AWR_zDMTqLHPLJUKhaU/edit?usp=sharing"",""พังงา!Q161"")+IMPORTRANGE(""https://docs.google.com/spreadsheets/d/17ht0gPKzzT3PObBL1XJkeR"&amp;"mntBXI7wGjpLV7QorqlTk/edit?usp=sharing"",""พัทลุง!Q161"")+IMPORTRANGE(""https://docs.google.com/spreadsheets/d/1rd4qoM1q_hsgaolqNGfrim9gbsoLxQsda4-vOz5x_BM/edit?usp=sharing"",""ภูเก็ต!Q161"")+IMPORTRANGE(""https://docs.google.com/spreadsheets/d/1woKwKjgoL"&amp;"ssDvPcPeVyezB5izizAn4X1JDrys69n6xI/edit?usp=sharing"",""ยะลา!Q161"")+IMPORTRANGE(""https://docs.google.com/spreadsheets/d/1qfrKjzMhm2HJfxQ-qVlJlJQ25Hne1d0khsySbZyGtPA/edit?usp=sharing"",""ระนอง!Q161"")+IMPORTRANGE(""https://docs.google.com/spreadsheets/d/"&amp;"1IbSCnFOKpZsnFogBHJnL_isstZVaOMnFiIN0fGTPZZw/edit?usp=sharing"",""สงขลา!Q161"")+IMPORTRANGE(""https://docs.google.com/spreadsheets/d/1q9nWasZJ-K8bFGvbE9n0qSRuKGA4Toe3Y89cKCiVtCU/edit?usp=sharing"",""สตูล!Q161"")+IMPORTRANGE(""https://docs.google.com/sprea"&amp;"dsheets/d/18T20gbkS_WBjdscyTOV05cvq_JqvqQ17C81mpxf7Ncs/edit?usp=sharing"",""สุราษฎร์ธานี!Q161"")"),0)</f>
        <v>0</v>
      </c>
      <c r="R161" s="47">
        <f ca="1">IFERROR(__xludf.DUMMYFUNCTION("IMPORTRANGE(""https://docs.google.com/spreadsheets/d/1kKUcYdkIfrgTSj8iHHHB2MD2FAtwyyocFgqGQn6ADyI/edit?usp=sharing"",""กระบี่!R161"")+IMPORTRANGE(""https://docs.google.com/spreadsheets/d/1GwtLaSlNZkLk7iDqcyZz22giiy40b_usZZBXYciEN1U/edit?usp=sharing"",""ชุ"&amp;"มพร!R161"")+IMPORTRANGE(""https://docs.google.com/spreadsheets/d/16pAz3pOhQEZBhvFNMa5KGgZS6iKWpsKX0pg6tQmwFpo/edit?usp=sharing"",""ตรัง!R161"")+IMPORTRANGE(""https://docs.google.com/spreadsheets/d/1Dj4jcHCTV9JXKCaMoheSXS52JE63kDKyG7bPXnFogHk/edit?usp=shar"&amp;"ing"",""นครศรีธรรมราช!R161"")+IMPORTRANGE(""https://docs.google.com/spreadsheets/d/1iodCdmuK2GR3jzUwk8tpccY2JHQQA-87DLOtJP-ooyU/edit?usp=sharing"",""นราธิวาส!R161"")+IMPORTRANGE(""https://docs.google.com/spreadsheets/d/1SDNX3JhDdYRuIOsj0Wh2M-Qa_eaXl0NbWmh"&amp;"AOTbfQAs/edit?usp=sharing"",""ปัตตานี!R161"")+IMPORTRANGE(""https://docs.google.com/spreadsheets/d/16JDLGguT8s5DsGCND1KcwHP_AWR_zDMTqLHPLJUKhaU/edit?usp=sharing"",""พังงา!R161"")+IMPORTRANGE(""https://docs.google.com/spreadsheets/d/17ht0gPKzzT3PObBL1XJkeR"&amp;"mntBXI7wGjpLV7QorqlTk/edit?usp=sharing"",""พัทลุง!R161"")+IMPORTRANGE(""https://docs.google.com/spreadsheets/d/1rd4qoM1q_hsgaolqNGfrim9gbsoLxQsda4-vOz5x_BM/edit?usp=sharing"",""ภูเก็ต!R161"")+IMPORTRANGE(""https://docs.google.com/spreadsheets/d/1woKwKjgoL"&amp;"ssDvPcPeVyezB5izizAn4X1JDrys69n6xI/edit?usp=sharing"",""ยะลา!R161"")+IMPORTRANGE(""https://docs.google.com/spreadsheets/d/1qfrKjzMhm2HJfxQ-qVlJlJQ25Hne1d0khsySbZyGtPA/edit?usp=sharing"",""ระนอง!R161"")+IMPORTRANGE(""https://docs.google.com/spreadsheets/d/"&amp;"1IbSCnFOKpZsnFogBHJnL_isstZVaOMnFiIN0fGTPZZw/edit?usp=sharing"",""สงขลา!R161"")+IMPORTRANGE(""https://docs.google.com/spreadsheets/d/1q9nWasZJ-K8bFGvbE9n0qSRuKGA4Toe3Y89cKCiVtCU/edit?usp=sharing"",""สตูล!R161"")+IMPORTRANGE(""https://docs.google.com/sprea"&amp;"dsheets/d/18T20gbkS_WBjdscyTOV05cvq_JqvqQ17C81mpxf7Ncs/edit?usp=sharing"",""สุราษฎร์ธานี!R161"")"),0)</f>
        <v>0</v>
      </c>
      <c r="S161" s="47">
        <f ca="1">IFERROR(__xludf.DUMMYFUNCTION("IMPORTRANGE(""https://docs.google.com/spreadsheets/d/1kKUcYdkIfrgTSj8iHHHB2MD2FAtwyyocFgqGQn6ADyI/edit?usp=sharing"",""กระบี่!S161"")+IMPORTRANGE(""https://docs.google.com/spreadsheets/d/1GwtLaSlNZkLk7iDqcyZz22giiy40b_usZZBXYciEN1U/edit?usp=sharing"",""ชุ"&amp;"มพร!S161"")+IMPORTRANGE(""https://docs.google.com/spreadsheets/d/16pAz3pOhQEZBhvFNMa5KGgZS6iKWpsKX0pg6tQmwFpo/edit?usp=sharing"",""ตรัง!S161"")+IMPORTRANGE(""https://docs.google.com/spreadsheets/d/1Dj4jcHCTV9JXKCaMoheSXS52JE63kDKyG7bPXnFogHk/edit?usp=shar"&amp;"ing"",""นครศรีธรรมราช!S161"")+IMPORTRANGE(""https://docs.google.com/spreadsheets/d/1iodCdmuK2GR3jzUwk8tpccY2JHQQA-87DLOtJP-ooyU/edit?usp=sharing"",""นราธิวาส!S161"")+IMPORTRANGE(""https://docs.google.com/spreadsheets/d/1SDNX3JhDdYRuIOsj0Wh2M-Qa_eaXl0NbWmh"&amp;"AOTbfQAs/edit?usp=sharing"",""ปัตตานี!S161"")+IMPORTRANGE(""https://docs.google.com/spreadsheets/d/16JDLGguT8s5DsGCND1KcwHP_AWR_zDMTqLHPLJUKhaU/edit?usp=sharing"",""พังงา!S161"")+IMPORTRANGE(""https://docs.google.com/spreadsheets/d/17ht0gPKzzT3PObBL1XJkeR"&amp;"mntBXI7wGjpLV7QorqlTk/edit?usp=sharing"",""พัทลุง!S161"")+IMPORTRANGE(""https://docs.google.com/spreadsheets/d/1rd4qoM1q_hsgaolqNGfrim9gbsoLxQsda4-vOz5x_BM/edit?usp=sharing"",""ภูเก็ต!S161"")+IMPORTRANGE(""https://docs.google.com/spreadsheets/d/1woKwKjgoL"&amp;"ssDvPcPeVyezB5izizAn4X1JDrys69n6xI/edit?usp=sharing"",""ยะลา!S161"")+IMPORTRANGE(""https://docs.google.com/spreadsheets/d/1qfrKjzMhm2HJfxQ-qVlJlJQ25Hne1d0khsySbZyGtPA/edit?usp=sharing"",""ระนอง!S161"")+IMPORTRANGE(""https://docs.google.com/spreadsheets/d/"&amp;"1IbSCnFOKpZsnFogBHJnL_isstZVaOMnFiIN0fGTPZZw/edit?usp=sharing"",""สงขลา!S161"")+IMPORTRANGE(""https://docs.google.com/spreadsheets/d/1q9nWasZJ-K8bFGvbE9n0qSRuKGA4Toe3Y89cKCiVtCU/edit?usp=sharing"",""สตูล!S161"")+IMPORTRANGE(""https://docs.google.com/sprea"&amp;"dsheets/d/18T20gbkS_WBjdscyTOV05cvq_JqvqQ17C81mpxf7Ncs/edit?usp=sharing"",""สุราษฎร์ธานี!S161"")"),0)</f>
        <v>0</v>
      </c>
      <c r="T161" s="49">
        <f t="shared" ca="1" si="128"/>
        <v>0</v>
      </c>
      <c r="U161" s="49">
        <f t="shared" ca="1" si="129"/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7">
        <f ca="1">IFERROR(__xludf.DUMMYFUNCTION("IMPORTRANGE(""https://docs.google.com/spreadsheets/d/1kKUcYdkIfrgTSj8iHHHB2MD2FAtwyyocFgqGQn6ADyI/edit?usp=sharing"",""กระบี่!L162"")+IMPORTRANGE(""https://docs.google.com/spreadsheets/d/1GwtLaSlNZkLk7iDqcyZz22giiy40b_usZZBXYciEN1U/edit?usp=sharing"",""ชุ"&amp;"มพร!L162"")+IMPORTRANGE(""https://docs.google.com/spreadsheets/d/16pAz3pOhQEZBhvFNMa5KGgZS6iKWpsKX0pg6tQmwFpo/edit?usp=sharing"",""ตรัง!L162"")+IMPORTRANGE(""https://docs.google.com/spreadsheets/d/1Dj4jcHCTV9JXKCaMoheSXS52JE63kDKyG7bPXnFogHk/edit?usp=shar"&amp;"ing"",""นครศรีธรรมราช!L162"")+IMPORTRANGE(""https://docs.google.com/spreadsheets/d/1iodCdmuK2GR3jzUwk8tpccY2JHQQA-87DLOtJP-ooyU/edit?usp=sharing"",""นราธิวาส!L162"")+IMPORTRANGE(""https://docs.google.com/spreadsheets/d/1SDNX3JhDdYRuIOsj0Wh2M-Qa_eaXl0NbWmh"&amp;"AOTbfQAs/edit?usp=sharing"",""ปัตตานี!L162"")+IMPORTRANGE(""https://docs.google.com/spreadsheets/d/16JDLGguT8s5DsGCND1KcwHP_AWR_zDMTqLHPLJUKhaU/edit?usp=sharing"",""พังงา!L162"")+IMPORTRANGE(""https://docs.google.com/spreadsheets/d/17ht0gPKzzT3PObBL1XJkeR"&amp;"mntBXI7wGjpLV7QorqlTk/edit?usp=sharing"",""พัทลุง!L162"")+IMPORTRANGE(""https://docs.google.com/spreadsheets/d/1rd4qoM1q_hsgaolqNGfrim9gbsoLxQsda4-vOz5x_BM/edit?usp=sharing"",""ภูเก็ต!L162"")+IMPORTRANGE(""https://docs.google.com/spreadsheets/d/1woKwKjgoL"&amp;"ssDvPcPeVyezB5izizAn4X1JDrys69n6xI/edit?usp=sharing"",""ยะลา!L162"")+IMPORTRANGE(""https://docs.google.com/spreadsheets/d/1qfrKjzMhm2HJfxQ-qVlJlJQ25Hne1d0khsySbZyGtPA/edit?usp=sharing"",""ระนอง!L162"")+IMPORTRANGE(""https://docs.google.com/spreadsheets/d/"&amp;"1IbSCnFOKpZsnFogBHJnL_isstZVaOMnFiIN0fGTPZZw/edit?usp=sharing"",""สงขลา!L162"")+IMPORTRANGE(""https://docs.google.com/spreadsheets/d/1q9nWasZJ-K8bFGvbE9n0qSRuKGA4Toe3Y89cKCiVtCU/edit?usp=sharing"",""สตูล!L162"")+IMPORTRANGE(""https://docs.google.com/sprea"&amp;"dsheets/d/18T20gbkS_WBjdscyTOV05cvq_JqvqQ17C81mpxf7Ncs/edit?usp=sharing"",""สุราษฎร์ธานี!L162"")"),9000)</f>
        <v>9000</v>
      </c>
      <c r="M162" s="47">
        <f ca="1">IFERROR(__xludf.DUMMYFUNCTION("IMPORTRANGE(""https://docs.google.com/spreadsheets/d/1kKUcYdkIfrgTSj8iHHHB2MD2FAtwyyocFgqGQn6ADyI/edit?usp=sharing"",""กระบี่!M162"")+IMPORTRANGE(""https://docs.google.com/spreadsheets/d/1GwtLaSlNZkLk7iDqcyZz22giiy40b_usZZBXYciEN1U/edit?usp=sharing"",""ชุ"&amp;"มพร!M162"")+IMPORTRANGE(""https://docs.google.com/spreadsheets/d/16pAz3pOhQEZBhvFNMa5KGgZS6iKWpsKX0pg6tQmwFpo/edit?usp=sharing"",""ตรัง!M162"")+IMPORTRANGE(""https://docs.google.com/spreadsheets/d/1Dj4jcHCTV9JXKCaMoheSXS52JE63kDKyG7bPXnFogHk/edit?usp=shar"&amp;"ing"",""นครศรีธรรมราช!M162"")+IMPORTRANGE(""https://docs.google.com/spreadsheets/d/1iodCdmuK2GR3jzUwk8tpccY2JHQQA-87DLOtJP-ooyU/edit?usp=sharing"",""นราธิวาส!M162"")+IMPORTRANGE(""https://docs.google.com/spreadsheets/d/1SDNX3JhDdYRuIOsj0Wh2M-Qa_eaXl0NbWmh"&amp;"AOTbfQAs/edit?usp=sharing"",""ปัตตานี!M162"")+IMPORTRANGE(""https://docs.google.com/spreadsheets/d/16JDLGguT8s5DsGCND1KcwHP_AWR_zDMTqLHPLJUKhaU/edit?usp=sharing"",""พังงา!M162"")+IMPORTRANGE(""https://docs.google.com/spreadsheets/d/17ht0gPKzzT3PObBL1XJkeR"&amp;"mntBXI7wGjpLV7QorqlTk/edit?usp=sharing"",""พัทลุง!M162"")+IMPORTRANGE(""https://docs.google.com/spreadsheets/d/1rd4qoM1q_hsgaolqNGfrim9gbsoLxQsda4-vOz5x_BM/edit?usp=sharing"",""ภูเก็ต!M162"")+IMPORTRANGE(""https://docs.google.com/spreadsheets/d/1woKwKjgoL"&amp;"ssDvPcPeVyezB5izizAn4X1JDrys69n6xI/edit?usp=sharing"",""ยะลา!M162"")+IMPORTRANGE(""https://docs.google.com/spreadsheets/d/1qfrKjzMhm2HJfxQ-qVlJlJQ25Hne1d0khsySbZyGtPA/edit?usp=sharing"",""ระนอง!M162"")+IMPORTRANGE(""https://docs.google.com/spreadsheets/d/"&amp;"1IbSCnFOKpZsnFogBHJnL_isstZVaOMnFiIN0fGTPZZw/edit?usp=sharing"",""สงขลา!M162"")+IMPORTRANGE(""https://docs.google.com/spreadsheets/d/1q9nWasZJ-K8bFGvbE9n0qSRuKGA4Toe3Y89cKCiVtCU/edit?usp=sharing"",""สตูล!M162"")+IMPORTRANGE(""https://docs.google.com/sprea"&amp;"dsheets/d/18T20gbkS_WBjdscyTOV05cvq_JqvqQ17C81mpxf7Ncs/edit?usp=sharing"",""สุราษฎร์ธานี!M162"")"),39320)</f>
        <v>39320</v>
      </c>
      <c r="N162" s="47">
        <f ca="1">IFERROR(__xludf.DUMMYFUNCTION("IMPORTRANGE(""https://docs.google.com/spreadsheets/d/1kKUcYdkIfrgTSj8iHHHB2MD2FAtwyyocFgqGQn6ADyI/edit?usp=sharing"",""กระบี่!N162"")+IMPORTRANGE(""https://docs.google.com/spreadsheets/d/1GwtLaSlNZkLk7iDqcyZz22giiy40b_usZZBXYciEN1U/edit?usp=sharing"",""ชุ"&amp;"มพร!N162"")+IMPORTRANGE(""https://docs.google.com/spreadsheets/d/16pAz3pOhQEZBhvFNMa5KGgZS6iKWpsKX0pg6tQmwFpo/edit?usp=sharing"",""ตรัง!N162"")+IMPORTRANGE(""https://docs.google.com/spreadsheets/d/1Dj4jcHCTV9JXKCaMoheSXS52JE63kDKyG7bPXnFogHk/edit?usp=shar"&amp;"ing"",""นครศรีธรรมราช!N162"")+IMPORTRANGE(""https://docs.google.com/spreadsheets/d/1iodCdmuK2GR3jzUwk8tpccY2JHQQA-87DLOtJP-ooyU/edit?usp=sharing"",""นราธิวาส!N162"")+IMPORTRANGE(""https://docs.google.com/spreadsheets/d/1SDNX3JhDdYRuIOsj0Wh2M-Qa_eaXl0NbWmh"&amp;"AOTbfQAs/edit?usp=sharing"",""ปัตตานี!N162"")+IMPORTRANGE(""https://docs.google.com/spreadsheets/d/16JDLGguT8s5DsGCND1KcwHP_AWR_zDMTqLHPLJUKhaU/edit?usp=sharing"",""พังงา!N162"")+IMPORTRANGE(""https://docs.google.com/spreadsheets/d/17ht0gPKzzT3PObBL1XJkeR"&amp;"mntBXI7wGjpLV7QorqlTk/edit?usp=sharing"",""พัทลุง!N162"")+IMPORTRANGE(""https://docs.google.com/spreadsheets/d/1rd4qoM1q_hsgaolqNGfrim9gbsoLxQsda4-vOz5x_BM/edit?usp=sharing"",""ภูเก็ต!N162"")+IMPORTRANGE(""https://docs.google.com/spreadsheets/d/1woKwKjgoL"&amp;"ssDvPcPeVyezB5izizAn4X1JDrys69n6xI/edit?usp=sharing"",""ยะลา!N162"")+IMPORTRANGE(""https://docs.google.com/spreadsheets/d/1qfrKjzMhm2HJfxQ-qVlJlJQ25Hne1d0khsySbZyGtPA/edit?usp=sharing"",""ระนอง!N162"")+IMPORTRANGE(""https://docs.google.com/spreadsheets/d/"&amp;"1IbSCnFOKpZsnFogBHJnL_isstZVaOMnFiIN0fGTPZZw/edit?usp=sharing"",""สงขลา!N162"")+IMPORTRANGE(""https://docs.google.com/spreadsheets/d/1q9nWasZJ-K8bFGvbE9n0qSRuKGA4Toe3Y89cKCiVtCU/edit?usp=sharing"",""สตูล!N162"")+IMPORTRANGE(""https://docs.google.com/sprea"&amp;"dsheets/d/18T20gbkS_WBjdscyTOV05cvq_JqvqQ17C81mpxf7Ncs/edit?usp=sharing"",""สุราษฎร์ธานี!N162"")"),9075.41)</f>
        <v>9075.41</v>
      </c>
      <c r="O162" s="47">
        <f t="shared" ca="1" si="125"/>
        <v>100.83788888888888</v>
      </c>
      <c r="P162" s="47">
        <f t="shared" ca="1" si="126"/>
        <v>23.080900305188198</v>
      </c>
      <c r="Q162" s="47">
        <f ca="1">IFERROR(__xludf.DUMMYFUNCTION("IMPORTRANGE(""https://docs.google.com/spreadsheets/d/1kKUcYdkIfrgTSj8iHHHB2MD2FAtwyyocFgqGQn6ADyI/edit?usp=sharing"",""กระบี่!Q162"")+IMPORTRANGE(""https://docs.google.com/spreadsheets/d/1GwtLaSlNZkLk7iDqcyZz22giiy40b_usZZBXYciEN1U/edit?usp=sharing"",""ชุ"&amp;"มพร!Q162"")+IMPORTRANGE(""https://docs.google.com/spreadsheets/d/16pAz3pOhQEZBhvFNMa5KGgZS6iKWpsKX0pg6tQmwFpo/edit?usp=sharing"",""ตรัง!Q162"")+IMPORTRANGE(""https://docs.google.com/spreadsheets/d/1Dj4jcHCTV9JXKCaMoheSXS52JE63kDKyG7bPXnFogHk/edit?usp=shar"&amp;"ing"",""นครศรีธรรมราช!Q162"")+IMPORTRANGE(""https://docs.google.com/spreadsheets/d/1iodCdmuK2GR3jzUwk8tpccY2JHQQA-87DLOtJP-ooyU/edit?usp=sharing"",""นราธิวาส!Q162"")+IMPORTRANGE(""https://docs.google.com/spreadsheets/d/1SDNX3JhDdYRuIOsj0Wh2M-Qa_eaXl0NbWmh"&amp;"AOTbfQAs/edit?usp=sharing"",""ปัตตานี!Q162"")+IMPORTRANGE(""https://docs.google.com/spreadsheets/d/16JDLGguT8s5DsGCND1KcwHP_AWR_zDMTqLHPLJUKhaU/edit?usp=sharing"",""พังงา!Q162"")+IMPORTRANGE(""https://docs.google.com/spreadsheets/d/17ht0gPKzzT3PObBL1XJkeR"&amp;"mntBXI7wGjpLV7QorqlTk/edit?usp=sharing"",""พัทลุง!Q162"")+IMPORTRANGE(""https://docs.google.com/spreadsheets/d/1rd4qoM1q_hsgaolqNGfrim9gbsoLxQsda4-vOz5x_BM/edit?usp=sharing"",""ภูเก็ต!Q162"")+IMPORTRANGE(""https://docs.google.com/spreadsheets/d/1woKwKjgoL"&amp;"ssDvPcPeVyezB5izizAn4X1JDrys69n6xI/edit?usp=sharing"",""ยะลา!Q162"")+IMPORTRANGE(""https://docs.google.com/spreadsheets/d/1qfrKjzMhm2HJfxQ-qVlJlJQ25Hne1d0khsySbZyGtPA/edit?usp=sharing"",""ระนอง!Q162"")+IMPORTRANGE(""https://docs.google.com/spreadsheets/d/"&amp;"1IbSCnFOKpZsnFogBHJnL_isstZVaOMnFiIN0fGTPZZw/edit?usp=sharing"",""สงขลา!Q162"")+IMPORTRANGE(""https://docs.google.com/spreadsheets/d/1q9nWasZJ-K8bFGvbE9n0qSRuKGA4Toe3Y89cKCiVtCU/edit?usp=sharing"",""สตูล!Q162"")+IMPORTRANGE(""https://docs.google.com/sprea"&amp;"dsheets/d/18T20gbkS_WBjdscyTOV05cvq_JqvqQ17C81mpxf7Ncs/edit?usp=sharing"",""สุราษฎร์ธานี!Q162"")"),0)</f>
        <v>0</v>
      </c>
      <c r="R162" s="47">
        <f ca="1">IFERROR(__xludf.DUMMYFUNCTION("IMPORTRANGE(""https://docs.google.com/spreadsheets/d/1kKUcYdkIfrgTSj8iHHHB2MD2FAtwyyocFgqGQn6ADyI/edit?usp=sharing"",""กระบี่!R162"")+IMPORTRANGE(""https://docs.google.com/spreadsheets/d/1GwtLaSlNZkLk7iDqcyZz22giiy40b_usZZBXYciEN1U/edit?usp=sharing"",""ชุ"&amp;"มพร!R162"")+IMPORTRANGE(""https://docs.google.com/spreadsheets/d/16pAz3pOhQEZBhvFNMa5KGgZS6iKWpsKX0pg6tQmwFpo/edit?usp=sharing"",""ตรัง!R162"")+IMPORTRANGE(""https://docs.google.com/spreadsheets/d/1Dj4jcHCTV9JXKCaMoheSXS52JE63kDKyG7bPXnFogHk/edit?usp=shar"&amp;"ing"",""นครศรีธรรมราช!R162"")+IMPORTRANGE(""https://docs.google.com/spreadsheets/d/1iodCdmuK2GR3jzUwk8tpccY2JHQQA-87DLOtJP-ooyU/edit?usp=sharing"",""นราธิวาส!R162"")+IMPORTRANGE(""https://docs.google.com/spreadsheets/d/1SDNX3JhDdYRuIOsj0Wh2M-Qa_eaXl0NbWmh"&amp;"AOTbfQAs/edit?usp=sharing"",""ปัตตานี!R162"")+IMPORTRANGE(""https://docs.google.com/spreadsheets/d/16JDLGguT8s5DsGCND1KcwHP_AWR_zDMTqLHPLJUKhaU/edit?usp=sharing"",""พังงา!R162"")+IMPORTRANGE(""https://docs.google.com/spreadsheets/d/17ht0gPKzzT3PObBL1XJkeR"&amp;"mntBXI7wGjpLV7QorqlTk/edit?usp=sharing"",""พัทลุง!R162"")+IMPORTRANGE(""https://docs.google.com/spreadsheets/d/1rd4qoM1q_hsgaolqNGfrim9gbsoLxQsda4-vOz5x_BM/edit?usp=sharing"",""ภูเก็ต!R162"")+IMPORTRANGE(""https://docs.google.com/spreadsheets/d/1woKwKjgoL"&amp;"ssDvPcPeVyezB5izizAn4X1JDrys69n6xI/edit?usp=sharing"",""ยะลา!R162"")+IMPORTRANGE(""https://docs.google.com/spreadsheets/d/1qfrKjzMhm2HJfxQ-qVlJlJQ25Hne1d0khsySbZyGtPA/edit?usp=sharing"",""ระนอง!R162"")+IMPORTRANGE(""https://docs.google.com/spreadsheets/d/"&amp;"1IbSCnFOKpZsnFogBHJnL_isstZVaOMnFiIN0fGTPZZw/edit?usp=sharing"",""สงขลา!R162"")+IMPORTRANGE(""https://docs.google.com/spreadsheets/d/1q9nWasZJ-K8bFGvbE9n0qSRuKGA4Toe3Y89cKCiVtCU/edit?usp=sharing"",""สตูล!R162"")+IMPORTRANGE(""https://docs.google.com/sprea"&amp;"dsheets/d/18T20gbkS_WBjdscyTOV05cvq_JqvqQ17C81mpxf7Ncs/edit?usp=sharing"",""สุราษฎร์ธานี!R162"")"),0)</f>
        <v>0</v>
      </c>
      <c r="S162" s="47">
        <f ca="1">IFERROR(__xludf.DUMMYFUNCTION("IMPORTRANGE(""https://docs.google.com/spreadsheets/d/1kKUcYdkIfrgTSj8iHHHB2MD2FAtwyyocFgqGQn6ADyI/edit?usp=sharing"",""กระบี่!S162"")+IMPORTRANGE(""https://docs.google.com/spreadsheets/d/1GwtLaSlNZkLk7iDqcyZz22giiy40b_usZZBXYciEN1U/edit?usp=sharing"",""ชุ"&amp;"มพร!S162"")+IMPORTRANGE(""https://docs.google.com/spreadsheets/d/16pAz3pOhQEZBhvFNMa5KGgZS6iKWpsKX0pg6tQmwFpo/edit?usp=sharing"",""ตรัง!S162"")+IMPORTRANGE(""https://docs.google.com/spreadsheets/d/1Dj4jcHCTV9JXKCaMoheSXS52JE63kDKyG7bPXnFogHk/edit?usp=shar"&amp;"ing"",""นครศรีธรรมราช!S162"")+IMPORTRANGE(""https://docs.google.com/spreadsheets/d/1iodCdmuK2GR3jzUwk8tpccY2JHQQA-87DLOtJP-ooyU/edit?usp=sharing"",""นราธิวาส!S162"")+IMPORTRANGE(""https://docs.google.com/spreadsheets/d/1SDNX3JhDdYRuIOsj0Wh2M-Qa_eaXl0NbWmh"&amp;"AOTbfQAs/edit?usp=sharing"",""ปัตตานี!S162"")+IMPORTRANGE(""https://docs.google.com/spreadsheets/d/16JDLGguT8s5DsGCND1KcwHP_AWR_zDMTqLHPLJUKhaU/edit?usp=sharing"",""พังงา!S162"")+IMPORTRANGE(""https://docs.google.com/spreadsheets/d/17ht0gPKzzT3PObBL1XJkeR"&amp;"mntBXI7wGjpLV7QorqlTk/edit?usp=sharing"",""พัทลุง!S162"")+IMPORTRANGE(""https://docs.google.com/spreadsheets/d/1rd4qoM1q_hsgaolqNGfrim9gbsoLxQsda4-vOz5x_BM/edit?usp=sharing"",""ภูเก็ต!S162"")+IMPORTRANGE(""https://docs.google.com/spreadsheets/d/1woKwKjgoL"&amp;"ssDvPcPeVyezB5izizAn4X1JDrys69n6xI/edit?usp=sharing"",""ยะลา!S162"")+IMPORTRANGE(""https://docs.google.com/spreadsheets/d/1qfrKjzMhm2HJfxQ-qVlJlJQ25Hne1d0khsySbZyGtPA/edit?usp=sharing"",""ระนอง!S162"")+IMPORTRANGE(""https://docs.google.com/spreadsheets/d/"&amp;"1IbSCnFOKpZsnFogBHJnL_isstZVaOMnFiIN0fGTPZZw/edit?usp=sharing"",""สงขลา!S162"")+IMPORTRANGE(""https://docs.google.com/spreadsheets/d/1q9nWasZJ-K8bFGvbE9n0qSRuKGA4Toe3Y89cKCiVtCU/edit?usp=sharing"",""สตูล!S162"")+IMPORTRANGE(""https://docs.google.com/sprea"&amp;"dsheets/d/18T20gbkS_WBjdscyTOV05cvq_JqvqQ17C81mpxf7Ncs/edit?usp=sharing"",""สุราษฎร์ธานี!S162"")"),0)</f>
        <v>0</v>
      </c>
      <c r="T162" s="47">
        <f t="shared" ca="1" si="128"/>
        <v>0</v>
      </c>
      <c r="U162" s="47">
        <f t="shared" ca="1" si="129"/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7">
        <f t="shared" ref="L163:N163" ca="1" si="136">L164+L165</f>
        <v>0</v>
      </c>
      <c r="M163" s="47">
        <f t="shared" ca="1" si="136"/>
        <v>0</v>
      </c>
      <c r="N163" s="47">
        <f t="shared" ca="1" si="136"/>
        <v>0</v>
      </c>
      <c r="O163" s="47">
        <f t="shared" ca="1" si="125"/>
        <v>0</v>
      </c>
      <c r="P163" s="47">
        <f t="shared" ca="1" si="126"/>
        <v>0</v>
      </c>
      <c r="Q163" s="47">
        <f t="shared" ref="Q163:S163" ca="1" si="137">Q164+Q165</f>
        <v>0</v>
      </c>
      <c r="R163" s="47">
        <f t="shared" ca="1" si="137"/>
        <v>0</v>
      </c>
      <c r="S163" s="47">
        <f t="shared" ca="1" si="137"/>
        <v>0</v>
      </c>
      <c r="T163" s="47">
        <f t="shared" ca="1" si="128"/>
        <v>0</v>
      </c>
      <c r="U163" s="47">
        <f t="shared" ca="1" si="129"/>
        <v>0</v>
      </c>
    </row>
    <row r="164" spans="1:21" ht="18.75" hidden="1" x14ac:dyDescent="0.25">
      <c r="A164" s="128"/>
      <c r="B164" s="41"/>
      <c r="C164" s="41"/>
      <c r="D164" s="41"/>
      <c r="E164" s="48" t="s">
        <v>20</v>
      </c>
      <c r="F164" s="41"/>
      <c r="G164" s="43"/>
      <c r="H164" s="134" t="s">
        <v>14</v>
      </c>
      <c r="I164" s="135"/>
      <c r="J164" s="135"/>
      <c r="K164" s="136"/>
      <c r="L164" s="47">
        <f ca="1">IFERROR(__xludf.DUMMYFUNCTION("IMPORTRANGE(""https://docs.google.com/spreadsheets/d/1kKUcYdkIfrgTSj8iHHHB2MD2FAtwyyocFgqGQn6ADyI/edit?usp=sharing"",""กระบี่!L164"")+IMPORTRANGE(""https://docs.google.com/spreadsheets/d/1GwtLaSlNZkLk7iDqcyZz22giiy40b_usZZBXYciEN1U/edit?usp=sharing"",""ชุ"&amp;"มพร!L164"")+IMPORTRANGE(""https://docs.google.com/spreadsheets/d/16pAz3pOhQEZBhvFNMa5KGgZS6iKWpsKX0pg6tQmwFpo/edit?usp=sharing"",""ตรัง!L164"")+IMPORTRANGE(""https://docs.google.com/spreadsheets/d/1Dj4jcHCTV9JXKCaMoheSXS52JE63kDKyG7bPXnFogHk/edit?usp=shar"&amp;"ing"",""นครศรีธรรมราช!L164"")+IMPORTRANGE(""https://docs.google.com/spreadsheets/d/1iodCdmuK2GR3jzUwk8tpccY2JHQQA-87DLOtJP-ooyU/edit?usp=sharing"",""นราธิวาส!L164"")+IMPORTRANGE(""https://docs.google.com/spreadsheets/d/1SDNX3JhDdYRuIOsj0Wh2M-Qa_eaXl0NbWmh"&amp;"AOTbfQAs/edit?usp=sharing"",""ปัตตานี!L164"")+IMPORTRANGE(""https://docs.google.com/spreadsheets/d/16JDLGguT8s5DsGCND1KcwHP_AWR_zDMTqLHPLJUKhaU/edit?usp=sharing"",""พังงา!L164"")+IMPORTRANGE(""https://docs.google.com/spreadsheets/d/17ht0gPKzzT3PObBL1XJkeR"&amp;"mntBXI7wGjpLV7QorqlTk/edit?usp=sharing"",""พัทลุง!L164"")+IMPORTRANGE(""https://docs.google.com/spreadsheets/d/1rd4qoM1q_hsgaolqNGfrim9gbsoLxQsda4-vOz5x_BM/edit?usp=sharing"",""ภูเก็ต!L164"")+IMPORTRANGE(""https://docs.google.com/spreadsheets/d/1woKwKjgoL"&amp;"ssDvPcPeVyezB5izizAn4X1JDrys69n6xI/edit?usp=sharing"",""ยะลา!L164"")+IMPORTRANGE(""https://docs.google.com/spreadsheets/d/1qfrKjzMhm2HJfxQ-qVlJlJQ25Hne1d0khsySbZyGtPA/edit?usp=sharing"",""ระนอง!L164"")+IMPORTRANGE(""https://docs.google.com/spreadsheets/d/"&amp;"1IbSCnFOKpZsnFogBHJnL_isstZVaOMnFiIN0fGTPZZw/edit?usp=sharing"",""สงขลา!L164"")+IMPORTRANGE(""https://docs.google.com/spreadsheets/d/1q9nWasZJ-K8bFGvbE9n0qSRuKGA4Toe3Y89cKCiVtCU/edit?usp=sharing"",""สตูล!L164"")+IMPORTRANGE(""https://docs.google.com/sprea"&amp;"dsheets/d/18T20gbkS_WBjdscyTOV05cvq_JqvqQ17C81mpxf7Ncs/edit?usp=sharing"",""สุราษฎร์ธานี!L164"")"),0)</f>
        <v>0</v>
      </c>
      <c r="M164" s="47">
        <f ca="1">IFERROR(__xludf.DUMMYFUNCTION("IMPORTRANGE(""https://docs.google.com/spreadsheets/d/1kKUcYdkIfrgTSj8iHHHB2MD2FAtwyyocFgqGQn6ADyI/edit?usp=sharing"",""กระบี่!M164"")+IMPORTRANGE(""https://docs.google.com/spreadsheets/d/1GwtLaSlNZkLk7iDqcyZz22giiy40b_usZZBXYciEN1U/edit?usp=sharing"",""ชุ"&amp;"มพร!M164"")+IMPORTRANGE(""https://docs.google.com/spreadsheets/d/16pAz3pOhQEZBhvFNMa5KGgZS6iKWpsKX0pg6tQmwFpo/edit?usp=sharing"",""ตรัง!M164"")+IMPORTRANGE(""https://docs.google.com/spreadsheets/d/1Dj4jcHCTV9JXKCaMoheSXS52JE63kDKyG7bPXnFogHk/edit?usp=shar"&amp;"ing"",""นครศรีธรรมราช!M164"")+IMPORTRANGE(""https://docs.google.com/spreadsheets/d/1iodCdmuK2GR3jzUwk8tpccY2JHQQA-87DLOtJP-ooyU/edit?usp=sharing"",""นราธิวาส!M164"")+IMPORTRANGE(""https://docs.google.com/spreadsheets/d/1SDNX3JhDdYRuIOsj0Wh2M-Qa_eaXl0NbWmh"&amp;"AOTbfQAs/edit?usp=sharing"",""ปัตตานี!M164"")+IMPORTRANGE(""https://docs.google.com/spreadsheets/d/16JDLGguT8s5DsGCND1KcwHP_AWR_zDMTqLHPLJUKhaU/edit?usp=sharing"",""พังงา!M164"")+IMPORTRANGE(""https://docs.google.com/spreadsheets/d/17ht0gPKzzT3PObBL1XJkeR"&amp;"mntBXI7wGjpLV7QorqlTk/edit?usp=sharing"",""พัทลุง!M164"")+IMPORTRANGE(""https://docs.google.com/spreadsheets/d/1rd4qoM1q_hsgaolqNGfrim9gbsoLxQsda4-vOz5x_BM/edit?usp=sharing"",""ภูเก็ต!M164"")+IMPORTRANGE(""https://docs.google.com/spreadsheets/d/1woKwKjgoL"&amp;"ssDvPcPeVyezB5izizAn4X1JDrys69n6xI/edit?usp=sharing"",""ยะลา!M164"")+IMPORTRANGE(""https://docs.google.com/spreadsheets/d/1qfrKjzMhm2HJfxQ-qVlJlJQ25Hne1d0khsySbZyGtPA/edit?usp=sharing"",""ระนอง!M164"")+IMPORTRANGE(""https://docs.google.com/spreadsheets/d/"&amp;"1IbSCnFOKpZsnFogBHJnL_isstZVaOMnFiIN0fGTPZZw/edit?usp=sharing"",""สงขลา!M164"")+IMPORTRANGE(""https://docs.google.com/spreadsheets/d/1q9nWasZJ-K8bFGvbE9n0qSRuKGA4Toe3Y89cKCiVtCU/edit?usp=sharing"",""สตูล!M164"")+IMPORTRANGE(""https://docs.google.com/sprea"&amp;"dsheets/d/18T20gbkS_WBjdscyTOV05cvq_JqvqQ17C81mpxf7Ncs/edit?usp=sharing"",""สุราษฎร์ธานี!M164"")"),0)</f>
        <v>0</v>
      </c>
      <c r="N164" s="47">
        <f ca="1">IFERROR(__xludf.DUMMYFUNCTION("IMPORTRANGE(""https://docs.google.com/spreadsheets/d/1kKUcYdkIfrgTSj8iHHHB2MD2FAtwyyocFgqGQn6ADyI/edit?usp=sharing"",""กระบี่!N164"")+IMPORTRANGE(""https://docs.google.com/spreadsheets/d/1GwtLaSlNZkLk7iDqcyZz22giiy40b_usZZBXYciEN1U/edit?usp=sharing"",""ชุ"&amp;"มพร!N164"")+IMPORTRANGE(""https://docs.google.com/spreadsheets/d/16pAz3pOhQEZBhvFNMa5KGgZS6iKWpsKX0pg6tQmwFpo/edit?usp=sharing"",""ตรัง!N164"")+IMPORTRANGE(""https://docs.google.com/spreadsheets/d/1Dj4jcHCTV9JXKCaMoheSXS52JE63kDKyG7bPXnFogHk/edit?usp=shar"&amp;"ing"",""นครศรีธรรมราช!N164"")+IMPORTRANGE(""https://docs.google.com/spreadsheets/d/1iodCdmuK2GR3jzUwk8tpccY2JHQQA-87DLOtJP-ooyU/edit?usp=sharing"",""นราธิวาส!N164"")+IMPORTRANGE(""https://docs.google.com/spreadsheets/d/1SDNX3JhDdYRuIOsj0Wh2M-Qa_eaXl0NbWmh"&amp;"AOTbfQAs/edit?usp=sharing"",""ปัตตานี!N164"")+IMPORTRANGE(""https://docs.google.com/spreadsheets/d/16JDLGguT8s5DsGCND1KcwHP_AWR_zDMTqLHPLJUKhaU/edit?usp=sharing"",""พังงา!N164"")+IMPORTRANGE(""https://docs.google.com/spreadsheets/d/17ht0gPKzzT3PObBL1XJkeR"&amp;"mntBXI7wGjpLV7QorqlTk/edit?usp=sharing"",""พัทลุง!N164"")+IMPORTRANGE(""https://docs.google.com/spreadsheets/d/1rd4qoM1q_hsgaolqNGfrim9gbsoLxQsda4-vOz5x_BM/edit?usp=sharing"",""ภูเก็ต!N164"")+IMPORTRANGE(""https://docs.google.com/spreadsheets/d/1woKwKjgoL"&amp;"ssDvPcPeVyezB5izizAn4X1JDrys69n6xI/edit?usp=sharing"",""ยะลา!N164"")+IMPORTRANGE(""https://docs.google.com/spreadsheets/d/1qfrKjzMhm2HJfxQ-qVlJlJQ25Hne1d0khsySbZyGtPA/edit?usp=sharing"",""ระนอง!N164"")+IMPORTRANGE(""https://docs.google.com/spreadsheets/d/"&amp;"1IbSCnFOKpZsnFogBHJnL_isstZVaOMnFiIN0fGTPZZw/edit?usp=sharing"",""สงขลา!N164"")+IMPORTRANGE(""https://docs.google.com/spreadsheets/d/1q9nWasZJ-K8bFGvbE9n0qSRuKGA4Toe3Y89cKCiVtCU/edit?usp=sharing"",""สตูล!N164"")+IMPORTRANGE(""https://docs.google.com/sprea"&amp;"dsheets/d/18T20gbkS_WBjdscyTOV05cvq_JqvqQ17C81mpxf7Ncs/edit?usp=sharing"",""สุราษฎร์ธานี!N164"")"),0)</f>
        <v>0</v>
      </c>
      <c r="O164" s="47">
        <f t="shared" ca="1" si="125"/>
        <v>0</v>
      </c>
      <c r="P164" s="47">
        <f t="shared" ca="1" si="126"/>
        <v>0</v>
      </c>
      <c r="Q164" s="47">
        <f ca="1">IFERROR(__xludf.DUMMYFUNCTION("IMPORTRANGE(""https://docs.google.com/spreadsheets/d/1kKUcYdkIfrgTSj8iHHHB2MD2FAtwyyocFgqGQn6ADyI/edit?usp=sharing"",""กระบี่!Q164"")+IMPORTRANGE(""https://docs.google.com/spreadsheets/d/1GwtLaSlNZkLk7iDqcyZz22giiy40b_usZZBXYciEN1U/edit?usp=sharing"",""ชุ"&amp;"มพร!Q164"")+IMPORTRANGE(""https://docs.google.com/spreadsheets/d/16pAz3pOhQEZBhvFNMa5KGgZS6iKWpsKX0pg6tQmwFpo/edit?usp=sharing"",""ตรัง!Q164"")+IMPORTRANGE(""https://docs.google.com/spreadsheets/d/1Dj4jcHCTV9JXKCaMoheSXS52JE63kDKyG7bPXnFogHk/edit?usp=shar"&amp;"ing"",""นครศรีธรรมราช!Q164"")+IMPORTRANGE(""https://docs.google.com/spreadsheets/d/1iodCdmuK2GR3jzUwk8tpccY2JHQQA-87DLOtJP-ooyU/edit?usp=sharing"",""นราธิวาส!Q164"")+IMPORTRANGE(""https://docs.google.com/spreadsheets/d/1SDNX3JhDdYRuIOsj0Wh2M-Qa_eaXl0NbWmh"&amp;"AOTbfQAs/edit?usp=sharing"",""ปัตตานี!Q164"")+IMPORTRANGE(""https://docs.google.com/spreadsheets/d/16JDLGguT8s5DsGCND1KcwHP_AWR_zDMTqLHPLJUKhaU/edit?usp=sharing"",""พังงา!Q164"")+IMPORTRANGE(""https://docs.google.com/spreadsheets/d/17ht0gPKzzT3PObBL1XJkeR"&amp;"mntBXI7wGjpLV7QorqlTk/edit?usp=sharing"",""พัทลุง!Q164"")+IMPORTRANGE(""https://docs.google.com/spreadsheets/d/1rd4qoM1q_hsgaolqNGfrim9gbsoLxQsda4-vOz5x_BM/edit?usp=sharing"",""ภูเก็ต!Q164"")+IMPORTRANGE(""https://docs.google.com/spreadsheets/d/1woKwKjgoL"&amp;"ssDvPcPeVyezB5izizAn4X1JDrys69n6xI/edit?usp=sharing"",""ยะลา!Q164"")+IMPORTRANGE(""https://docs.google.com/spreadsheets/d/1qfrKjzMhm2HJfxQ-qVlJlJQ25Hne1d0khsySbZyGtPA/edit?usp=sharing"",""ระนอง!Q164"")+IMPORTRANGE(""https://docs.google.com/spreadsheets/d/"&amp;"1IbSCnFOKpZsnFogBHJnL_isstZVaOMnFiIN0fGTPZZw/edit?usp=sharing"",""สงขลา!Q164"")+IMPORTRANGE(""https://docs.google.com/spreadsheets/d/1q9nWasZJ-K8bFGvbE9n0qSRuKGA4Toe3Y89cKCiVtCU/edit?usp=sharing"",""สตูล!Q164"")+IMPORTRANGE(""https://docs.google.com/sprea"&amp;"dsheets/d/18T20gbkS_WBjdscyTOV05cvq_JqvqQ17C81mpxf7Ncs/edit?usp=sharing"",""สุราษฎร์ธานี!Q164"")"),0)</f>
        <v>0</v>
      </c>
      <c r="R164" s="47">
        <f ca="1">IFERROR(__xludf.DUMMYFUNCTION("IMPORTRANGE(""https://docs.google.com/spreadsheets/d/1kKUcYdkIfrgTSj8iHHHB2MD2FAtwyyocFgqGQn6ADyI/edit?usp=sharing"",""กระบี่!R164"")+IMPORTRANGE(""https://docs.google.com/spreadsheets/d/1GwtLaSlNZkLk7iDqcyZz22giiy40b_usZZBXYciEN1U/edit?usp=sharing"",""ชุ"&amp;"มพร!R164"")+IMPORTRANGE(""https://docs.google.com/spreadsheets/d/16pAz3pOhQEZBhvFNMa5KGgZS6iKWpsKX0pg6tQmwFpo/edit?usp=sharing"",""ตรัง!R164"")+IMPORTRANGE(""https://docs.google.com/spreadsheets/d/1Dj4jcHCTV9JXKCaMoheSXS52JE63kDKyG7bPXnFogHk/edit?usp=shar"&amp;"ing"",""นครศรีธรรมราช!R164"")+IMPORTRANGE(""https://docs.google.com/spreadsheets/d/1iodCdmuK2GR3jzUwk8tpccY2JHQQA-87DLOtJP-ooyU/edit?usp=sharing"",""นราธิวาส!R164"")+IMPORTRANGE(""https://docs.google.com/spreadsheets/d/1SDNX3JhDdYRuIOsj0Wh2M-Qa_eaXl0NbWmh"&amp;"AOTbfQAs/edit?usp=sharing"",""ปัตตานี!R164"")+IMPORTRANGE(""https://docs.google.com/spreadsheets/d/16JDLGguT8s5DsGCND1KcwHP_AWR_zDMTqLHPLJUKhaU/edit?usp=sharing"",""พังงา!R164"")+IMPORTRANGE(""https://docs.google.com/spreadsheets/d/17ht0gPKzzT3PObBL1XJkeR"&amp;"mntBXI7wGjpLV7QorqlTk/edit?usp=sharing"",""พัทลุง!R164"")+IMPORTRANGE(""https://docs.google.com/spreadsheets/d/1rd4qoM1q_hsgaolqNGfrim9gbsoLxQsda4-vOz5x_BM/edit?usp=sharing"",""ภูเก็ต!R164"")+IMPORTRANGE(""https://docs.google.com/spreadsheets/d/1woKwKjgoL"&amp;"ssDvPcPeVyezB5izizAn4X1JDrys69n6xI/edit?usp=sharing"",""ยะลา!R164"")+IMPORTRANGE(""https://docs.google.com/spreadsheets/d/1qfrKjzMhm2HJfxQ-qVlJlJQ25Hne1d0khsySbZyGtPA/edit?usp=sharing"",""ระนอง!R164"")+IMPORTRANGE(""https://docs.google.com/spreadsheets/d/"&amp;"1IbSCnFOKpZsnFogBHJnL_isstZVaOMnFiIN0fGTPZZw/edit?usp=sharing"",""สงขลา!R164"")+IMPORTRANGE(""https://docs.google.com/spreadsheets/d/1q9nWasZJ-K8bFGvbE9n0qSRuKGA4Toe3Y89cKCiVtCU/edit?usp=sharing"",""สตูล!R164"")+IMPORTRANGE(""https://docs.google.com/sprea"&amp;"dsheets/d/18T20gbkS_WBjdscyTOV05cvq_JqvqQ17C81mpxf7Ncs/edit?usp=sharing"",""สุราษฎร์ธานี!R164"")"),0)</f>
        <v>0</v>
      </c>
      <c r="S164" s="47">
        <f ca="1">IFERROR(__xludf.DUMMYFUNCTION("IMPORTRANGE(""https://docs.google.com/spreadsheets/d/1kKUcYdkIfrgTSj8iHHHB2MD2FAtwyyocFgqGQn6ADyI/edit?usp=sharing"",""กระบี่!S164"")+IMPORTRANGE(""https://docs.google.com/spreadsheets/d/1GwtLaSlNZkLk7iDqcyZz22giiy40b_usZZBXYciEN1U/edit?usp=sharing"",""ชุ"&amp;"มพร!S164"")+IMPORTRANGE(""https://docs.google.com/spreadsheets/d/16pAz3pOhQEZBhvFNMa5KGgZS6iKWpsKX0pg6tQmwFpo/edit?usp=sharing"",""ตรัง!S164"")+IMPORTRANGE(""https://docs.google.com/spreadsheets/d/1Dj4jcHCTV9JXKCaMoheSXS52JE63kDKyG7bPXnFogHk/edit?usp=shar"&amp;"ing"",""นครศรีธรรมราช!S164"")+IMPORTRANGE(""https://docs.google.com/spreadsheets/d/1iodCdmuK2GR3jzUwk8tpccY2JHQQA-87DLOtJP-ooyU/edit?usp=sharing"",""นราธิวาส!S164"")+IMPORTRANGE(""https://docs.google.com/spreadsheets/d/1SDNX3JhDdYRuIOsj0Wh2M-Qa_eaXl0NbWmh"&amp;"AOTbfQAs/edit?usp=sharing"",""ปัตตานี!S164"")+IMPORTRANGE(""https://docs.google.com/spreadsheets/d/16JDLGguT8s5DsGCND1KcwHP_AWR_zDMTqLHPLJUKhaU/edit?usp=sharing"",""พังงา!S164"")+IMPORTRANGE(""https://docs.google.com/spreadsheets/d/17ht0gPKzzT3PObBL1XJkeR"&amp;"mntBXI7wGjpLV7QorqlTk/edit?usp=sharing"",""พัทลุง!S164"")+IMPORTRANGE(""https://docs.google.com/spreadsheets/d/1rd4qoM1q_hsgaolqNGfrim9gbsoLxQsda4-vOz5x_BM/edit?usp=sharing"",""ภูเก็ต!S164"")+IMPORTRANGE(""https://docs.google.com/spreadsheets/d/1woKwKjgoL"&amp;"ssDvPcPeVyezB5izizAn4X1JDrys69n6xI/edit?usp=sharing"",""ยะลา!S164"")+IMPORTRANGE(""https://docs.google.com/spreadsheets/d/1qfrKjzMhm2HJfxQ-qVlJlJQ25Hne1d0khsySbZyGtPA/edit?usp=sharing"",""ระนอง!S164"")+IMPORTRANGE(""https://docs.google.com/spreadsheets/d/"&amp;"1IbSCnFOKpZsnFogBHJnL_isstZVaOMnFiIN0fGTPZZw/edit?usp=sharing"",""สงขลา!S164"")+IMPORTRANGE(""https://docs.google.com/spreadsheets/d/1q9nWasZJ-K8bFGvbE9n0qSRuKGA4Toe3Y89cKCiVtCU/edit?usp=sharing"",""สตูล!S164"")+IMPORTRANGE(""https://docs.google.com/sprea"&amp;"dsheets/d/18T20gbkS_WBjdscyTOV05cvq_JqvqQ17C81mpxf7Ncs/edit?usp=sharing"",""สุราษฎร์ธานี!S164"")"),0)</f>
        <v>0</v>
      </c>
      <c r="T164" s="49">
        <f t="shared" ca="1" si="128"/>
        <v>0</v>
      </c>
      <c r="U164" s="49">
        <f t="shared" ca="1" si="129"/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7">
        <f ca="1">IFERROR(__xludf.DUMMYFUNCTION("IMPORTRANGE(""https://docs.google.com/spreadsheets/d/1kKUcYdkIfrgTSj8iHHHB2MD2FAtwyyocFgqGQn6ADyI/edit?usp=sharing"",""กระบี่!L165"")+IMPORTRANGE(""https://docs.google.com/spreadsheets/d/1GwtLaSlNZkLk7iDqcyZz22giiy40b_usZZBXYciEN1U/edit?usp=sharing"",""ชุ"&amp;"มพร!L165"")+IMPORTRANGE(""https://docs.google.com/spreadsheets/d/16pAz3pOhQEZBhvFNMa5KGgZS6iKWpsKX0pg6tQmwFpo/edit?usp=sharing"",""ตรัง!L165"")+IMPORTRANGE(""https://docs.google.com/spreadsheets/d/1Dj4jcHCTV9JXKCaMoheSXS52JE63kDKyG7bPXnFogHk/edit?usp=shar"&amp;"ing"",""นครศรีธรรมราช!L165"")+IMPORTRANGE(""https://docs.google.com/spreadsheets/d/1iodCdmuK2GR3jzUwk8tpccY2JHQQA-87DLOtJP-ooyU/edit?usp=sharing"",""นราธิวาส!L165"")+IMPORTRANGE(""https://docs.google.com/spreadsheets/d/1SDNX3JhDdYRuIOsj0Wh2M-Qa_eaXl0NbWmh"&amp;"AOTbfQAs/edit?usp=sharing"",""ปัตตานี!L165"")+IMPORTRANGE(""https://docs.google.com/spreadsheets/d/16JDLGguT8s5DsGCND1KcwHP_AWR_zDMTqLHPLJUKhaU/edit?usp=sharing"",""พังงา!L165"")+IMPORTRANGE(""https://docs.google.com/spreadsheets/d/17ht0gPKzzT3PObBL1XJkeR"&amp;"mntBXI7wGjpLV7QorqlTk/edit?usp=sharing"",""พัทลุง!L165"")+IMPORTRANGE(""https://docs.google.com/spreadsheets/d/1rd4qoM1q_hsgaolqNGfrim9gbsoLxQsda4-vOz5x_BM/edit?usp=sharing"",""ภูเก็ต!L165"")+IMPORTRANGE(""https://docs.google.com/spreadsheets/d/1woKwKjgoL"&amp;"ssDvPcPeVyezB5izizAn4X1JDrys69n6xI/edit?usp=sharing"",""ยะลา!L165"")+IMPORTRANGE(""https://docs.google.com/spreadsheets/d/1qfrKjzMhm2HJfxQ-qVlJlJQ25Hne1d0khsySbZyGtPA/edit?usp=sharing"",""ระนอง!L165"")+IMPORTRANGE(""https://docs.google.com/spreadsheets/d/"&amp;"1IbSCnFOKpZsnFogBHJnL_isstZVaOMnFiIN0fGTPZZw/edit?usp=sharing"",""สงขลา!L165"")+IMPORTRANGE(""https://docs.google.com/spreadsheets/d/1q9nWasZJ-K8bFGvbE9n0qSRuKGA4Toe3Y89cKCiVtCU/edit?usp=sharing"",""สตูล!L165"")+IMPORTRANGE(""https://docs.google.com/sprea"&amp;"dsheets/d/18T20gbkS_WBjdscyTOV05cvq_JqvqQ17C81mpxf7Ncs/edit?usp=sharing"",""สุราษฎร์ธานี!L165"")"),0)</f>
        <v>0</v>
      </c>
      <c r="M165" s="47">
        <f ca="1">IFERROR(__xludf.DUMMYFUNCTION("IMPORTRANGE(""https://docs.google.com/spreadsheets/d/1kKUcYdkIfrgTSj8iHHHB2MD2FAtwyyocFgqGQn6ADyI/edit?usp=sharing"",""กระบี่!M165"")+IMPORTRANGE(""https://docs.google.com/spreadsheets/d/1GwtLaSlNZkLk7iDqcyZz22giiy40b_usZZBXYciEN1U/edit?usp=sharing"",""ชุ"&amp;"มพร!M165"")+IMPORTRANGE(""https://docs.google.com/spreadsheets/d/16pAz3pOhQEZBhvFNMa5KGgZS6iKWpsKX0pg6tQmwFpo/edit?usp=sharing"",""ตรัง!M165"")+IMPORTRANGE(""https://docs.google.com/spreadsheets/d/1Dj4jcHCTV9JXKCaMoheSXS52JE63kDKyG7bPXnFogHk/edit?usp=shar"&amp;"ing"",""นครศรีธรรมราช!M165"")+IMPORTRANGE(""https://docs.google.com/spreadsheets/d/1iodCdmuK2GR3jzUwk8tpccY2JHQQA-87DLOtJP-ooyU/edit?usp=sharing"",""นราธิวาส!M165"")+IMPORTRANGE(""https://docs.google.com/spreadsheets/d/1SDNX3JhDdYRuIOsj0Wh2M-Qa_eaXl0NbWmh"&amp;"AOTbfQAs/edit?usp=sharing"",""ปัตตานี!M165"")+IMPORTRANGE(""https://docs.google.com/spreadsheets/d/16JDLGguT8s5DsGCND1KcwHP_AWR_zDMTqLHPLJUKhaU/edit?usp=sharing"",""พังงา!M165"")+IMPORTRANGE(""https://docs.google.com/spreadsheets/d/17ht0gPKzzT3PObBL1XJkeR"&amp;"mntBXI7wGjpLV7QorqlTk/edit?usp=sharing"",""พัทลุง!M165"")+IMPORTRANGE(""https://docs.google.com/spreadsheets/d/1rd4qoM1q_hsgaolqNGfrim9gbsoLxQsda4-vOz5x_BM/edit?usp=sharing"",""ภูเก็ต!M165"")+IMPORTRANGE(""https://docs.google.com/spreadsheets/d/1woKwKjgoL"&amp;"ssDvPcPeVyezB5izizAn4X1JDrys69n6xI/edit?usp=sharing"",""ยะลา!M165"")+IMPORTRANGE(""https://docs.google.com/spreadsheets/d/1qfrKjzMhm2HJfxQ-qVlJlJQ25Hne1d0khsySbZyGtPA/edit?usp=sharing"",""ระนอง!M165"")+IMPORTRANGE(""https://docs.google.com/spreadsheets/d/"&amp;"1IbSCnFOKpZsnFogBHJnL_isstZVaOMnFiIN0fGTPZZw/edit?usp=sharing"",""สงขลา!M165"")+IMPORTRANGE(""https://docs.google.com/spreadsheets/d/1q9nWasZJ-K8bFGvbE9n0qSRuKGA4Toe3Y89cKCiVtCU/edit?usp=sharing"",""สตูล!M165"")+IMPORTRANGE(""https://docs.google.com/sprea"&amp;"dsheets/d/18T20gbkS_WBjdscyTOV05cvq_JqvqQ17C81mpxf7Ncs/edit?usp=sharing"",""สุราษฎร์ธานี!M165"")"),0)</f>
        <v>0</v>
      </c>
      <c r="N165" s="47">
        <f ca="1">IFERROR(__xludf.DUMMYFUNCTION("IMPORTRANGE(""https://docs.google.com/spreadsheets/d/1kKUcYdkIfrgTSj8iHHHB2MD2FAtwyyocFgqGQn6ADyI/edit?usp=sharing"",""กระบี่!N165"")+IMPORTRANGE(""https://docs.google.com/spreadsheets/d/1GwtLaSlNZkLk7iDqcyZz22giiy40b_usZZBXYciEN1U/edit?usp=sharing"",""ชุ"&amp;"มพร!N165"")+IMPORTRANGE(""https://docs.google.com/spreadsheets/d/16pAz3pOhQEZBhvFNMa5KGgZS6iKWpsKX0pg6tQmwFpo/edit?usp=sharing"",""ตรัง!N165"")+IMPORTRANGE(""https://docs.google.com/spreadsheets/d/1Dj4jcHCTV9JXKCaMoheSXS52JE63kDKyG7bPXnFogHk/edit?usp=shar"&amp;"ing"",""นครศรีธรรมราช!N165"")+IMPORTRANGE(""https://docs.google.com/spreadsheets/d/1iodCdmuK2GR3jzUwk8tpccY2JHQQA-87DLOtJP-ooyU/edit?usp=sharing"",""นราธิวาส!N165"")+IMPORTRANGE(""https://docs.google.com/spreadsheets/d/1SDNX3JhDdYRuIOsj0Wh2M-Qa_eaXl0NbWmh"&amp;"AOTbfQAs/edit?usp=sharing"",""ปัตตานี!N165"")+IMPORTRANGE(""https://docs.google.com/spreadsheets/d/16JDLGguT8s5DsGCND1KcwHP_AWR_zDMTqLHPLJUKhaU/edit?usp=sharing"",""พังงา!N165"")+IMPORTRANGE(""https://docs.google.com/spreadsheets/d/17ht0gPKzzT3PObBL1XJkeR"&amp;"mntBXI7wGjpLV7QorqlTk/edit?usp=sharing"",""พัทลุง!N165"")+IMPORTRANGE(""https://docs.google.com/spreadsheets/d/1rd4qoM1q_hsgaolqNGfrim9gbsoLxQsda4-vOz5x_BM/edit?usp=sharing"",""ภูเก็ต!N165"")+IMPORTRANGE(""https://docs.google.com/spreadsheets/d/1woKwKjgoL"&amp;"ssDvPcPeVyezB5izizAn4X1JDrys69n6xI/edit?usp=sharing"",""ยะลา!N165"")+IMPORTRANGE(""https://docs.google.com/spreadsheets/d/1qfrKjzMhm2HJfxQ-qVlJlJQ25Hne1d0khsySbZyGtPA/edit?usp=sharing"",""ระนอง!N165"")+IMPORTRANGE(""https://docs.google.com/spreadsheets/d/"&amp;"1IbSCnFOKpZsnFogBHJnL_isstZVaOMnFiIN0fGTPZZw/edit?usp=sharing"",""สงขลา!N165"")+IMPORTRANGE(""https://docs.google.com/spreadsheets/d/1q9nWasZJ-K8bFGvbE9n0qSRuKGA4Toe3Y89cKCiVtCU/edit?usp=sharing"",""สตูล!N165"")+IMPORTRANGE(""https://docs.google.com/sprea"&amp;"dsheets/d/18T20gbkS_WBjdscyTOV05cvq_JqvqQ17C81mpxf7Ncs/edit?usp=sharing"",""สุราษฎร์ธานี!N165"")"),0)</f>
        <v>0</v>
      </c>
      <c r="O165" s="47">
        <f t="shared" ca="1" si="125"/>
        <v>0</v>
      </c>
      <c r="P165" s="47">
        <f t="shared" ca="1" si="126"/>
        <v>0</v>
      </c>
      <c r="Q165" s="47">
        <f ca="1">IFERROR(__xludf.DUMMYFUNCTION("IMPORTRANGE(""https://docs.google.com/spreadsheets/d/1kKUcYdkIfrgTSj8iHHHB2MD2FAtwyyocFgqGQn6ADyI/edit?usp=sharing"",""กระบี่!Q165"")+IMPORTRANGE(""https://docs.google.com/spreadsheets/d/1GwtLaSlNZkLk7iDqcyZz22giiy40b_usZZBXYciEN1U/edit?usp=sharing"",""ชุ"&amp;"มพร!Q165"")+IMPORTRANGE(""https://docs.google.com/spreadsheets/d/16pAz3pOhQEZBhvFNMa5KGgZS6iKWpsKX0pg6tQmwFpo/edit?usp=sharing"",""ตรัง!Q165"")+IMPORTRANGE(""https://docs.google.com/spreadsheets/d/1Dj4jcHCTV9JXKCaMoheSXS52JE63kDKyG7bPXnFogHk/edit?usp=shar"&amp;"ing"",""นครศรีธรรมราช!Q165"")+IMPORTRANGE(""https://docs.google.com/spreadsheets/d/1iodCdmuK2GR3jzUwk8tpccY2JHQQA-87DLOtJP-ooyU/edit?usp=sharing"",""นราธิวาส!Q165"")+IMPORTRANGE(""https://docs.google.com/spreadsheets/d/1SDNX3JhDdYRuIOsj0Wh2M-Qa_eaXl0NbWmh"&amp;"AOTbfQAs/edit?usp=sharing"",""ปัตตานี!Q165"")+IMPORTRANGE(""https://docs.google.com/spreadsheets/d/16JDLGguT8s5DsGCND1KcwHP_AWR_zDMTqLHPLJUKhaU/edit?usp=sharing"",""พังงา!Q165"")+IMPORTRANGE(""https://docs.google.com/spreadsheets/d/17ht0gPKzzT3PObBL1XJkeR"&amp;"mntBXI7wGjpLV7QorqlTk/edit?usp=sharing"",""พัทลุง!Q165"")+IMPORTRANGE(""https://docs.google.com/spreadsheets/d/1rd4qoM1q_hsgaolqNGfrim9gbsoLxQsda4-vOz5x_BM/edit?usp=sharing"",""ภูเก็ต!Q165"")+IMPORTRANGE(""https://docs.google.com/spreadsheets/d/1woKwKjgoL"&amp;"ssDvPcPeVyezB5izizAn4X1JDrys69n6xI/edit?usp=sharing"",""ยะลา!Q165"")+IMPORTRANGE(""https://docs.google.com/spreadsheets/d/1qfrKjzMhm2HJfxQ-qVlJlJQ25Hne1d0khsySbZyGtPA/edit?usp=sharing"",""ระนอง!Q165"")+IMPORTRANGE(""https://docs.google.com/spreadsheets/d/"&amp;"1IbSCnFOKpZsnFogBHJnL_isstZVaOMnFiIN0fGTPZZw/edit?usp=sharing"",""สงขลา!Q165"")+IMPORTRANGE(""https://docs.google.com/spreadsheets/d/1q9nWasZJ-K8bFGvbE9n0qSRuKGA4Toe3Y89cKCiVtCU/edit?usp=sharing"",""สตูล!Q165"")+IMPORTRANGE(""https://docs.google.com/sprea"&amp;"dsheets/d/18T20gbkS_WBjdscyTOV05cvq_JqvqQ17C81mpxf7Ncs/edit?usp=sharing"",""สุราษฎร์ธานี!Q165"")"),0)</f>
        <v>0</v>
      </c>
      <c r="R165" s="47">
        <f ca="1">IFERROR(__xludf.DUMMYFUNCTION("IMPORTRANGE(""https://docs.google.com/spreadsheets/d/1kKUcYdkIfrgTSj8iHHHB2MD2FAtwyyocFgqGQn6ADyI/edit?usp=sharing"",""กระบี่!R165"")+IMPORTRANGE(""https://docs.google.com/spreadsheets/d/1GwtLaSlNZkLk7iDqcyZz22giiy40b_usZZBXYciEN1U/edit?usp=sharing"",""ชุ"&amp;"มพร!R165"")+IMPORTRANGE(""https://docs.google.com/spreadsheets/d/16pAz3pOhQEZBhvFNMa5KGgZS6iKWpsKX0pg6tQmwFpo/edit?usp=sharing"",""ตรัง!R165"")+IMPORTRANGE(""https://docs.google.com/spreadsheets/d/1Dj4jcHCTV9JXKCaMoheSXS52JE63kDKyG7bPXnFogHk/edit?usp=shar"&amp;"ing"",""นครศรีธรรมราช!R165"")+IMPORTRANGE(""https://docs.google.com/spreadsheets/d/1iodCdmuK2GR3jzUwk8tpccY2JHQQA-87DLOtJP-ooyU/edit?usp=sharing"",""นราธิวาส!R165"")+IMPORTRANGE(""https://docs.google.com/spreadsheets/d/1SDNX3JhDdYRuIOsj0Wh2M-Qa_eaXl0NbWmh"&amp;"AOTbfQAs/edit?usp=sharing"",""ปัตตานี!R165"")+IMPORTRANGE(""https://docs.google.com/spreadsheets/d/16JDLGguT8s5DsGCND1KcwHP_AWR_zDMTqLHPLJUKhaU/edit?usp=sharing"",""พังงา!R165"")+IMPORTRANGE(""https://docs.google.com/spreadsheets/d/17ht0gPKzzT3PObBL1XJkeR"&amp;"mntBXI7wGjpLV7QorqlTk/edit?usp=sharing"",""พัทลุง!R165"")+IMPORTRANGE(""https://docs.google.com/spreadsheets/d/1rd4qoM1q_hsgaolqNGfrim9gbsoLxQsda4-vOz5x_BM/edit?usp=sharing"",""ภูเก็ต!R165"")+IMPORTRANGE(""https://docs.google.com/spreadsheets/d/1woKwKjgoL"&amp;"ssDvPcPeVyezB5izizAn4X1JDrys69n6xI/edit?usp=sharing"",""ยะลา!R165"")+IMPORTRANGE(""https://docs.google.com/spreadsheets/d/1qfrKjzMhm2HJfxQ-qVlJlJQ25Hne1d0khsySbZyGtPA/edit?usp=sharing"",""ระนอง!R165"")+IMPORTRANGE(""https://docs.google.com/spreadsheets/d/"&amp;"1IbSCnFOKpZsnFogBHJnL_isstZVaOMnFiIN0fGTPZZw/edit?usp=sharing"",""สงขลา!R165"")+IMPORTRANGE(""https://docs.google.com/spreadsheets/d/1q9nWasZJ-K8bFGvbE9n0qSRuKGA4Toe3Y89cKCiVtCU/edit?usp=sharing"",""สตูล!R165"")+IMPORTRANGE(""https://docs.google.com/sprea"&amp;"dsheets/d/18T20gbkS_WBjdscyTOV05cvq_JqvqQ17C81mpxf7Ncs/edit?usp=sharing"",""สุราษฎร์ธานี!R165"")"),0)</f>
        <v>0</v>
      </c>
      <c r="S165" s="47">
        <f ca="1">IFERROR(__xludf.DUMMYFUNCTION("IMPORTRANGE(""https://docs.google.com/spreadsheets/d/1kKUcYdkIfrgTSj8iHHHB2MD2FAtwyyocFgqGQn6ADyI/edit?usp=sharing"",""กระบี่!S165"")+IMPORTRANGE(""https://docs.google.com/spreadsheets/d/1GwtLaSlNZkLk7iDqcyZz22giiy40b_usZZBXYciEN1U/edit?usp=sharing"",""ชุ"&amp;"มพร!S165"")+IMPORTRANGE(""https://docs.google.com/spreadsheets/d/16pAz3pOhQEZBhvFNMa5KGgZS6iKWpsKX0pg6tQmwFpo/edit?usp=sharing"",""ตรัง!S165"")+IMPORTRANGE(""https://docs.google.com/spreadsheets/d/1Dj4jcHCTV9JXKCaMoheSXS52JE63kDKyG7bPXnFogHk/edit?usp=shar"&amp;"ing"",""นครศรีธรรมราช!S165"")+IMPORTRANGE(""https://docs.google.com/spreadsheets/d/1iodCdmuK2GR3jzUwk8tpccY2JHQQA-87DLOtJP-ooyU/edit?usp=sharing"",""นราธิวาส!S165"")+IMPORTRANGE(""https://docs.google.com/spreadsheets/d/1SDNX3JhDdYRuIOsj0Wh2M-Qa_eaXl0NbWmh"&amp;"AOTbfQAs/edit?usp=sharing"",""ปัตตานี!S165"")+IMPORTRANGE(""https://docs.google.com/spreadsheets/d/16JDLGguT8s5DsGCND1KcwHP_AWR_zDMTqLHPLJUKhaU/edit?usp=sharing"",""พังงา!S165"")+IMPORTRANGE(""https://docs.google.com/spreadsheets/d/17ht0gPKzzT3PObBL1XJkeR"&amp;"mntBXI7wGjpLV7QorqlTk/edit?usp=sharing"",""พัทลุง!S165"")+IMPORTRANGE(""https://docs.google.com/spreadsheets/d/1rd4qoM1q_hsgaolqNGfrim9gbsoLxQsda4-vOz5x_BM/edit?usp=sharing"",""ภูเก็ต!S165"")+IMPORTRANGE(""https://docs.google.com/spreadsheets/d/1woKwKjgoL"&amp;"ssDvPcPeVyezB5izizAn4X1JDrys69n6xI/edit?usp=sharing"",""ยะลา!S165"")+IMPORTRANGE(""https://docs.google.com/spreadsheets/d/1qfrKjzMhm2HJfxQ-qVlJlJQ25Hne1d0khsySbZyGtPA/edit?usp=sharing"",""ระนอง!S165"")+IMPORTRANGE(""https://docs.google.com/spreadsheets/d/"&amp;"1IbSCnFOKpZsnFogBHJnL_isstZVaOMnFiIN0fGTPZZw/edit?usp=sharing"",""สงขลา!S165"")+IMPORTRANGE(""https://docs.google.com/spreadsheets/d/1q9nWasZJ-K8bFGvbE9n0qSRuKGA4Toe3Y89cKCiVtCU/edit?usp=sharing"",""สตูล!S165"")+IMPORTRANGE(""https://docs.google.com/sprea"&amp;"dsheets/d/18T20gbkS_WBjdscyTOV05cvq_JqvqQ17C81mpxf7Ncs/edit?usp=sharing"",""สุราษฎร์ธานี!S165"")"),0)</f>
        <v>0</v>
      </c>
      <c r="T165" s="47">
        <f t="shared" ca="1" si="128"/>
        <v>0</v>
      </c>
      <c r="U165" s="47">
        <f t="shared" ca="1" si="129"/>
        <v>0</v>
      </c>
    </row>
    <row r="166" spans="1:21" ht="19.5" x14ac:dyDescent="0.3">
      <c r="A166" s="138"/>
      <c r="B166" s="139"/>
      <c r="C166" s="129" t="s">
        <v>18</v>
      </c>
      <c r="D166" s="140" t="s">
        <v>38</v>
      </c>
      <c r="E166" s="141"/>
      <c r="F166" s="141"/>
      <c r="G166" s="142"/>
      <c r="H166" s="189"/>
      <c r="I166" s="45"/>
      <c r="J166" s="45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kKUcYdkIfrgTSj8iHHHB2MD2FAtwyyocFgqGQn6ADyI/edit?usp=sharing"",""กระบี่!I167"")+IMPORTRANGE(""https://docs.google.com/spreadsheets/d/1GwtLaSlNZkLk7iDqcyZz22giiy40b_usZZBXYciEN1U/edit?usp=sharing"",""ชุ"&amp;"มพร!I167"")+IMPORTRANGE(""https://docs.google.com/spreadsheets/d/16pAz3pOhQEZBhvFNMa5KGgZS6iKWpsKX0pg6tQmwFpo/edit?usp=sharing"",""ตรัง!I167"")+IMPORTRANGE(""https://docs.google.com/spreadsheets/d/1Dj4jcHCTV9JXKCaMoheSXS52JE63kDKyG7bPXnFogHk/edit?usp=shar"&amp;"ing"",""นครศรีธรรมราช!I167"")+IMPORTRANGE(""https://docs.google.com/spreadsheets/d/1iodCdmuK2GR3jzUwk8tpccY2JHQQA-87DLOtJP-ooyU/edit?usp=sharing"",""นราธิวาส!I167"")+IMPORTRANGE(""https://docs.google.com/spreadsheets/d/1SDNX3JhDdYRuIOsj0Wh2M-Qa_eaXl0NbWmh"&amp;"AOTbfQAs/edit?usp=sharing"",""ปัตตานี!I167"")+IMPORTRANGE(""https://docs.google.com/spreadsheets/d/16JDLGguT8s5DsGCND1KcwHP_AWR_zDMTqLHPLJUKhaU/edit?usp=sharing"",""พังงา!I167"")+IMPORTRANGE(""https://docs.google.com/spreadsheets/d/17ht0gPKzzT3PObBL1XJkeR"&amp;"mntBXI7wGjpLV7QorqlTk/edit?usp=sharing"",""พัทลุง!I167"")+IMPORTRANGE(""https://docs.google.com/spreadsheets/d/1rd4qoM1q_hsgaolqNGfrim9gbsoLxQsda4-vOz5x_BM/edit?usp=sharing"",""ภูเก็ต!I167"")+IMPORTRANGE(""https://docs.google.com/spreadsheets/d/1woKwKjgoL"&amp;"ssDvPcPeVyezB5izizAn4X1JDrys69n6xI/edit?usp=sharing"",""ยะลา!I167"")+IMPORTRANGE(""https://docs.google.com/spreadsheets/d/1qfrKjzMhm2HJfxQ-qVlJlJQ25Hne1d0khsySbZyGtPA/edit?usp=sharing"",""ระนอง!I167"")+IMPORTRANGE(""https://docs.google.com/spreadsheets/d/"&amp;"1IbSCnFOKpZsnFogBHJnL_isstZVaOMnFiIN0fGTPZZw/edit?usp=sharing"",""สงขลา!I167"")+IMPORTRANGE(""https://docs.google.com/spreadsheets/d/1q9nWasZJ-K8bFGvbE9n0qSRuKGA4Toe3Y89cKCiVtCU/edit?usp=sharing"",""สตูล!I167"")+IMPORTRANGE(""https://docs.google.com/sprea"&amp;"dsheets/d/18T20gbkS_WBjdscyTOV05cvq_JqvqQ17C81mpxf7Ncs/edit?usp=sharing"",""สุราษฎร์ธานี!I167"")"),30)</f>
        <v>30</v>
      </c>
      <c r="J167" s="152">
        <f ca="1">IFERROR(__xludf.DUMMYFUNCTION("IMPORTRANGE(""https://docs.google.com/spreadsheets/d/1kKUcYdkIfrgTSj8iHHHB2MD2FAtwyyocFgqGQn6ADyI/edit?usp=sharing"",""กระบี่!J167"")+IMPORTRANGE(""https://docs.google.com/spreadsheets/d/1GwtLaSlNZkLk7iDqcyZz22giiy40b_usZZBXYciEN1U/edit?usp=sharing"",""ชุ"&amp;"มพร!J167"")+IMPORTRANGE(""https://docs.google.com/spreadsheets/d/16pAz3pOhQEZBhvFNMa5KGgZS6iKWpsKX0pg6tQmwFpo/edit?usp=sharing"",""ตรัง!J167"")+IMPORTRANGE(""https://docs.google.com/spreadsheets/d/1Dj4jcHCTV9JXKCaMoheSXS52JE63kDKyG7bPXnFogHk/edit?usp=shar"&amp;"ing"",""นครศรีธรรมราช!J167"")+IMPORTRANGE(""https://docs.google.com/spreadsheets/d/1iodCdmuK2GR3jzUwk8tpccY2JHQQA-87DLOtJP-ooyU/edit?usp=sharing"",""นราธิวาส!J167"")+IMPORTRANGE(""https://docs.google.com/spreadsheets/d/1SDNX3JhDdYRuIOsj0Wh2M-Qa_eaXl0NbWmh"&amp;"AOTbfQAs/edit?usp=sharing"",""ปัตตานี!J167"")+IMPORTRANGE(""https://docs.google.com/spreadsheets/d/16JDLGguT8s5DsGCND1KcwHP_AWR_zDMTqLHPLJUKhaU/edit?usp=sharing"",""พังงา!J167"")+IMPORTRANGE(""https://docs.google.com/spreadsheets/d/17ht0gPKzzT3PObBL1XJkeR"&amp;"mntBXI7wGjpLV7QorqlTk/edit?usp=sharing"",""พัทลุง!J167"")+IMPORTRANGE(""https://docs.google.com/spreadsheets/d/1rd4qoM1q_hsgaolqNGfrim9gbsoLxQsda4-vOz5x_BM/edit?usp=sharing"",""ภูเก็ต!J167"")+IMPORTRANGE(""https://docs.google.com/spreadsheets/d/1woKwKjgoL"&amp;"ssDvPcPeVyezB5izizAn4X1JDrys69n6xI/edit?usp=sharing"",""ยะลา!J167"")+IMPORTRANGE(""https://docs.google.com/spreadsheets/d/1qfrKjzMhm2HJfxQ-qVlJlJQ25Hne1d0khsySbZyGtPA/edit?usp=sharing"",""ระนอง!J167"")+IMPORTRANGE(""https://docs.google.com/spreadsheets/d/"&amp;"1IbSCnFOKpZsnFogBHJnL_isstZVaOMnFiIN0fGTPZZw/edit?usp=sharing"",""สงขลา!J167"")+IMPORTRANGE(""https://docs.google.com/spreadsheets/d/1q9nWasZJ-K8bFGvbE9n0qSRuKGA4Toe3Y89cKCiVtCU/edit?usp=sharing"",""สตูล!J167"")+IMPORTRANGE(""https://docs.google.com/sprea"&amp;"dsheets/d/18T20gbkS_WBjdscyTOV05cvq_JqvqQ17C81mpxf7Ncs/edit?usp=sharing"",""สุราษฎร์ธานี!J167"")"),42)</f>
        <v>42</v>
      </c>
      <c r="K167" s="47">
        <f t="shared" ref="K167:K169" ca="1" si="138">IF(I167&gt;0,J167*100/I167,0)</f>
        <v>140</v>
      </c>
      <c r="L167" s="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48" t="s">
        <v>70</v>
      </c>
      <c r="E168" s="41"/>
      <c r="F168" s="41"/>
      <c r="G168" s="43"/>
      <c r="H168" s="137" t="s">
        <v>35</v>
      </c>
      <c r="I168" s="152">
        <f t="shared" ref="I168:I169" ca="1" si="139">I167</f>
        <v>30</v>
      </c>
      <c r="J168" s="152">
        <v>0</v>
      </c>
      <c r="K168" s="47">
        <f t="shared" ca="1" si="138"/>
        <v>0</v>
      </c>
      <c r="L168" s="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52" t="s">
        <v>71</v>
      </c>
      <c r="E169" s="1"/>
      <c r="F169" s="1"/>
      <c r="G169" s="53"/>
      <c r="H169" s="196" t="s">
        <v>35</v>
      </c>
      <c r="I169" s="197">
        <f t="shared" ca="1" si="139"/>
        <v>30</v>
      </c>
      <c r="J169" s="197">
        <v>0</v>
      </c>
      <c r="K169" s="111">
        <f t="shared" ca="1" si="138"/>
        <v>0</v>
      </c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t="shared" ref="I172:J172" ca="1" si="140">I183+I184</f>
        <v>172</v>
      </c>
      <c r="J172" s="214">
        <f t="shared" ca="1" si="140"/>
        <v>77</v>
      </c>
      <c r="K172" s="215">
        <f ca="1">IF(I172&gt;0,J172*100/I172,0)</f>
        <v>44.767441860465119</v>
      </c>
      <c r="L172" s="216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13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132">
        <f t="shared" ref="L173:N173" ca="1" si="141">L174+L175</f>
        <v>215490</v>
      </c>
      <c r="M173" s="132">
        <f t="shared" ca="1" si="141"/>
        <v>438690</v>
      </c>
      <c r="N173" s="132">
        <f t="shared" ca="1" si="141"/>
        <v>429226</v>
      </c>
      <c r="O173" s="132">
        <f t="shared" ref="O173:O181" ca="1" si="142">IF(L173&gt;0,N173*100/L173,0)</f>
        <v>199.18604111559702</v>
      </c>
      <c r="P173" s="132">
        <f t="shared" ref="P173:P181" ca="1" si="143">IF(M173&gt;0,N173*100/M173,0)</f>
        <v>97.842667943194513</v>
      </c>
      <c r="Q173" s="132">
        <f t="shared" ref="Q173:S173" ca="1" si="144">Q174+Q175</f>
        <v>0</v>
      </c>
      <c r="R173" s="132">
        <f t="shared" ca="1" si="144"/>
        <v>0</v>
      </c>
      <c r="S173" s="132">
        <f t="shared" ca="1" si="144"/>
        <v>0</v>
      </c>
      <c r="T173" s="132">
        <f t="shared" ref="T173:T181" ca="1" si="145">IF(Q173&gt;0,S173*100/Q173,0)</f>
        <v>0</v>
      </c>
      <c r="U173" s="132">
        <f t="shared" ref="U173:U181" ca="1" si="146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48" t="s">
        <v>20</v>
      </c>
      <c r="F174" s="41"/>
      <c r="G174" s="43"/>
      <c r="H174" s="133" t="s">
        <v>14</v>
      </c>
      <c r="I174" s="45"/>
      <c r="J174" s="45"/>
      <c r="K174" s="46"/>
      <c r="L174" s="47">
        <f t="shared" ref="L174:N174" ca="1" si="147">L177+L180</f>
        <v>0</v>
      </c>
      <c r="M174" s="47">
        <f t="shared" ca="1" si="147"/>
        <v>0</v>
      </c>
      <c r="N174" s="47">
        <f t="shared" ca="1" si="147"/>
        <v>0</v>
      </c>
      <c r="O174" s="47">
        <f t="shared" ca="1" si="142"/>
        <v>0</v>
      </c>
      <c r="P174" s="47">
        <f t="shared" ca="1" si="143"/>
        <v>0</v>
      </c>
      <c r="Q174" s="47">
        <f t="shared" ref="Q174:S174" ca="1" si="148">Q177+Q180</f>
        <v>0</v>
      </c>
      <c r="R174" s="47">
        <f t="shared" ca="1" si="148"/>
        <v>0</v>
      </c>
      <c r="S174" s="47">
        <f t="shared" ca="1" si="148"/>
        <v>0</v>
      </c>
      <c r="T174" s="49">
        <f t="shared" ca="1" si="145"/>
        <v>0</v>
      </c>
      <c r="U174" s="49">
        <f t="shared" ca="1" si="146"/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7">
        <f t="shared" ref="L175:N175" ca="1" si="149">L178+L181</f>
        <v>215490</v>
      </c>
      <c r="M175" s="47">
        <f t="shared" ca="1" si="149"/>
        <v>438690</v>
      </c>
      <c r="N175" s="47">
        <f t="shared" ca="1" si="149"/>
        <v>429226</v>
      </c>
      <c r="O175" s="47">
        <f t="shared" ca="1" si="142"/>
        <v>199.18604111559702</v>
      </c>
      <c r="P175" s="47">
        <f t="shared" ca="1" si="143"/>
        <v>97.842667943194513</v>
      </c>
      <c r="Q175" s="47">
        <f t="shared" ref="Q175:S175" ca="1" si="150">Q178+Q181</f>
        <v>0</v>
      </c>
      <c r="R175" s="47">
        <f t="shared" ca="1" si="150"/>
        <v>0</v>
      </c>
      <c r="S175" s="47">
        <f t="shared" ca="1" si="150"/>
        <v>0</v>
      </c>
      <c r="T175" s="47">
        <f t="shared" ca="1" si="145"/>
        <v>0</v>
      </c>
      <c r="U175" s="47">
        <f t="shared" ca="1" si="146"/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7">
        <f t="shared" ref="L176:N176" ca="1" si="151">L177+L178</f>
        <v>215490</v>
      </c>
      <c r="M176" s="47">
        <f t="shared" ca="1" si="151"/>
        <v>438690</v>
      </c>
      <c r="N176" s="47">
        <f t="shared" ca="1" si="151"/>
        <v>429226</v>
      </c>
      <c r="O176" s="47">
        <f t="shared" ca="1" si="142"/>
        <v>199.18604111559702</v>
      </c>
      <c r="P176" s="47">
        <f t="shared" ca="1" si="143"/>
        <v>97.842667943194513</v>
      </c>
      <c r="Q176" s="47">
        <f t="shared" ref="Q176:S176" ca="1" si="152">Q177+Q178</f>
        <v>0</v>
      </c>
      <c r="R176" s="47">
        <f t="shared" ca="1" si="152"/>
        <v>0</v>
      </c>
      <c r="S176" s="47">
        <f t="shared" ca="1" si="152"/>
        <v>0</v>
      </c>
      <c r="T176" s="47">
        <f t="shared" ca="1" si="145"/>
        <v>0</v>
      </c>
      <c r="U176" s="47">
        <f t="shared" ca="1" si="146"/>
        <v>0</v>
      </c>
    </row>
    <row r="177" spans="1:21" ht="18.75" hidden="1" x14ac:dyDescent="0.25">
      <c r="A177" s="128"/>
      <c r="B177" s="41"/>
      <c r="C177" s="41"/>
      <c r="D177" s="41"/>
      <c r="E177" s="48" t="s">
        <v>36</v>
      </c>
      <c r="F177" s="41"/>
      <c r="G177" s="43"/>
      <c r="H177" s="134" t="s">
        <v>14</v>
      </c>
      <c r="I177" s="135"/>
      <c r="J177" s="135"/>
      <c r="K177" s="136"/>
      <c r="L177" s="47">
        <f ca="1">IFERROR(__xludf.DUMMYFUNCTION("IMPORTRANGE(""https://docs.google.com/spreadsheets/d/1kKUcYdkIfrgTSj8iHHHB2MD2FAtwyyocFgqGQn6ADyI/edit?usp=sharing"",""กระบี่!L177"")+IMPORTRANGE(""https://docs.google.com/spreadsheets/d/1GwtLaSlNZkLk7iDqcyZz22giiy40b_usZZBXYciEN1U/edit?usp=sharing"",""ชุ"&amp;"มพร!L177"")+IMPORTRANGE(""https://docs.google.com/spreadsheets/d/16pAz3pOhQEZBhvFNMa5KGgZS6iKWpsKX0pg6tQmwFpo/edit?usp=sharing"",""ตรัง!L177"")+IMPORTRANGE(""https://docs.google.com/spreadsheets/d/1Dj4jcHCTV9JXKCaMoheSXS52JE63kDKyG7bPXnFogHk/edit?usp=shar"&amp;"ing"",""นครศรีธรรมราช!L177"")+IMPORTRANGE(""https://docs.google.com/spreadsheets/d/1iodCdmuK2GR3jzUwk8tpccY2JHQQA-87DLOtJP-ooyU/edit?usp=sharing"",""นราธิวาส!L177"")+IMPORTRANGE(""https://docs.google.com/spreadsheets/d/1SDNX3JhDdYRuIOsj0Wh2M-Qa_eaXl0NbWmh"&amp;"AOTbfQAs/edit?usp=sharing"",""ปัตตานี!L177"")+IMPORTRANGE(""https://docs.google.com/spreadsheets/d/16JDLGguT8s5DsGCND1KcwHP_AWR_zDMTqLHPLJUKhaU/edit?usp=sharing"",""พังงา!L177"")+IMPORTRANGE(""https://docs.google.com/spreadsheets/d/17ht0gPKzzT3PObBL1XJkeR"&amp;"mntBXI7wGjpLV7QorqlTk/edit?usp=sharing"",""พัทลุง!L177"")+IMPORTRANGE(""https://docs.google.com/spreadsheets/d/1rd4qoM1q_hsgaolqNGfrim9gbsoLxQsda4-vOz5x_BM/edit?usp=sharing"",""ภูเก็ต!L177"")+IMPORTRANGE(""https://docs.google.com/spreadsheets/d/1woKwKjgoL"&amp;"ssDvPcPeVyezB5izizAn4X1JDrys69n6xI/edit?usp=sharing"",""ยะลา!L177"")+IMPORTRANGE(""https://docs.google.com/spreadsheets/d/1qfrKjzMhm2HJfxQ-qVlJlJQ25Hne1d0khsySbZyGtPA/edit?usp=sharing"",""ระนอง!L177"")+IMPORTRANGE(""https://docs.google.com/spreadsheets/d/"&amp;"1IbSCnFOKpZsnFogBHJnL_isstZVaOMnFiIN0fGTPZZw/edit?usp=sharing"",""สงขลา!L177"")+IMPORTRANGE(""https://docs.google.com/spreadsheets/d/1q9nWasZJ-K8bFGvbE9n0qSRuKGA4Toe3Y89cKCiVtCU/edit?usp=sharing"",""สตูล!L177"")+IMPORTRANGE(""https://docs.google.com/sprea"&amp;"dsheets/d/18T20gbkS_WBjdscyTOV05cvq_JqvqQ17C81mpxf7Ncs/edit?usp=sharing"",""สุราษฎร์ธานี!L177"")"),0)</f>
        <v>0</v>
      </c>
      <c r="M177" s="47">
        <f ca="1">IFERROR(__xludf.DUMMYFUNCTION("IMPORTRANGE(""https://docs.google.com/spreadsheets/d/1kKUcYdkIfrgTSj8iHHHB2MD2FAtwyyocFgqGQn6ADyI/edit?usp=sharing"",""กระบี่!M177"")+IMPORTRANGE(""https://docs.google.com/spreadsheets/d/1GwtLaSlNZkLk7iDqcyZz22giiy40b_usZZBXYciEN1U/edit?usp=sharing"",""ชุ"&amp;"มพร!M177"")+IMPORTRANGE(""https://docs.google.com/spreadsheets/d/16pAz3pOhQEZBhvFNMa5KGgZS6iKWpsKX0pg6tQmwFpo/edit?usp=sharing"",""ตรัง!M177"")+IMPORTRANGE(""https://docs.google.com/spreadsheets/d/1Dj4jcHCTV9JXKCaMoheSXS52JE63kDKyG7bPXnFogHk/edit?usp=shar"&amp;"ing"",""นครศรีธรรมราช!M177"")+IMPORTRANGE(""https://docs.google.com/spreadsheets/d/1iodCdmuK2GR3jzUwk8tpccY2JHQQA-87DLOtJP-ooyU/edit?usp=sharing"",""นราธิวาส!M177"")+IMPORTRANGE(""https://docs.google.com/spreadsheets/d/1SDNX3JhDdYRuIOsj0Wh2M-Qa_eaXl0NbWmh"&amp;"AOTbfQAs/edit?usp=sharing"",""ปัตตานี!M177"")+IMPORTRANGE(""https://docs.google.com/spreadsheets/d/16JDLGguT8s5DsGCND1KcwHP_AWR_zDMTqLHPLJUKhaU/edit?usp=sharing"",""พังงา!M177"")+IMPORTRANGE(""https://docs.google.com/spreadsheets/d/17ht0gPKzzT3PObBL1XJkeR"&amp;"mntBXI7wGjpLV7QorqlTk/edit?usp=sharing"",""พัทลุง!M177"")+IMPORTRANGE(""https://docs.google.com/spreadsheets/d/1rd4qoM1q_hsgaolqNGfrim9gbsoLxQsda4-vOz5x_BM/edit?usp=sharing"",""ภูเก็ต!M177"")+IMPORTRANGE(""https://docs.google.com/spreadsheets/d/1woKwKjgoL"&amp;"ssDvPcPeVyezB5izizAn4X1JDrys69n6xI/edit?usp=sharing"",""ยะลา!M177"")+IMPORTRANGE(""https://docs.google.com/spreadsheets/d/1qfrKjzMhm2HJfxQ-qVlJlJQ25Hne1d0khsySbZyGtPA/edit?usp=sharing"",""ระนอง!M177"")+IMPORTRANGE(""https://docs.google.com/spreadsheets/d/"&amp;"1IbSCnFOKpZsnFogBHJnL_isstZVaOMnFiIN0fGTPZZw/edit?usp=sharing"",""สงขลา!M177"")+IMPORTRANGE(""https://docs.google.com/spreadsheets/d/1q9nWasZJ-K8bFGvbE9n0qSRuKGA4Toe3Y89cKCiVtCU/edit?usp=sharing"",""สตูล!M177"")+IMPORTRANGE(""https://docs.google.com/sprea"&amp;"dsheets/d/18T20gbkS_WBjdscyTOV05cvq_JqvqQ17C81mpxf7Ncs/edit?usp=sharing"",""สุราษฎร์ธานี!M177"")"),0)</f>
        <v>0</v>
      </c>
      <c r="N177" s="47">
        <f ca="1">IFERROR(__xludf.DUMMYFUNCTION("IMPORTRANGE(""https://docs.google.com/spreadsheets/d/1kKUcYdkIfrgTSj8iHHHB2MD2FAtwyyocFgqGQn6ADyI/edit?usp=sharing"",""กระบี่!N177"")+IMPORTRANGE(""https://docs.google.com/spreadsheets/d/1GwtLaSlNZkLk7iDqcyZz22giiy40b_usZZBXYciEN1U/edit?usp=sharing"",""ชุ"&amp;"มพร!N177"")+IMPORTRANGE(""https://docs.google.com/spreadsheets/d/16pAz3pOhQEZBhvFNMa5KGgZS6iKWpsKX0pg6tQmwFpo/edit?usp=sharing"",""ตรัง!N177"")+IMPORTRANGE(""https://docs.google.com/spreadsheets/d/1Dj4jcHCTV9JXKCaMoheSXS52JE63kDKyG7bPXnFogHk/edit?usp=shar"&amp;"ing"",""นครศรีธรรมราช!N177"")+IMPORTRANGE(""https://docs.google.com/spreadsheets/d/1iodCdmuK2GR3jzUwk8tpccY2JHQQA-87DLOtJP-ooyU/edit?usp=sharing"",""นราธิวาส!N177"")+IMPORTRANGE(""https://docs.google.com/spreadsheets/d/1SDNX3JhDdYRuIOsj0Wh2M-Qa_eaXl0NbWmh"&amp;"AOTbfQAs/edit?usp=sharing"",""ปัตตานี!N177"")+IMPORTRANGE(""https://docs.google.com/spreadsheets/d/16JDLGguT8s5DsGCND1KcwHP_AWR_zDMTqLHPLJUKhaU/edit?usp=sharing"",""พังงา!N177"")+IMPORTRANGE(""https://docs.google.com/spreadsheets/d/17ht0gPKzzT3PObBL1XJkeR"&amp;"mntBXI7wGjpLV7QorqlTk/edit?usp=sharing"",""พัทลุง!N177"")+IMPORTRANGE(""https://docs.google.com/spreadsheets/d/1rd4qoM1q_hsgaolqNGfrim9gbsoLxQsda4-vOz5x_BM/edit?usp=sharing"",""ภูเก็ต!N177"")+IMPORTRANGE(""https://docs.google.com/spreadsheets/d/1woKwKjgoL"&amp;"ssDvPcPeVyezB5izizAn4X1JDrys69n6xI/edit?usp=sharing"",""ยะลา!N177"")+IMPORTRANGE(""https://docs.google.com/spreadsheets/d/1qfrKjzMhm2HJfxQ-qVlJlJQ25Hne1d0khsySbZyGtPA/edit?usp=sharing"",""ระนอง!N177"")+IMPORTRANGE(""https://docs.google.com/spreadsheets/d/"&amp;"1IbSCnFOKpZsnFogBHJnL_isstZVaOMnFiIN0fGTPZZw/edit?usp=sharing"",""สงขลา!N177"")+IMPORTRANGE(""https://docs.google.com/spreadsheets/d/1q9nWasZJ-K8bFGvbE9n0qSRuKGA4Toe3Y89cKCiVtCU/edit?usp=sharing"",""สตูล!N177"")+IMPORTRANGE(""https://docs.google.com/sprea"&amp;"dsheets/d/18T20gbkS_WBjdscyTOV05cvq_JqvqQ17C81mpxf7Ncs/edit?usp=sharing"",""สุราษฎร์ธานี!N177"")"),0)</f>
        <v>0</v>
      </c>
      <c r="O177" s="47">
        <f t="shared" ca="1" si="142"/>
        <v>0</v>
      </c>
      <c r="P177" s="47">
        <f t="shared" ca="1" si="143"/>
        <v>0</v>
      </c>
      <c r="Q177" s="47">
        <f ca="1">IFERROR(__xludf.DUMMYFUNCTION("IMPORTRANGE(""https://docs.google.com/spreadsheets/d/1kKUcYdkIfrgTSj8iHHHB2MD2FAtwyyocFgqGQn6ADyI/edit?usp=sharing"",""กระบี่!Q177"")+IMPORTRANGE(""https://docs.google.com/spreadsheets/d/1GwtLaSlNZkLk7iDqcyZz22giiy40b_usZZBXYciEN1U/edit?usp=sharing"",""ชุ"&amp;"มพร!Q177"")+IMPORTRANGE(""https://docs.google.com/spreadsheets/d/16pAz3pOhQEZBhvFNMa5KGgZS6iKWpsKX0pg6tQmwFpo/edit?usp=sharing"",""ตรัง!Q177"")+IMPORTRANGE(""https://docs.google.com/spreadsheets/d/1Dj4jcHCTV9JXKCaMoheSXS52JE63kDKyG7bPXnFogHk/edit?usp=shar"&amp;"ing"",""นครศรีธรรมราช!Q177"")+IMPORTRANGE(""https://docs.google.com/spreadsheets/d/1iodCdmuK2GR3jzUwk8tpccY2JHQQA-87DLOtJP-ooyU/edit?usp=sharing"",""นราธิวาส!Q177"")+IMPORTRANGE(""https://docs.google.com/spreadsheets/d/1SDNX3JhDdYRuIOsj0Wh2M-Qa_eaXl0NbWmh"&amp;"AOTbfQAs/edit?usp=sharing"",""ปัตตานี!Q177"")+IMPORTRANGE(""https://docs.google.com/spreadsheets/d/16JDLGguT8s5DsGCND1KcwHP_AWR_zDMTqLHPLJUKhaU/edit?usp=sharing"",""พังงา!Q177"")+IMPORTRANGE(""https://docs.google.com/spreadsheets/d/17ht0gPKzzT3PObBL1XJkeR"&amp;"mntBXI7wGjpLV7QorqlTk/edit?usp=sharing"",""พัทลุง!Q177"")+IMPORTRANGE(""https://docs.google.com/spreadsheets/d/1rd4qoM1q_hsgaolqNGfrim9gbsoLxQsda4-vOz5x_BM/edit?usp=sharing"",""ภูเก็ต!Q177"")+IMPORTRANGE(""https://docs.google.com/spreadsheets/d/1woKwKjgoL"&amp;"ssDvPcPeVyezB5izizAn4X1JDrys69n6xI/edit?usp=sharing"",""ยะลา!Q177"")+IMPORTRANGE(""https://docs.google.com/spreadsheets/d/1qfrKjzMhm2HJfxQ-qVlJlJQ25Hne1d0khsySbZyGtPA/edit?usp=sharing"",""ระนอง!Q177"")+IMPORTRANGE(""https://docs.google.com/spreadsheets/d/"&amp;"1IbSCnFOKpZsnFogBHJnL_isstZVaOMnFiIN0fGTPZZw/edit?usp=sharing"",""สงขลา!Q177"")+IMPORTRANGE(""https://docs.google.com/spreadsheets/d/1q9nWasZJ-K8bFGvbE9n0qSRuKGA4Toe3Y89cKCiVtCU/edit?usp=sharing"",""สตูล!Q177"")+IMPORTRANGE(""https://docs.google.com/sprea"&amp;"dsheets/d/18T20gbkS_WBjdscyTOV05cvq_JqvqQ17C81mpxf7Ncs/edit?usp=sharing"",""สุราษฎร์ธานี!Q177"")"),0)</f>
        <v>0</v>
      </c>
      <c r="R177" s="47">
        <f ca="1">IFERROR(__xludf.DUMMYFUNCTION("IMPORTRANGE(""https://docs.google.com/spreadsheets/d/1kKUcYdkIfrgTSj8iHHHB2MD2FAtwyyocFgqGQn6ADyI/edit?usp=sharing"",""กระบี่!R177"")+IMPORTRANGE(""https://docs.google.com/spreadsheets/d/1GwtLaSlNZkLk7iDqcyZz22giiy40b_usZZBXYciEN1U/edit?usp=sharing"",""ชุ"&amp;"มพร!R177"")+IMPORTRANGE(""https://docs.google.com/spreadsheets/d/16pAz3pOhQEZBhvFNMa5KGgZS6iKWpsKX0pg6tQmwFpo/edit?usp=sharing"",""ตรัง!R177"")+IMPORTRANGE(""https://docs.google.com/spreadsheets/d/1Dj4jcHCTV9JXKCaMoheSXS52JE63kDKyG7bPXnFogHk/edit?usp=shar"&amp;"ing"",""นครศรีธรรมราช!R177"")+IMPORTRANGE(""https://docs.google.com/spreadsheets/d/1iodCdmuK2GR3jzUwk8tpccY2JHQQA-87DLOtJP-ooyU/edit?usp=sharing"",""นราธิวาส!R177"")+IMPORTRANGE(""https://docs.google.com/spreadsheets/d/1SDNX3JhDdYRuIOsj0Wh2M-Qa_eaXl0NbWmh"&amp;"AOTbfQAs/edit?usp=sharing"",""ปัตตานี!R177"")+IMPORTRANGE(""https://docs.google.com/spreadsheets/d/16JDLGguT8s5DsGCND1KcwHP_AWR_zDMTqLHPLJUKhaU/edit?usp=sharing"",""พังงา!R177"")+IMPORTRANGE(""https://docs.google.com/spreadsheets/d/17ht0gPKzzT3PObBL1XJkeR"&amp;"mntBXI7wGjpLV7QorqlTk/edit?usp=sharing"",""พัทลุง!R177"")+IMPORTRANGE(""https://docs.google.com/spreadsheets/d/1rd4qoM1q_hsgaolqNGfrim9gbsoLxQsda4-vOz5x_BM/edit?usp=sharing"",""ภูเก็ต!R177"")+IMPORTRANGE(""https://docs.google.com/spreadsheets/d/1woKwKjgoL"&amp;"ssDvPcPeVyezB5izizAn4X1JDrys69n6xI/edit?usp=sharing"",""ยะลา!R177"")+IMPORTRANGE(""https://docs.google.com/spreadsheets/d/1qfrKjzMhm2HJfxQ-qVlJlJQ25Hne1d0khsySbZyGtPA/edit?usp=sharing"",""ระนอง!R177"")+IMPORTRANGE(""https://docs.google.com/spreadsheets/d/"&amp;"1IbSCnFOKpZsnFogBHJnL_isstZVaOMnFiIN0fGTPZZw/edit?usp=sharing"",""สงขลา!R177"")+IMPORTRANGE(""https://docs.google.com/spreadsheets/d/1q9nWasZJ-K8bFGvbE9n0qSRuKGA4Toe3Y89cKCiVtCU/edit?usp=sharing"",""สตูล!R177"")+IMPORTRANGE(""https://docs.google.com/sprea"&amp;"dsheets/d/18T20gbkS_WBjdscyTOV05cvq_JqvqQ17C81mpxf7Ncs/edit?usp=sharing"",""สุราษฎร์ธานี!R177"")"),0)</f>
        <v>0</v>
      </c>
      <c r="S177" s="47">
        <f ca="1">IFERROR(__xludf.DUMMYFUNCTION("IMPORTRANGE(""https://docs.google.com/spreadsheets/d/1kKUcYdkIfrgTSj8iHHHB2MD2FAtwyyocFgqGQn6ADyI/edit?usp=sharing"",""กระบี่!S177"")+IMPORTRANGE(""https://docs.google.com/spreadsheets/d/1GwtLaSlNZkLk7iDqcyZz22giiy40b_usZZBXYciEN1U/edit?usp=sharing"",""ชุ"&amp;"มพร!S177"")+IMPORTRANGE(""https://docs.google.com/spreadsheets/d/16pAz3pOhQEZBhvFNMa5KGgZS6iKWpsKX0pg6tQmwFpo/edit?usp=sharing"",""ตรัง!S177"")+IMPORTRANGE(""https://docs.google.com/spreadsheets/d/1Dj4jcHCTV9JXKCaMoheSXS52JE63kDKyG7bPXnFogHk/edit?usp=shar"&amp;"ing"",""นครศรีธรรมราช!S177"")+IMPORTRANGE(""https://docs.google.com/spreadsheets/d/1iodCdmuK2GR3jzUwk8tpccY2JHQQA-87DLOtJP-ooyU/edit?usp=sharing"",""นราธิวาส!S177"")+IMPORTRANGE(""https://docs.google.com/spreadsheets/d/1SDNX3JhDdYRuIOsj0Wh2M-Qa_eaXl0NbWmh"&amp;"AOTbfQAs/edit?usp=sharing"",""ปัตตานี!S177"")+IMPORTRANGE(""https://docs.google.com/spreadsheets/d/16JDLGguT8s5DsGCND1KcwHP_AWR_zDMTqLHPLJUKhaU/edit?usp=sharing"",""พังงา!S177"")+IMPORTRANGE(""https://docs.google.com/spreadsheets/d/17ht0gPKzzT3PObBL1XJkeR"&amp;"mntBXI7wGjpLV7QorqlTk/edit?usp=sharing"",""พัทลุง!S177"")+IMPORTRANGE(""https://docs.google.com/spreadsheets/d/1rd4qoM1q_hsgaolqNGfrim9gbsoLxQsda4-vOz5x_BM/edit?usp=sharing"",""ภูเก็ต!S177"")+IMPORTRANGE(""https://docs.google.com/spreadsheets/d/1woKwKjgoL"&amp;"ssDvPcPeVyezB5izizAn4X1JDrys69n6xI/edit?usp=sharing"",""ยะลา!S177"")+IMPORTRANGE(""https://docs.google.com/spreadsheets/d/1qfrKjzMhm2HJfxQ-qVlJlJQ25Hne1d0khsySbZyGtPA/edit?usp=sharing"",""ระนอง!S177"")+IMPORTRANGE(""https://docs.google.com/spreadsheets/d/"&amp;"1IbSCnFOKpZsnFogBHJnL_isstZVaOMnFiIN0fGTPZZw/edit?usp=sharing"",""สงขลา!S177"")+IMPORTRANGE(""https://docs.google.com/spreadsheets/d/1q9nWasZJ-K8bFGvbE9n0qSRuKGA4Toe3Y89cKCiVtCU/edit?usp=sharing"",""สตูล!S177"")+IMPORTRANGE(""https://docs.google.com/sprea"&amp;"dsheets/d/18T20gbkS_WBjdscyTOV05cvq_JqvqQ17C81mpxf7Ncs/edit?usp=sharing"",""สุราษฎร์ธานี!S177"")"),0)</f>
        <v>0</v>
      </c>
      <c r="T177" s="49">
        <f t="shared" ca="1" si="145"/>
        <v>0</v>
      </c>
      <c r="U177" s="49">
        <f t="shared" ca="1" si="146"/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7">
        <f ca="1">IFERROR(__xludf.DUMMYFUNCTION("IMPORTRANGE(""https://docs.google.com/spreadsheets/d/1kKUcYdkIfrgTSj8iHHHB2MD2FAtwyyocFgqGQn6ADyI/edit?usp=sharing"",""กระบี่!L178"")+IMPORTRANGE(""https://docs.google.com/spreadsheets/d/1GwtLaSlNZkLk7iDqcyZz22giiy40b_usZZBXYciEN1U/edit?usp=sharing"",""ชุ"&amp;"มพร!L178"")+IMPORTRANGE(""https://docs.google.com/spreadsheets/d/16pAz3pOhQEZBhvFNMa5KGgZS6iKWpsKX0pg6tQmwFpo/edit?usp=sharing"",""ตรัง!L178"")+IMPORTRANGE(""https://docs.google.com/spreadsheets/d/1Dj4jcHCTV9JXKCaMoheSXS52JE63kDKyG7bPXnFogHk/edit?usp=shar"&amp;"ing"",""นครศรีธรรมราช!L178"")+IMPORTRANGE(""https://docs.google.com/spreadsheets/d/1iodCdmuK2GR3jzUwk8tpccY2JHQQA-87DLOtJP-ooyU/edit?usp=sharing"",""นราธิวาส!L178"")+IMPORTRANGE(""https://docs.google.com/spreadsheets/d/1SDNX3JhDdYRuIOsj0Wh2M-Qa_eaXl0NbWmh"&amp;"AOTbfQAs/edit?usp=sharing"",""ปัตตานี!L178"")+IMPORTRANGE(""https://docs.google.com/spreadsheets/d/16JDLGguT8s5DsGCND1KcwHP_AWR_zDMTqLHPLJUKhaU/edit?usp=sharing"",""พังงา!L178"")+IMPORTRANGE(""https://docs.google.com/spreadsheets/d/17ht0gPKzzT3PObBL1XJkeR"&amp;"mntBXI7wGjpLV7QorqlTk/edit?usp=sharing"",""พัทลุง!L178"")+IMPORTRANGE(""https://docs.google.com/spreadsheets/d/1rd4qoM1q_hsgaolqNGfrim9gbsoLxQsda4-vOz5x_BM/edit?usp=sharing"",""ภูเก็ต!L178"")+IMPORTRANGE(""https://docs.google.com/spreadsheets/d/1woKwKjgoL"&amp;"ssDvPcPeVyezB5izizAn4X1JDrys69n6xI/edit?usp=sharing"",""ยะลา!L178"")+IMPORTRANGE(""https://docs.google.com/spreadsheets/d/1qfrKjzMhm2HJfxQ-qVlJlJQ25Hne1d0khsySbZyGtPA/edit?usp=sharing"",""ระนอง!L178"")+IMPORTRANGE(""https://docs.google.com/spreadsheets/d/"&amp;"1IbSCnFOKpZsnFogBHJnL_isstZVaOMnFiIN0fGTPZZw/edit?usp=sharing"",""สงขลา!L178"")+IMPORTRANGE(""https://docs.google.com/spreadsheets/d/1q9nWasZJ-K8bFGvbE9n0qSRuKGA4Toe3Y89cKCiVtCU/edit?usp=sharing"",""สตูล!L178"")+IMPORTRANGE(""https://docs.google.com/sprea"&amp;"dsheets/d/18T20gbkS_WBjdscyTOV05cvq_JqvqQ17C81mpxf7Ncs/edit?usp=sharing"",""สุราษฎร์ธานี!L178"")"),215490)</f>
        <v>215490</v>
      </c>
      <c r="M178" s="47">
        <f ca="1">IFERROR(__xludf.DUMMYFUNCTION("IMPORTRANGE(""https://docs.google.com/spreadsheets/d/1kKUcYdkIfrgTSj8iHHHB2MD2FAtwyyocFgqGQn6ADyI/edit?usp=sharing"",""กระบี่!M178"")+IMPORTRANGE(""https://docs.google.com/spreadsheets/d/1GwtLaSlNZkLk7iDqcyZz22giiy40b_usZZBXYciEN1U/edit?usp=sharing"",""ชุ"&amp;"มพร!M178"")+IMPORTRANGE(""https://docs.google.com/spreadsheets/d/16pAz3pOhQEZBhvFNMa5KGgZS6iKWpsKX0pg6tQmwFpo/edit?usp=sharing"",""ตรัง!M178"")+IMPORTRANGE(""https://docs.google.com/spreadsheets/d/1Dj4jcHCTV9JXKCaMoheSXS52JE63kDKyG7bPXnFogHk/edit?usp=shar"&amp;"ing"",""นครศรีธรรมราช!M178"")+IMPORTRANGE(""https://docs.google.com/spreadsheets/d/1iodCdmuK2GR3jzUwk8tpccY2JHQQA-87DLOtJP-ooyU/edit?usp=sharing"",""นราธิวาส!M178"")+IMPORTRANGE(""https://docs.google.com/spreadsheets/d/1SDNX3JhDdYRuIOsj0Wh2M-Qa_eaXl0NbWmh"&amp;"AOTbfQAs/edit?usp=sharing"",""ปัตตานี!M178"")+IMPORTRANGE(""https://docs.google.com/spreadsheets/d/16JDLGguT8s5DsGCND1KcwHP_AWR_zDMTqLHPLJUKhaU/edit?usp=sharing"",""พังงา!M178"")+IMPORTRANGE(""https://docs.google.com/spreadsheets/d/17ht0gPKzzT3PObBL1XJkeR"&amp;"mntBXI7wGjpLV7QorqlTk/edit?usp=sharing"",""พัทลุง!M178"")+IMPORTRANGE(""https://docs.google.com/spreadsheets/d/1rd4qoM1q_hsgaolqNGfrim9gbsoLxQsda4-vOz5x_BM/edit?usp=sharing"",""ภูเก็ต!M178"")+IMPORTRANGE(""https://docs.google.com/spreadsheets/d/1woKwKjgoL"&amp;"ssDvPcPeVyezB5izizAn4X1JDrys69n6xI/edit?usp=sharing"",""ยะลา!M178"")+IMPORTRANGE(""https://docs.google.com/spreadsheets/d/1qfrKjzMhm2HJfxQ-qVlJlJQ25Hne1d0khsySbZyGtPA/edit?usp=sharing"",""ระนอง!M178"")+IMPORTRANGE(""https://docs.google.com/spreadsheets/d/"&amp;"1IbSCnFOKpZsnFogBHJnL_isstZVaOMnFiIN0fGTPZZw/edit?usp=sharing"",""สงขลา!M178"")+IMPORTRANGE(""https://docs.google.com/spreadsheets/d/1q9nWasZJ-K8bFGvbE9n0qSRuKGA4Toe3Y89cKCiVtCU/edit?usp=sharing"",""สตูล!M178"")+IMPORTRANGE(""https://docs.google.com/sprea"&amp;"dsheets/d/18T20gbkS_WBjdscyTOV05cvq_JqvqQ17C81mpxf7Ncs/edit?usp=sharing"",""สุราษฎร์ธานี!M178"")"),438690)</f>
        <v>438690</v>
      </c>
      <c r="N178" s="47">
        <f ca="1">IFERROR(__xludf.DUMMYFUNCTION("IMPORTRANGE(""https://docs.google.com/spreadsheets/d/1kKUcYdkIfrgTSj8iHHHB2MD2FAtwyyocFgqGQn6ADyI/edit?usp=sharing"",""กระบี่!N178"")+IMPORTRANGE(""https://docs.google.com/spreadsheets/d/1GwtLaSlNZkLk7iDqcyZz22giiy40b_usZZBXYciEN1U/edit?usp=sharing"",""ชุ"&amp;"มพร!N178"")+IMPORTRANGE(""https://docs.google.com/spreadsheets/d/16pAz3pOhQEZBhvFNMa5KGgZS6iKWpsKX0pg6tQmwFpo/edit?usp=sharing"",""ตรัง!N178"")+IMPORTRANGE(""https://docs.google.com/spreadsheets/d/1Dj4jcHCTV9JXKCaMoheSXS52JE63kDKyG7bPXnFogHk/edit?usp=shar"&amp;"ing"",""นครศรีธรรมราช!N178"")+IMPORTRANGE(""https://docs.google.com/spreadsheets/d/1iodCdmuK2GR3jzUwk8tpccY2JHQQA-87DLOtJP-ooyU/edit?usp=sharing"",""นราธิวาส!N178"")+IMPORTRANGE(""https://docs.google.com/spreadsheets/d/1SDNX3JhDdYRuIOsj0Wh2M-Qa_eaXl0NbWmh"&amp;"AOTbfQAs/edit?usp=sharing"",""ปัตตานี!N178"")+IMPORTRANGE(""https://docs.google.com/spreadsheets/d/16JDLGguT8s5DsGCND1KcwHP_AWR_zDMTqLHPLJUKhaU/edit?usp=sharing"",""พังงา!N178"")+IMPORTRANGE(""https://docs.google.com/spreadsheets/d/17ht0gPKzzT3PObBL1XJkeR"&amp;"mntBXI7wGjpLV7QorqlTk/edit?usp=sharing"",""พัทลุง!N178"")+IMPORTRANGE(""https://docs.google.com/spreadsheets/d/1rd4qoM1q_hsgaolqNGfrim9gbsoLxQsda4-vOz5x_BM/edit?usp=sharing"",""ภูเก็ต!N178"")+IMPORTRANGE(""https://docs.google.com/spreadsheets/d/1woKwKjgoL"&amp;"ssDvPcPeVyezB5izizAn4X1JDrys69n6xI/edit?usp=sharing"",""ยะลา!N178"")+IMPORTRANGE(""https://docs.google.com/spreadsheets/d/1qfrKjzMhm2HJfxQ-qVlJlJQ25Hne1d0khsySbZyGtPA/edit?usp=sharing"",""ระนอง!N178"")+IMPORTRANGE(""https://docs.google.com/spreadsheets/d/"&amp;"1IbSCnFOKpZsnFogBHJnL_isstZVaOMnFiIN0fGTPZZw/edit?usp=sharing"",""สงขลา!N178"")+IMPORTRANGE(""https://docs.google.com/spreadsheets/d/1q9nWasZJ-K8bFGvbE9n0qSRuKGA4Toe3Y89cKCiVtCU/edit?usp=sharing"",""สตูล!N178"")+IMPORTRANGE(""https://docs.google.com/sprea"&amp;"dsheets/d/18T20gbkS_WBjdscyTOV05cvq_JqvqQ17C81mpxf7Ncs/edit?usp=sharing"",""สุราษฎร์ธานี!N178"")"),429226)</f>
        <v>429226</v>
      </c>
      <c r="O178" s="47">
        <f t="shared" ca="1" si="142"/>
        <v>199.18604111559702</v>
      </c>
      <c r="P178" s="47">
        <f t="shared" ca="1" si="143"/>
        <v>97.842667943194513</v>
      </c>
      <c r="Q178" s="47">
        <f ca="1">IFERROR(__xludf.DUMMYFUNCTION("IMPORTRANGE(""https://docs.google.com/spreadsheets/d/1kKUcYdkIfrgTSj8iHHHB2MD2FAtwyyocFgqGQn6ADyI/edit?usp=sharing"",""กระบี่!Q178"")+IMPORTRANGE(""https://docs.google.com/spreadsheets/d/1GwtLaSlNZkLk7iDqcyZz22giiy40b_usZZBXYciEN1U/edit?usp=sharing"",""ชุ"&amp;"มพร!Q178"")+IMPORTRANGE(""https://docs.google.com/spreadsheets/d/16pAz3pOhQEZBhvFNMa5KGgZS6iKWpsKX0pg6tQmwFpo/edit?usp=sharing"",""ตรัง!Q178"")+IMPORTRANGE(""https://docs.google.com/spreadsheets/d/1Dj4jcHCTV9JXKCaMoheSXS52JE63kDKyG7bPXnFogHk/edit?usp=shar"&amp;"ing"",""นครศรีธรรมราช!Q178"")+IMPORTRANGE(""https://docs.google.com/spreadsheets/d/1iodCdmuK2GR3jzUwk8tpccY2JHQQA-87DLOtJP-ooyU/edit?usp=sharing"",""นราธิวาส!Q178"")+IMPORTRANGE(""https://docs.google.com/spreadsheets/d/1SDNX3JhDdYRuIOsj0Wh2M-Qa_eaXl0NbWmh"&amp;"AOTbfQAs/edit?usp=sharing"",""ปัตตานี!Q178"")+IMPORTRANGE(""https://docs.google.com/spreadsheets/d/16JDLGguT8s5DsGCND1KcwHP_AWR_zDMTqLHPLJUKhaU/edit?usp=sharing"",""พังงา!Q178"")+IMPORTRANGE(""https://docs.google.com/spreadsheets/d/17ht0gPKzzT3PObBL1XJkeR"&amp;"mntBXI7wGjpLV7QorqlTk/edit?usp=sharing"",""พัทลุง!Q178"")+IMPORTRANGE(""https://docs.google.com/spreadsheets/d/1rd4qoM1q_hsgaolqNGfrim9gbsoLxQsda4-vOz5x_BM/edit?usp=sharing"",""ภูเก็ต!Q178"")+IMPORTRANGE(""https://docs.google.com/spreadsheets/d/1woKwKjgoL"&amp;"ssDvPcPeVyezB5izizAn4X1JDrys69n6xI/edit?usp=sharing"",""ยะลา!Q178"")+IMPORTRANGE(""https://docs.google.com/spreadsheets/d/1qfrKjzMhm2HJfxQ-qVlJlJQ25Hne1d0khsySbZyGtPA/edit?usp=sharing"",""ระนอง!Q178"")+IMPORTRANGE(""https://docs.google.com/spreadsheets/d/"&amp;"1IbSCnFOKpZsnFogBHJnL_isstZVaOMnFiIN0fGTPZZw/edit?usp=sharing"",""สงขลา!Q178"")+IMPORTRANGE(""https://docs.google.com/spreadsheets/d/1q9nWasZJ-K8bFGvbE9n0qSRuKGA4Toe3Y89cKCiVtCU/edit?usp=sharing"",""สตูล!Q178"")+IMPORTRANGE(""https://docs.google.com/sprea"&amp;"dsheets/d/18T20gbkS_WBjdscyTOV05cvq_JqvqQ17C81mpxf7Ncs/edit?usp=sharing"",""สุราษฎร์ธานี!Q178"")"),0)</f>
        <v>0</v>
      </c>
      <c r="R178" s="47">
        <f ca="1">IFERROR(__xludf.DUMMYFUNCTION("IMPORTRANGE(""https://docs.google.com/spreadsheets/d/1kKUcYdkIfrgTSj8iHHHB2MD2FAtwyyocFgqGQn6ADyI/edit?usp=sharing"",""กระบี่!R178"")+IMPORTRANGE(""https://docs.google.com/spreadsheets/d/1GwtLaSlNZkLk7iDqcyZz22giiy40b_usZZBXYciEN1U/edit?usp=sharing"",""ชุ"&amp;"มพร!R178"")+IMPORTRANGE(""https://docs.google.com/spreadsheets/d/16pAz3pOhQEZBhvFNMa5KGgZS6iKWpsKX0pg6tQmwFpo/edit?usp=sharing"",""ตรัง!R178"")+IMPORTRANGE(""https://docs.google.com/spreadsheets/d/1Dj4jcHCTV9JXKCaMoheSXS52JE63kDKyG7bPXnFogHk/edit?usp=shar"&amp;"ing"",""นครศรีธรรมราช!R178"")+IMPORTRANGE(""https://docs.google.com/spreadsheets/d/1iodCdmuK2GR3jzUwk8tpccY2JHQQA-87DLOtJP-ooyU/edit?usp=sharing"",""นราธิวาส!R178"")+IMPORTRANGE(""https://docs.google.com/spreadsheets/d/1SDNX3JhDdYRuIOsj0Wh2M-Qa_eaXl0NbWmh"&amp;"AOTbfQAs/edit?usp=sharing"",""ปัตตานี!R178"")+IMPORTRANGE(""https://docs.google.com/spreadsheets/d/16JDLGguT8s5DsGCND1KcwHP_AWR_zDMTqLHPLJUKhaU/edit?usp=sharing"",""พังงา!R178"")+IMPORTRANGE(""https://docs.google.com/spreadsheets/d/17ht0gPKzzT3PObBL1XJkeR"&amp;"mntBXI7wGjpLV7QorqlTk/edit?usp=sharing"",""พัทลุง!R178"")+IMPORTRANGE(""https://docs.google.com/spreadsheets/d/1rd4qoM1q_hsgaolqNGfrim9gbsoLxQsda4-vOz5x_BM/edit?usp=sharing"",""ภูเก็ต!R178"")+IMPORTRANGE(""https://docs.google.com/spreadsheets/d/1woKwKjgoL"&amp;"ssDvPcPeVyezB5izizAn4X1JDrys69n6xI/edit?usp=sharing"",""ยะลา!R178"")+IMPORTRANGE(""https://docs.google.com/spreadsheets/d/1qfrKjzMhm2HJfxQ-qVlJlJQ25Hne1d0khsySbZyGtPA/edit?usp=sharing"",""ระนอง!R178"")+IMPORTRANGE(""https://docs.google.com/spreadsheets/d/"&amp;"1IbSCnFOKpZsnFogBHJnL_isstZVaOMnFiIN0fGTPZZw/edit?usp=sharing"",""สงขลา!R178"")+IMPORTRANGE(""https://docs.google.com/spreadsheets/d/1q9nWasZJ-K8bFGvbE9n0qSRuKGA4Toe3Y89cKCiVtCU/edit?usp=sharing"",""สตูล!R178"")+IMPORTRANGE(""https://docs.google.com/sprea"&amp;"dsheets/d/18T20gbkS_WBjdscyTOV05cvq_JqvqQ17C81mpxf7Ncs/edit?usp=sharing"",""สุราษฎร์ธานี!R178"")"),0)</f>
        <v>0</v>
      </c>
      <c r="S178" s="47">
        <f ca="1">IFERROR(__xludf.DUMMYFUNCTION("IMPORTRANGE(""https://docs.google.com/spreadsheets/d/1kKUcYdkIfrgTSj8iHHHB2MD2FAtwyyocFgqGQn6ADyI/edit?usp=sharing"",""กระบี่!S178"")+IMPORTRANGE(""https://docs.google.com/spreadsheets/d/1GwtLaSlNZkLk7iDqcyZz22giiy40b_usZZBXYciEN1U/edit?usp=sharing"",""ชุ"&amp;"มพร!S178"")+IMPORTRANGE(""https://docs.google.com/spreadsheets/d/16pAz3pOhQEZBhvFNMa5KGgZS6iKWpsKX0pg6tQmwFpo/edit?usp=sharing"",""ตรัง!S178"")+IMPORTRANGE(""https://docs.google.com/spreadsheets/d/1Dj4jcHCTV9JXKCaMoheSXS52JE63kDKyG7bPXnFogHk/edit?usp=shar"&amp;"ing"",""นครศรีธรรมราช!S178"")+IMPORTRANGE(""https://docs.google.com/spreadsheets/d/1iodCdmuK2GR3jzUwk8tpccY2JHQQA-87DLOtJP-ooyU/edit?usp=sharing"",""นราธิวาส!S178"")+IMPORTRANGE(""https://docs.google.com/spreadsheets/d/1SDNX3JhDdYRuIOsj0Wh2M-Qa_eaXl0NbWmh"&amp;"AOTbfQAs/edit?usp=sharing"",""ปัตตานี!S178"")+IMPORTRANGE(""https://docs.google.com/spreadsheets/d/16JDLGguT8s5DsGCND1KcwHP_AWR_zDMTqLHPLJUKhaU/edit?usp=sharing"",""พังงา!S178"")+IMPORTRANGE(""https://docs.google.com/spreadsheets/d/17ht0gPKzzT3PObBL1XJkeR"&amp;"mntBXI7wGjpLV7QorqlTk/edit?usp=sharing"",""พัทลุง!S178"")+IMPORTRANGE(""https://docs.google.com/spreadsheets/d/1rd4qoM1q_hsgaolqNGfrim9gbsoLxQsda4-vOz5x_BM/edit?usp=sharing"",""ภูเก็ต!S178"")+IMPORTRANGE(""https://docs.google.com/spreadsheets/d/1woKwKjgoL"&amp;"ssDvPcPeVyezB5izizAn4X1JDrys69n6xI/edit?usp=sharing"",""ยะลา!S178"")+IMPORTRANGE(""https://docs.google.com/spreadsheets/d/1qfrKjzMhm2HJfxQ-qVlJlJQ25Hne1d0khsySbZyGtPA/edit?usp=sharing"",""ระนอง!S178"")+IMPORTRANGE(""https://docs.google.com/spreadsheets/d/"&amp;"1IbSCnFOKpZsnFogBHJnL_isstZVaOMnFiIN0fGTPZZw/edit?usp=sharing"",""สงขลา!S178"")+IMPORTRANGE(""https://docs.google.com/spreadsheets/d/1q9nWasZJ-K8bFGvbE9n0qSRuKGA4Toe3Y89cKCiVtCU/edit?usp=sharing"",""สตูล!S178"")+IMPORTRANGE(""https://docs.google.com/sprea"&amp;"dsheets/d/18T20gbkS_WBjdscyTOV05cvq_JqvqQ17C81mpxf7Ncs/edit?usp=sharing"",""สุราษฎร์ธานี!S178"")"),0)</f>
        <v>0</v>
      </c>
      <c r="T178" s="47">
        <f t="shared" ca="1" si="145"/>
        <v>0</v>
      </c>
      <c r="U178" s="47">
        <f t="shared" ca="1" si="146"/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7">
        <f t="shared" ref="L179:N179" ca="1" si="153">L180+L181</f>
        <v>0</v>
      </c>
      <c r="M179" s="47">
        <f t="shared" ca="1" si="153"/>
        <v>0</v>
      </c>
      <c r="N179" s="47">
        <f t="shared" ca="1" si="153"/>
        <v>0</v>
      </c>
      <c r="O179" s="47">
        <f t="shared" ca="1" si="142"/>
        <v>0</v>
      </c>
      <c r="P179" s="47">
        <f t="shared" ca="1" si="143"/>
        <v>0</v>
      </c>
      <c r="Q179" s="47">
        <f t="shared" ref="Q179:S179" ca="1" si="154">Q180+Q181</f>
        <v>0</v>
      </c>
      <c r="R179" s="47">
        <f t="shared" ca="1" si="154"/>
        <v>0</v>
      </c>
      <c r="S179" s="47">
        <f t="shared" ca="1" si="154"/>
        <v>0</v>
      </c>
      <c r="T179" s="47">
        <f t="shared" ca="1" si="145"/>
        <v>0</v>
      </c>
      <c r="U179" s="47">
        <f t="shared" ca="1" si="146"/>
        <v>0</v>
      </c>
    </row>
    <row r="180" spans="1:21" ht="18.75" hidden="1" x14ac:dyDescent="0.25">
      <c r="A180" s="128"/>
      <c r="B180" s="41"/>
      <c r="C180" s="41"/>
      <c r="D180" s="41"/>
      <c r="E180" s="48" t="s">
        <v>20</v>
      </c>
      <c r="F180" s="41"/>
      <c r="G180" s="43"/>
      <c r="H180" s="134" t="s">
        <v>14</v>
      </c>
      <c r="I180" s="135"/>
      <c r="J180" s="135"/>
      <c r="K180" s="136"/>
      <c r="L180" s="47">
        <f ca="1">IFERROR(__xludf.DUMMYFUNCTION("IMPORTRANGE(""https://docs.google.com/spreadsheets/d/1kKUcYdkIfrgTSj8iHHHB2MD2FAtwyyocFgqGQn6ADyI/edit?usp=sharing"",""กระบี่!L180"")+IMPORTRANGE(""https://docs.google.com/spreadsheets/d/1GwtLaSlNZkLk7iDqcyZz22giiy40b_usZZBXYciEN1U/edit?usp=sharing"",""ชุ"&amp;"มพร!L180"")+IMPORTRANGE(""https://docs.google.com/spreadsheets/d/16pAz3pOhQEZBhvFNMa5KGgZS6iKWpsKX0pg6tQmwFpo/edit?usp=sharing"",""ตรัง!L180"")+IMPORTRANGE(""https://docs.google.com/spreadsheets/d/1Dj4jcHCTV9JXKCaMoheSXS52JE63kDKyG7bPXnFogHk/edit?usp=shar"&amp;"ing"",""นครศรีธรรมราช!L180"")+IMPORTRANGE(""https://docs.google.com/spreadsheets/d/1iodCdmuK2GR3jzUwk8tpccY2JHQQA-87DLOtJP-ooyU/edit?usp=sharing"",""นราธิวาส!L180"")+IMPORTRANGE(""https://docs.google.com/spreadsheets/d/1SDNX3JhDdYRuIOsj0Wh2M-Qa_eaXl0NbWmh"&amp;"AOTbfQAs/edit?usp=sharing"",""ปัตตานี!L180"")+IMPORTRANGE(""https://docs.google.com/spreadsheets/d/16JDLGguT8s5DsGCND1KcwHP_AWR_zDMTqLHPLJUKhaU/edit?usp=sharing"",""พังงา!L180"")+IMPORTRANGE(""https://docs.google.com/spreadsheets/d/17ht0gPKzzT3PObBL1XJkeR"&amp;"mntBXI7wGjpLV7QorqlTk/edit?usp=sharing"",""พัทลุง!L180"")+IMPORTRANGE(""https://docs.google.com/spreadsheets/d/1rd4qoM1q_hsgaolqNGfrim9gbsoLxQsda4-vOz5x_BM/edit?usp=sharing"",""ภูเก็ต!L180"")+IMPORTRANGE(""https://docs.google.com/spreadsheets/d/1woKwKjgoL"&amp;"ssDvPcPeVyezB5izizAn4X1JDrys69n6xI/edit?usp=sharing"",""ยะลา!L180"")+IMPORTRANGE(""https://docs.google.com/spreadsheets/d/1qfrKjzMhm2HJfxQ-qVlJlJQ25Hne1d0khsySbZyGtPA/edit?usp=sharing"",""ระนอง!L180"")+IMPORTRANGE(""https://docs.google.com/spreadsheets/d/"&amp;"1IbSCnFOKpZsnFogBHJnL_isstZVaOMnFiIN0fGTPZZw/edit?usp=sharing"",""สงขลา!L180"")+IMPORTRANGE(""https://docs.google.com/spreadsheets/d/1q9nWasZJ-K8bFGvbE9n0qSRuKGA4Toe3Y89cKCiVtCU/edit?usp=sharing"",""สตูล!L180"")+IMPORTRANGE(""https://docs.google.com/sprea"&amp;"dsheets/d/18T20gbkS_WBjdscyTOV05cvq_JqvqQ17C81mpxf7Ncs/edit?usp=sharing"",""สุราษฎร์ธานี!L180"")"),0)</f>
        <v>0</v>
      </c>
      <c r="M180" s="47">
        <f ca="1">IFERROR(__xludf.DUMMYFUNCTION("IMPORTRANGE(""https://docs.google.com/spreadsheets/d/1kKUcYdkIfrgTSj8iHHHB2MD2FAtwyyocFgqGQn6ADyI/edit?usp=sharing"",""กระบี่!M180"")+IMPORTRANGE(""https://docs.google.com/spreadsheets/d/1GwtLaSlNZkLk7iDqcyZz22giiy40b_usZZBXYciEN1U/edit?usp=sharing"",""ชุ"&amp;"มพร!M180"")+IMPORTRANGE(""https://docs.google.com/spreadsheets/d/16pAz3pOhQEZBhvFNMa5KGgZS6iKWpsKX0pg6tQmwFpo/edit?usp=sharing"",""ตรัง!M180"")+IMPORTRANGE(""https://docs.google.com/spreadsheets/d/1Dj4jcHCTV9JXKCaMoheSXS52JE63kDKyG7bPXnFogHk/edit?usp=shar"&amp;"ing"",""นครศรีธรรมราช!M180"")+IMPORTRANGE(""https://docs.google.com/spreadsheets/d/1iodCdmuK2GR3jzUwk8tpccY2JHQQA-87DLOtJP-ooyU/edit?usp=sharing"",""นราธิวาส!M180"")+IMPORTRANGE(""https://docs.google.com/spreadsheets/d/1SDNX3JhDdYRuIOsj0Wh2M-Qa_eaXl0NbWmh"&amp;"AOTbfQAs/edit?usp=sharing"",""ปัตตานี!M180"")+IMPORTRANGE(""https://docs.google.com/spreadsheets/d/16JDLGguT8s5DsGCND1KcwHP_AWR_zDMTqLHPLJUKhaU/edit?usp=sharing"",""พังงา!M180"")+IMPORTRANGE(""https://docs.google.com/spreadsheets/d/17ht0gPKzzT3PObBL1XJkeR"&amp;"mntBXI7wGjpLV7QorqlTk/edit?usp=sharing"",""พัทลุง!M180"")+IMPORTRANGE(""https://docs.google.com/spreadsheets/d/1rd4qoM1q_hsgaolqNGfrim9gbsoLxQsda4-vOz5x_BM/edit?usp=sharing"",""ภูเก็ต!M180"")+IMPORTRANGE(""https://docs.google.com/spreadsheets/d/1woKwKjgoL"&amp;"ssDvPcPeVyezB5izizAn4X1JDrys69n6xI/edit?usp=sharing"",""ยะลา!M180"")+IMPORTRANGE(""https://docs.google.com/spreadsheets/d/1qfrKjzMhm2HJfxQ-qVlJlJQ25Hne1d0khsySbZyGtPA/edit?usp=sharing"",""ระนอง!M180"")+IMPORTRANGE(""https://docs.google.com/spreadsheets/d/"&amp;"1IbSCnFOKpZsnFogBHJnL_isstZVaOMnFiIN0fGTPZZw/edit?usp=sharing"",""สงขลา!M180"")+IMPORTRANGE(""https://docs.google.com/spreadsheets/d/1q9nWasZJ-K8bFGvbE9n0qSRuKGA4Toe3Y89cKCiVtCU/edit?usp=sharing"",""สตูล!M180"")+IMPORTRANGE(""https://docs.google.com/sprea"&amp;"dsheets/d/18T20gbkS_WBjdscyTOV05cvq_JqvqQ17C81mpxf7Ncs/edit?usp=sharing"",""สุราษฎร์ธานี!M180"")"),0)</f>
        <v>0</v>
      </c>
      <c r="N180" s="47">
        <f ca="1">IFERROR(__xludf.DUMMYFUNCTION("IMPORTRANGE(""https://docs.google.com/spreadsheets/d/1kKUcYdkIfrgTSj8iHHHB2MD2FAtwyyocFgqGQn6ADyI/edit?usp=sharing"",""กระบี่!N180"")+IMPORTRANGE(""https://docs.google.com/spreadsheets/d/1GwtLaSlNZkLk7iDqcyZz22giiy40b_usZZBXYciEN1U/edit?usp=sharing"",""ชุ"&amp;"มพร!N180"")+IMPORTRANGE(""https://docs.google.com/spreadsheets/d/16pAz3pOhQEZBhvFNMa5KGgZS6iKWpsKX0pg6tQmwFpo/edit?usp=sharing"",""ตรัง!N180"")+IMPORTRANGE(""https://docs.google.com/spreadsheets/d/1Dj4jcHCTV9JXKCaMoheSXS52JE63kDKyG7bPXnFogHk/edit?usp=shar"&amp;"ing"",""นครศรีธรรมราช!N180"")+IMPORTRANGE(""https://docs.google.com/spreadsheets/d/1iodCdmuK2GR3jzUwk8tpccY2JHQQA-87DLOtJP-ooyU/edit?usp=sharing"",""นราธิวาส!N180"")+IMPORTRANGE(""https://docs.google.com/spreadsheets/d/1SDNX3JhDdYRuIOsj0Wh2M-Qa_eaXl0NbWmh"&amp;"AOTbfQAs/edit?usp=sharing"",""ปัตตานี!N180"")+IMPORTRANGE(""https://docs.google.com/spreadsheets/d/16JDLGguT8s5DsGCND1KcwHP_AWR_zDMTqLHPLJUKhaU/edit?usp=sharing"",""พังงา!N180"")+IMPORTRANGE(""https://docs.google.com/spreadsheets/d/17ht0gPKzzT3PObBL1XJkeR"&amp;"mntBXI7wGjpLV7QorqlTk/edit?usp=sharing"",""พัทลุง!N180"")+IMPORTRANGE(""https://docs.google.com/spreadsheets/d/1rd4qoM1q_hsgaolqNGfrim9gbsoLxQsda4-vOz5x_BM/edit?usp=sharing"",""ภูเก็ต!N180"")+IMPORTRANGE(""https://docs.google.com/spreadsheets/d/1woKwKjgoL"&amp;"ssDvPcPeVyezB5izizAn4X1JDrys69n6xI/edit?usp=sharing"",""ยะลา!N180"")+IMPORTRANGE(""https://docs.google.com/spreadsheets/d/1qfrKjzMhm2HJfxQ-qVlJlJQ25Hne1d0khsySbZyGtPA/edit?usp=sharing"",""ระนอง!N180"")+IMPORTRANGE(""https://docs.google.com/spreadsheets/d/"&amp;"1IbSCnFOKpZsnFogBHJnL_isstZVaOMnFiIN0fGTPZZw/edit?usp=sharing"",""สงขลา!N180"")+IMPORTRANGE(""https://docs.google.com/spreadsheets/d/1q9nWasZJ-K8bFGvbE9n0qSRuKGA4Toe3Y89cKCiVtCU/edit?usp=sharing"",""สตูล!N180"")+IMPORTRANGE(""https://docs.google.com/sprea"&amp;"dsheets/d/18T20gbkS_WBjdscyTOV05cvq_JqvqQ17C81mpxf7Ncs/edit?usp=sharing"",""สุราษฎร์ธานี!N180"")"),0)</f>
        <v>0</v>
      </c>
      <c r="O180" s="47">
        <f t="shared" ca="1" si="142"/>
        <v>0</v>
      </c>
      <c r="P180" s="47">
        <f t="shared" ca="1" si="143"/>
        <v>0</v>
      </c>
      <c r="Q180" s="47">
        <f ca="1">IFERROR(__xludf.DUMMYFUNCTION("IMPORTRANGE(""https://docs.google.com/spreadsheets/d/1kKUcYdkIfrgTSj8iHHHB2MD2FAtwyyocFgqGQn6ADyI/edit?usp=sharing"",""กระบี่!Q180"")+IMPORTRANGE(""https://docs.google.com/spreadsheets/d/1GwtLaSlNZkLk7iDqcyZz22giiy40b_usZZBXYciEN1U/edit?usp=sharing"",""ชุ"&amp;"มพร!Q180"")+IMPORTRANGE(""https://docs.google.com/spreadsheets/d/16pAz3pOhQEZBhvFNMa5KGgZS6iKWpsKX0pg6tQmwFpo/edit?usp=sharing"",""ตรัง!Q180"")+IMPORTRANGE(""https://docs.google.com/spreadsheets/d/1Dj4jcHCTV9JXKCaMoheSXS52JE63kDKyG7bPXnFogHk/edit?usp=shar"&amp;"ing"",""นครศรีธรรมราช!Q180"")+IMPORTRANGE(""https://docs.google.com/spreadsheets/d/1iodCdmuK2GR3jzUwk8tpccY2JHQQA-87DLOtJP-ooyU/edit?usp=sharing"",""นราธิวาส!Q180"")+IMPORTRANGE(""https://docs.google.com/spreadsheets/d/1SDNX3JhDdYRuIOsj0Wh2M-Qa_eaXl0NbWmh"&amp;"AOTbfQAs/edit?usp=sharing"",""ปัตตานี!Q180"")+IMPORTRANGE(""https://docs.google.com/spreadsheets/d/16JDLGguT8s5DsGCND1KcwHP_AWR_zDMTqLHPLJUKhaU/edit?usp=sharing"",""พังงา!Q180"")+IMPORTRANGE(""https://docs.google.com/spreadsheets/d/17ht0gPKzzT3PObBL1XJkeR"&amp;"mntBXI7wGjpLV7QorqlTk/edit?usp=sharing"",""พัทลุง!Q180"")+IMPORTRANGE(""https://docs.google.com/spreadsheets/d/1rd4qoM1q_hsgaolqNGfrim9gbsoLxQsda4-vOz5x_BM/edit?usp=sharing"",""ภูเก็ต!Q180"")+IMPORTRANGE(""https://docs.google.com/spreadsheets/d/1woKwKjgoL"&amp;"ssDvPcPeVyezB5izizAn4X1JDrys69n6xI/edit?usp=sharing"",""ยะลา!Q180"")+IMPORTRANGE(""https://docs.google.com/spreadsheets/d/1qfrKjzMhm2HJfxQ-qVlJlJQ25Hne1d0khsySbZyGtPA/edit?usp=sharing"",""ระนอง!Q180"")+IMPORTRANGE(""https://docs.google.com/spreadsheets/d/"&amp;"1IbSCnFOKpZsnFogBHJnL_isstZVaOMnFiIN0fGTPZZw/edit?usp=sharing"",""สงขลา!Q180"")+IMPORTRANGE(""https://docs.google.com/spreadsheets/d/1q9nWasZJ-K8bFGvbE9n0qSRuKGA4Toe3Y89cKCiVtCU/edit?usp=sharing"",""สตูล!Q180"")+IMPORTRANGE(""https://docs.google.com/sprea"&amp;"dsheets/d/18T20gbkS_WBjdscyTOV05cvq_JqvqQ17C81mpxf7Ncs/edit?usp=sharing"",""สุราษฎร์ธานี!Q180"")"),0)</f>
        <v>0</v>
      </c>
      <c r="R180" s="47">
        <f ca="1">IFERROR(__xludf.DUMMYFUNCTION("IMPORTRANGE(""https://docs.google.com/spreadsheets/d/1kKUcYdkIfrgTSj8iHHHB2MD2FAtwyyocFgqGQn6ADyI/edit?usp=sharing"",""กระบี่!R180"")+IMPORTRANGE(""https://docs.google.com/spreadsheets/d/1GwtLaSlNZkLk7iDqcyZz22giiy40b_usZZBXYciEN1U/edit?usp=sharing"",""ชุ"&amp;"มพร!R180"")+IMPORTRANGE(""https://docs.google.com/spreadsheets/d/16pAz3pOhQEZBhvFNMa5KGgZS6iKWpsKX0pg6tQmwFpo/edit?usp=sharing"",""ตรัง!R180"")+IMPORTRANGE(""https://docs.google.com/spreadsheets/d/1Dj4jcHCTV9JXKCaMoheSXS52JE63kDKyG7bPXnFogHk/edit?usp=shar"&amp;"ing"",""นครศรีธรรมราช!R180"")+IMPORTRANGE(""https://docs.google.com/spreadsheets/d/1iodCdmuK2GR3jzUwk8tpccY2JHQQA-87DLOtJP-ooyU/edit?usp=sharing"",""นราธิวาส!R180"")+IMPORTRANGE(""https://docs.google.com/spreadsheets/d/1SDNX3JhDdYRuIOsj0Wh2M-Qa_eaXl0NbWmh"&amp;"AOTbfQAs/edit?usp=sharing"",""ปัตตานี!R180"")+IMPORTRANGE(""https://docs.google.com/spreadsheets/d/16JDLGguT8s5DsGCND1KcwHP_AWR_zDMTqLHPLJUKhaU/edit?usp=sharing"",""พังงา!R180"")+IMPORTRANGE(""https://docs.google.com/spreadsheets/d/17ht0gPKzzT3PObBL1XJkeR"&amp;"mntBXI7wGjpLV7QorqlTk/edit?usp=sharing"",""พัทลุง!R180"")+IMPORTRANGE(""https://docs.google.com/spreadsheets/d/1rd4qoM1q_hsgaolqNGfrim9gbsoLxQsda4-vOz5x_BM/edit?usp=sharing"",""ภูเก็ต!R180"")+IMPORTRANGE(""https://docs.google.com/spreadsheets/d/1woKwKjgoL"&amp;"ssDvPcPeVyezB5izizAn4X1JDrys69n6xI/edit?usp=sharing"",""ยะลา!R180"")+IMPORTRANGE(""https://docs.google.com/spreadsheets/d/1qfrKjzMhm2HJfxQ-qVlJlJQ25Hne1d0khsySbZyGtPA/edit?usp=sharing"",""ระนอง!R180"")+IMPORTRANGE(""https://docs.google.com/spreadsheets/d/"&amp;"1IbSCnFOKpZsnFogBHJnL_isstZVaOMnFiIN0fGTPZZw/edit?usp=sharing"",""สงขลา!R180"")+IMPORTRANGE(""https://docs.google.com/spreadsheets/d/1q9nWasZJ-K8bFGvbE9n0qSRuKGA4Toe3Y89cKCiVtCU/edit?usp=sharing"",""สตูล!R180"")+IMPORTRANGE(""https://docs.google.com/sprea"&amp;"dsheets/d/18T20gbkS_WBjdscyTOV05cvq_JqvqQ17C81mpxf7Ncs/edit?usp=sharing"",""สุราษฎร์ธานี!R180"")"),0)</f>
        <v>0</v>
      </c>
      <c r="S180" s="47">
        <f ca="1">IFERROR(__xludf.DUMMYFUNCTION("IMPORTRANGE(""https://docs.google.com/spreadsheets/d/1kKUcYdkIfrgTSj8iHHHB2MD2FAtwyyocFgqGQn6ADyI/edit?usp=sharing"",""กระบี่!S180"")+IMPORTRANGE(""https://docs.google.com/spreadsheets/d/1GwtLaSlNZkLk7iDqcyZz22giiy40b_usZZBXYciEN1U/edit?usp=sharing"",""ชุ"&amp;"มพร!S180"")+IMPORTRANGE(""https://docs.google.com/spreadsheets/d/16pAz3pOhQEZBhvFNMa5KGgZS6iKWpsKX0pg6tQmwFpo/edit?usp=sharing"",""ตรัง!S180"")+IMPORTRANGE(""https://docs.google.com/spreadsheets/d/1Dj4jcHCTV9JXKCaMoheSXS52JE63kDKyG7bPXnFogHk/edit?usp=shar"&amp;"ing"",""นครศรีธรรมราช!S180"")+IMPORTRANGE(""https://docs.google.com/spreadsheets/d/1iodCdmuK2GR3jzUwk8tpccY2JHQQA-87DLOtJP-ooyU/edit?usp=sharing"",""นราธิวาส!S180"")+IMPORTRANGE(""https://docs.google.com/spreadsheets/d/1SDNX3JhDdYRuIOsj0Wh2M-Qa_eaXl0NbWmh"&amp;"AOTbfQAs/edit?usp=sharing"",""ปัตตานี!S180"")+IMPORTRANGE(""https://docs.google.com/spreadsheets/d/16JDLGguT8s5DsGCND1KcwHP_AWR_zDMTqLHPLJUKhaU/edit?usp=sharing"",""พังงา!S180"")+IMPORTRANGE(""https://docs.google.com/spreadsheets/d/17ht0gPKzzT3PObBL1XJkeR"&amp;"mntBXI7wGjpLV7QorqlTk/edit?usp=sharing"",""พัทลุง!S180"")+IMPORTRANGE(""https://docs.google.com/spreadsheets/d/1rd4qoM1q_hsgaolqNGfrim9gbsoLxQsda4-vOz5x_BM/edit?usp=sharing"",""ภูเก็ต!S180"")+IMPORTRANGE(""https://docs.google.com/spreadsheets/d/1woKwKjgoL"&amp;"ssDvPcPeVyezB5izizAn4X1JDrys69n6xI/edit?usp=sharing"",""ยะลา!S180"")+IMPORTRANGE(""https://docs.google.com/spreadsheets/d/1qfrKjzMhm2HJfxQ-qVlJlJQ25Hne1d0khsySbZyGtPA/edit?usp=sharing"",""ระนอง!S180"")+IMPORTRANGE(""https://docs.google.com/spreadsheets/d/"&amp;"1IbSCnFOKpZsnFogBHJnL_isstZVaOMnFiIN0fGTPZZw/edit?usp=sharing"",""สงขลา!S180"")+IMPORTRANGE(""https://docs.google.com/spreadsheets/d/1q9nWasZJ-K8bFGvbE9n0qSRuKGA4Toe3Y89cKCiVtCU/edit?usp=sharing"",""สตูล!S180"")+IMPORTRANGE(""https://docs.google.com/sprea"&amp;"dsheets/d/18T20gbkS_WBjdscyTOV05cvq_JqvqQ17C81mpxf7Ncs/edit?usp=sharing"",""สุราษฎร์ธานี!S180"")"),0)</f>
        <v>0</v>
      </c>
      <c r="T180" s="49">
        <f t="shared" ca="1" si="145"/>
        <v>0</v>
      </c>
      <c r="U180" s="49">
        <f t="shared" ca="1" si="146"/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7">
        <f ca="1">IFERROR(__xludf.DUMMYFUNCTION("IMPORTRANGE(""https://docs.google.com/spreadsheets/d/1kKUcYdkIfrgTSj8iHHHB2MD2FAtwyyocFgqGQn6ADyI/edit?usp=sharing"",""กระบี่!L181"")+IMPORTRANGE(""https://docs.google.com/spreadsheets/d/1GwtLaSlNZkLk7iDqcyZz22giiy40b_usZZBXYciEN1U/edit?usp=sharing"",""ชุ"&amp;"มพร!L181"")+IMPORTRANGE(""https://docs.google.com/spreadsheets/d/16pAz3pOhQEZBhvFNMa5KGgZS6iKWpsKX0pg6tQmwFpo/edit?usp=sharing"",""ตรัง!L181"")+IMPORTRANGE(""https://docs.google.com/spreadsheets/d/1Dj4jcHCTV9JXKCaMoheSXS52JE63kDKyG7bPXnFogHk/edit?usp=shar"&amp;"ing"",""นครศรีธรรมราช!L181"")+IMPORTRANGE(""https://docs.google.com/spreadsheets/d/1iodCdmuK2GR3jzUwk8tpccY2JHQQA-87DLOtJP-ooyU/edit?usp=sharing"",""นราธิวาส!L181"")+IMPORTRANGE(""https://docs.google.com/spreadsheets/d/1SDNX3JhDdYRuIOsj0Wh2M-Qa_eaXl0NbWmh"&amp;"AOTbfQAs/edit?usp=sharing"",""ปัตตานี!L181"")+IMPORTRANGE(""https://docs.google.com/spreadsheets/d/16JDLGguT8s5DsGCND1KcwHP_AWR_zDMTqLHPLJUKhaU/edit?usp=sharing"",""พังงา!L181"")+IMPORTRANGE(""https://docs.google.com/spreadsheets/d/17ht0gPKzzT3PObBL1XJkeR"&amp;"mntBXI7wGjpLV7QorqlTk/edit?usp=sharing"",""พัทลุง!L181"")+IMPORTRANGE(""https://docs.google.com/spreadsheets/d/1rd4qoM1q_hsgaolqNGfrim9gbsoLxQsda4-vOz5x_BM/edit?usp=sharing"",""ภูเก็ต!L181"")+IMPORTRANGE(""https://docs.google.com/spreadsheets/d/1woKwKjgoL"&amp;"ssDvPcPeVyezB5izizAn4X1JDrys69n6xI/edit?usp=sharing"",""ยะลา!L181"")+IMPORTRANGE(""https://docs.google.com/spreadsheets/d/1qfrKjzMhm2HJfxQ-qVlJlJQ25Hne1d0khsySbZyGtPA/edit?usp=sharing"",""ระนอง!L181"")+IMPORTRANGE(""https://docs.google.com/spreadsheets/d/"&amp;"1IbSCnFOKpZsnFogBHJnL_isstZVaOMnFiIN0fGTPZZw/edit?usp=sharing"",""สงขลา!L181"")+IMPORTRANGE(""https://docs.google.com/spreadsheets/d/1q9nWasZJ-K8bFGvbE9n0qSRuKGA4Toe3Y89cKCiVtCU/edit?usp=sharing"",""สตูล!L181"")+IMPORTRANGE(""https://docs.google.com/sprea"&amp;"dsheets/d/18T20gbkS_WBjdscyTOV05cvq_JqvqQ17C81mpxf7Ncs/edit?usp=sharing"",""สุราษฎร์ธานี!L181"")"),0)</f>
        <v>0</v>
      </c>
      <c r="M181" s="47">
        <f ca="1">IFERROR(__xludf.DUMMYFUNCTION("IMPORTRANGE(""https://docs.google.com/spreadsheets/d/1kKUcYdkIfrgTSj8iHHHB2MD2FAtwyyocFgqGQn6ADyI/edit?usp=sharing"",""กระบี่!M181"")+IMPORTRANGE(""https://docs.google.com/spreadsheets/d/1GwtLaSlNZkLk7iDqcyZz22giiy40b_usZZBXYciEN1U/edit?usp=sharing"",""ชุ"&amp;"มพร!M181"")+IMPORTRANGE(""https://docs.google.com/spreadsheets/d/16pAz3pOhQEZBhvFNMa5KGgZS6iKWpsKX0pg6tQmwFpo/edit?usp=sharing"",""ตรัง!M181"")+IMPORTRANGE(""https://docs.google.com/spreadsheets/d/1Dj4jcHCTV9JXKCaMoheSXS52JE63kDKyG7bPXnFogHk/edit?usp=shar"&amp;"ing"",""นครศรีธรรมราช!M181"")+IMPORTRANGE(""https://docs.google.com/spreadsheets/d/1iodCdmuK2GR3jzUwk8tpccY2JHQQA-87DLOtJP-ooyU/edit?usp=sharing"",""นราธิวาส!M181"")+IMPORTRANGE(""https://docs.google.com/spreadsheets/d/1SDNX3JhDdYRuIOsj0Wh2M-Qa_eaXl0NbWmh"&amp;"AOTbfQAs/edit?usp=sharing"",""ปัตตานี!M181"")+IMPORTRANGE(""https://docs.google.com/spreadsheets/d/16JDLGguT8s5DsGCND1KcwHP_AWR_zDMTqLHPLJUKhaU/edit?usp=sharing"",""พังงา!M181"")+IMPORTRANGE(""https://docs.google.com/spreadsheets/d/17ht0gPKzzT3PObBL1XJkeR"&amp;"mntBXI7wGjpLV7QorqlTk/edit?usp=sharing"",""พัทลุง!M181"")+IMPORTRANGE(""https://docs.google.com/spreadsheets/d/1rd4qoM1q_hsgaolqNGfrim9gbsoLxQsda4-vOz5x_BM/edit?usp=sharing"",""ภูเก็ต!M181"")+IMPORTRANGE(""https://docs.google.com/spreadsheets/d/1woKwKjgoL"&amp;"ssDvPcPeVyezB5izizAn4X1JDrys69n6xI/edit?usp=sharing"",""ยะลา!M181"")+IMPORTRANGE(""https://docs.google.com/spreadsheets/d/1qfrKjzMhm2HJfxQ-qVlJlJQ25Hne1d0khsySbZyGtPA/edit?usp=sharing"",""ระนอง!M181"")+IMPORTRANGE(""https://docs.google.com/spreadsheets/d/"&amp;"1IbSCnFOKpZsnFogBHJnL_isstZVaOMnFiIN0fGTPZZw/edit?usp=sharing"",""สงขลา!M181"")+IMPORTRANGE(""https://docs.google.com/spreadsheets/d/1q9nWasZJ-K8bFGvbE9n0qSRuKGA4Toe3Y89cKCiVtCU/edit?usp=sharing"",""สตูล!M181"")+IMPORTRANGE(""https://docs.google.com/sprea"&amp;"dsheets/d/18T20gbkS_WBjdscyTOV05cvq_JqvqQ17C81mpxf7Ncs/edit?usp=sharing"",""สุราษฎร์ธานี!M181"")"),0)</f>
        <v>0</v>
      </c>
      <c r="N181" s="47">
        <f ca="1">IFERROR(__xludf.DUMMYFUNCTION("IMPORTRANGE(""https://docs.google.com/spreadsheets/d/1kKUcYdkIfrgTSj8iHHHB2MD2FAtwyyocFgqGQn6ADyI/edit?usp=sharing"",""กระบี่!N181"")+IMPORTRANGE(""https://docs.google.com/spreadsheets/d/1GwtLaSlNZkLk7iDqcyZz22giiy40b_usZZBXYciEN1U/edit?usp=sharing"",""ชุ"&amp;"มพร!N181"")+IMPORTRANGE(""https://docs.google.com/spreadsheets/d/16pAz3pOhQEZBhvFNMa5KGgZS6iKWpsKX0pg6tQmwFpo/edit?usp=sharing"",""ตรัง!N181"")+IMPORTRANGE(""https://docs.google.com/spreadsheets/d/1Dj4jcHCTV9JXKCaMoheSXS52JE63kDKyG7bPXnFogHk/edit?usp=shar"&amp;"ing"",""นครศรีธรรมราช!N181"")+IMPORTRANGE(""https://docs.google.com/spreadsheets/d/1iodCdmuK2GR3jzUwk8tpccY2JHQQA-87DLOtJP-ooyU/edit?usp=sharing"",""นราธิวาส!N181"")+IMPORTRANGE(""https://docs.google.com/spreadsheets/d/1SDNX3JhDdYRuIOsj0Wh2M-Qa_eaXl0NbWmh"&amp;"AOTbfQAs/edit?usp=sharing"",""ปัตตานี!N181"")+IMPORTRANGE(""https://docs.google.com/spreadsheets/d/16JDLGguT8s5DsGCND1KcwHP_AWR_zDMTqLHPLJUKhaU/edit?usp=sharing"",""พังงา!N181"")+IMPORTRANGE(""https://docs.google.com/spreadsheets/d/17ht0gPKzzT3PObBL1XJkeR"&amp;"mntBXI7wGjpLV7QorqlTk/edit?usp=sharing"",""พัทลุง!N181"")+IMPORTRANGE(""https://docs.google.com/spreadsheets/d/1rd4qoM1q_hsgaolqNGfrim9gbsoLxQsda4-vOz5x_BM/edit?usp=sharing"",""ภูเก็ต!N181"")+IMPORTRANGE(""https://docs.google.com/spreadsheets/d/1woKwKjgoL"&amp;"ssDvPcPeVyezB5izizAn4X1JDrys69n6xI/edit?usp=sharing"",""ยะลา!N181"")+IMPORTRANGE(""https://docs.google.com/spreadsheets/d/1qfrKjzMhm2HJfxQ-qVlJlJQ25Hne1d0khsySbZyGtPA/edit?usp=sharing"",""ระนอง!N181"")+IMPORTRANGE(""https://docs.google.com/spreadsheets/d/"&amp;"1IbSCnFOKpZsnFogBHJnL_isstZVaOMnFiIN0fGTPZZw/edit?usp=sharing"",""สงขลา!N181"")+IMPORTRANGE(""https://docs.google.com/spreadsheets/d/1q9nWasZJ-K8bFGvbE9n0qSRuKGA4Toe3Y89cKCiVtCU/edit?usp=sharing"",""สตูล!N181"")+IMPORTRANGE(""https://docs.google.com/sprea"&amp;"dsheets/d/18T20gbkS_WBjdscyTOV05cvq_JqvqQ17C81mpxf7Ncs/edit?usp=sharing"",""สุราษฎร์ธานี!N181"")"),0)</f>
        <v>0</v>
      </c>
      <c r="O181" s="47">
        <f t="shared" ca="1" si="142"/>
        <v>0</v>
      </c>
      <c r="P181" s="47">
        <f t="shared" ca="1" si="143"/>
        <v>0</v>
      </c>
      <c r="Q181" s="47">
        <f ca="1">IFERROR(__xludf.DUMMYFUNCTION("IMPORTRANGE(""https://docs.google.com/spreadsheets/d/1kKUcYdkIfrgTSj8iHHHB2MD2FAtwyyocFgqGQn6ADyI/edit?usp=sharing"",""กระบี่!Q181"")+IMPORTRANGE(""https://docs.google.com/spreadsheets/d/1GwtLaSlNZkLk7iDqcyZz22giiy40b_usZZBXYciEN1U/edit?usp=sharing"",""ชุ"&amp;"มพร!Q181"")+IMPORTRANGE(""https://docs.google.com/spreadsheets/d/16pAz3pOhQEZBhvFNMa5KGgZS6iKWpsKX0pg6tQmwFpo/edit?usp=sharing"",""ตรัง!Q181"")+IMPORTRANGE(""https://docs.google.com/spreadsheets/d/1Dj4jcHCTV9JXKCaMoheSXS52JE63kDKyG7bPXnFogHk/edit?usp=shar"&amp;"ing"",""นครศรีธรรมราช!Q181"")+IMPORTRANGE(""https://docs.google.com/spreadsheets/d/1iodCdmuK2GR3jzUwk8tpccY2JHQQA-87DLOtJP-ooyU/edit?usp=sharing"",""นราธิวาส!Q181"")+IMPORTRANGE(""https://docs.google.com/spreadsheets/d/1SDNX3JhDdYRuIOsj0Wh2M-Qa_eaXl0NbWmh"&amp;"AOTbfQAs/edit?usp=sharing"",""ปัตตานี!Q181"")+IMPORTRANGE(""https://docs.google.com/spreadsheets/d/16JDLGguT8s5DsGCND1KcwHP_AWR_zDMTqLHPLJUKhaU/edit?usp=sharing"",""พังงา!Q181"")+IMPORTRANGE(""https://docs.google.com/spreadsheets/d/17ht0gPKzzT3PObBL1XJkeR"&amp;"mntBXI7wGjpLV7QorqlTk/edit?usp=sharing"",""พัทลุง!Q181"")+IMPORTRANGE(""https://docs.google.com/spreadsheets/d/1rd4qoM1q_hsgaolqNGfrim9gbsoLxQsda4-vOz5x_BM/edit?usp=sharing"",""ภูเก็ต!Q181"")+IMPORTRANGE(""https://docs.google.com/spreadsheets/d/1woKwKjgoL"&amp;"ssDvPcPeVyezB5izizAn4X1JDrys69n6xI/edit?usp=sharing"",""ยะลา!Q181"")+IMPORTRANGE(""https://docs.google.com/spreadsheets/d/1qfrKjzMhm2HJfxQ-qVlJlJQ25Hne1d0khsySbZyGtPA/edit?usp=sharing"",""ระนอง!Q181"")+IMPORTRANGE(""https://docs.google.com/spreadsheets/d/"&amp;"1IbSCnFOKpZsnFogBHJnL_isstZVaOMnFiIN0fGTPZZw/edit?usp=sharing"",""สงขลา!Q181"")+IMPORTRANGE(""https://docs.google.com/spreadsheets/d/1q9nWasZJ-K8bFGvbE9n0qSRuKGA4Toe3Y89cKCiVtCU/edit?usp=sharing"",""สตูล!Q181"")+IMPORTRANGE(""https://docs.google.com/sprea"&amp;"dsheets/d/18T20gbkS_WBjdscyTOV05cvq_JqvqQ17C81mpxf7Ncs/edit?usp=sharing"",""สุราษฎร์ธานี!Q181"")"),0)</f>
        <v>0</v>
      </c>
      <c r="R181" s="47">
        <f ca="1">IFERROR(__xludf.DUMMYFUNCTION("IMPORTRANGE(""https://docs.google.com/spreadsheets/d/1kKUcYdkIfrgTSj8iHHHB2MD2FAtwyyocFgqGQn6ADyI/edit?usp=sharing"",""กระบี่!R181"")+IMPORTRANGE(""https://docs.google.com/spreadsheets/d/1GwtLaSlNZkLk7iDqcyZz22giiy40b_usZZBXYciEN1U/edit?usp=sharing"",""ชุ"&amp;"มพร!R181"")+IMPORTRANGE(""https://docs.google.com/spreadsheets/d/16pAz3pOhQEZBhvFNMa5KGgZS6iKWpsKX0pg6tQmwFpo/edit?usp=sharing"",""ตรัง!R181"")+IMPORTRANGE(""https://docs.google.com/spreadsheets/d/1Dj4jcHCTV9JXKCaMoheSXS52JE63kDKyG7bPXnFogHk/edit?usp=shar"&amp;"ing"",""นครศรีธรรมราช!R181"")+IMPORTRANGE(""https://docs.google.com/spreadsheets/d/1iodCdmuK2GR3jzUwk8tpccY2JHQQA-87DLOtJP-ooyU/edit?usp=sharing"",""นราธิวาส!R181"")+IMPORTRANGE(""https://docs.google.com/spreadsheets/d/1SDNX3JhDdYRuIOsj0Wh2M-Qa_eaXl0NbWmh"&amp;"AOTbfQAs/edit?usp=sharing"",""ปัตตานี!R181"")+IMPORTRANGE(""https://docs.google.com/spreadsheets/d/16JDLGguT8s5DsGCND1KcwHP_AWR_zDMTqLHPLJUKhaU/edit?usp=sharing"",""พังงา!R181"")+IMPORTRANGE(""https://docs.google.com/spreadsheets/d/17ht0gPKzzT3PObBL1XJkeR"&amp;"mntBXI7wGjpLV7QorqlTk/edit?usp=sharing"",""พัทลุง!R181"")+IMPORTRANGE(""https://docs.google.com/spreadsheets/d/1rd4qoM1q_hsgaolqNGfrim9gbsoLxQsda4-vOz5x_BM/edit?usp=sharing"",""ภูเก็ต!R181"")+IMPORTRANGE(""https://docs.google.com/spreadsheets/d/1woKwKjgoL"&amp;"ssDvPcPeVyezB5izizAn4X1JDrys69n6xI/edit?usp=sharing"",""ยะลา!R181"")+IMPORTRANGE(""https://docs.google.com/spreadsheets/d/1qfrKjzMhm2HJfxQ-qVlJlJQ25Hne1d0khsySbZyGtPA/edit?usp=sharing"",""ระนอง!R181"")+IMPORTRANGE(""https://docs.google.com/spreadsheets/d/"&amp;"1IbSCnFOKpZsnFogBHJnL_isstZVaOMnFiIN0fGTPZZw/edit?usp=sharing"",""สงขลา!R181"")+IMPORTRANGE(""https://docs.google.com/spreadsheets/d/1q9nWasZJ-K8bFGvbE9n0qSRuKGA4Toe3Y89cKCiVtCU/edit?usp=sharing"",""สตูล!R181"")+IMPORTRANGE(""https://docs.google.com/sprea"&amp;"dsheets/d/18T20gbkS_WBjdscyTOV05cvq_JqvqQ17C81mpxf7Ncs/edit?usp=sharing"",""สุราษฎร์ธานี!R181"")"),0)</f>
        <v>0</v>
      </c>
      <c r="S181" s="47">
        <f ca="1">IFERROR(__xludf.DUMMYFUNCTION("IMPORTRANGE(""https://docs.google.com/spreadsheets/d/1kKUcYdkIfrgTSj8iHHHB2MD2FAtwyyocFgqGQn6ADyI/edit?usp=sharing"",""กระบี่!S181"")+IMPORTRANGE(""https://docs.google.com/spreadsheets/d/1GwtLaSlNZkLk7iDqcyZz22giiy40b_usZZBXYciEN1U/edit?usp=sharing"",""ชุ"&amp;"มพร!S181"")+IMPORTRANGE(""https://docs.google.com/spreadsheets/d/16pAz3pOhQEZBhvFNMa5KGgZS6iKWpsKX0pg6tQmwFpo/edit?usp=sharing"",""ตรัง!S181"")+IMPORTRANGE(""https://docs.google.com/spreadsheets/d/1Dj4jcHCTV9JXKCaMoheSXS52JE63kDKyG7bPXnFogHk/edit?usp=shar"&amp;"ing"",""นครศรีธรรมราช!S181"")+IMPORTRANGE(""https://docs.google.com/spreadsheets/d/1iodCdmuK2GR3jzUwk8tpccY2JHQQA-87DLOtJP-ooyU/edit?usp=sharing"",""นราธิวาส!S181"")+IMPORTRANGE(""https://docs.google.com/spreadsheets/d/1SDNX3JhDdYRuIOsj0Wh2M-Qa_eaXl0NbWmh"&amp;"AOTbfQAs/edit?usp=sharing"",""ปัตตานี!S181"")+IMPORTRANGE(""https://docs.google.com/spreadsheets/d/16JDLGguT8s5DsGCND1KcwHP_AWR_zDMTqLHPLJUKhaU/edit?usp=sharing"",""พังงา!S181"")+IMPORTRANGE(""https://docs.google.com/spreadsheets/d/17ht0gPKzzT3PObBL1XJkeR"&amp;"mntBXI7wGjpLV7QorqlTk/edit?usp=sharing"",""พัทลุง!S181"")+IMPORTRANGE(""https://docs.google.com/spreadsheets/d/1rd4qoM1q_hsgaolqNGfrim9gbsoLxQsda4-vOz5x_BM/edit?usp=sharing"",""ภูเก็ต!S181"")+IMPORTRANGE(""https://docs.google.com/spreadsheets/d/1woKwKjgoL"&amp;"ssDvPcPeVyezB5izizAn4X1JDrys69n6xI/edit?usp=sharing"",""ยะลา!S181"")+IMPORTRANGE(""https://docs.google.com/spreadsheets/d/1qfrKjzMhm2HJfxQ-qVlJlJQ25Hne1d0khsySbZyGtPA/edit?usp=sharing"",""ระนอง!S181"")+IMPORTRANGE(""https://docs.google.com/spreadsheets/d/"&amp;"1IbSCnFOKpZsnFogBHJnL_isstZVaOMnFiIN0fGTPZZw/edit?usp=sharing"",""สงขลา!S181"")+IMPORTRANGE(""https://docs.google.com/spreadsheets/d/1q9nWasZJ-K8bFGvbE9n0qSRuKGA4Toe3Y89cKCiVtCU/edit?usp=sharing"",""สตูล!S181"")+IMPORTRANGE(""https://docs.google.com/sprea"&amp;"dsheets/d/18T20gbkS_WBjdscyTOV05cvq_JqvqQ17C81mpxf7Ncs/edit?usp=sharing"",""สุราษฎร์ธานี!S181"")"),0)</f>
        <v>0</v>
      </c>
      <c r="T181" s="47">
        <f t="shared" ca="1" si="145"/>
        <v>0</v>
      </c>
      <c r="U181" s="47">
        <f t="shared" ca="1" si="146"/>
        <v>0</v>
      </c>
    </row>
    <row r="182" spans="1:21" ht="19.5" x14ac:dyDescent="0.3">
      <c r="A182" s="138"/>
      <c r="B182" s="139"/>
      <c r="C182" s="129" t="s">
        <v>18</v>
      </c>
      <c r="D182" s="140" t="s">
        <v>38</v>
      </c>
      <c r="E182" s="141"/>
      <c r="F182" s="141"/>
      <c r="G182" s="142"/>
      <c r="H182" s="189"/>
      <c r="I182" s="45"/>
      <c r="J182" s="45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kKUcYdkIfrgTSj8iHHHB2MD2FAtwyyocFgqGQn6ADyI/edit?usp=sharing"",""กระบี่!I183"")+IMPORTRANGE(""https://docs.google.com/spreadsheets/d/1GwtLaSlNZkLk7iDqcyZz22giiy40b_usZZBXYciEN1U/edit?usp=sharing"",""ชุ"&amp;"มพร!I183"")+IMPORTRANGE(""https://docs.google.com/spreadsheets/d/16pAz3pOhQEZBhvFNMa5KGgZS6iKWpsKX0pg6tQmwFpo/edit?usp=sharing"",""ตรัง!I183"")+IMPORTRANGE(""https://docs.google.com/spreadsheets/d/1Dj4jcHCTV9JXKCaMoheSXS52JE63kDKyG7bPXnFogHk/edit?usp=shar"&amp;"ing"",""นครศรีธรรมราช!I183"")+IMPORTRANGE(""https://docs.google.com/spreadsheets/d/1iodCdmuK2GR3jzUwk8tpccY2JHQQA-87DLOtJP-ooyU/edit?usp=sharing"",""นราธิวาส!I183"")+IMPORTRANGE(""https://docs.google.com/spreadsheets/d/1SDNX3JhDdYRuIOsj0Wh2M-Qa_eaXl0NbWmh"&amp;"AOTbfQAs/edit?usp=sharing"",""ปัตตานี!I183"")+IMPORTRANGE(""https://docs.google.com/spreadsheets/d/16JDLGguT8s5DsGCND1KcwHP_AWR_zDMTqLHPLJUKhaU/edit?usp=sharing"",""พังงา!I183"")+IMPORTRANGE(""https://docs.google.com/spreadsheets/d/17ht0gPKzzT3PObBL1XJkeR"&amp;"mntBXI7wGjpLV7QorqlTk/edit?usp=sharing"",""พัทลุง!I183"")+IMPORTRANGE(""https://docs.google.com/spreadsheets/d/1rd4qoM1q_hsgaolqNGfrim9gbsoLxQsda4-vOz5x_BM/edit?usp=sharing"",""ภูเก็ต!I183"")+IMPORTRANGE(""https://docs.google.com/spreadsheets/d/1woKwKjgoL"&amp;"ssDvPcPeVyezB5izizAn4X1JDrys69n6xI/edit?usp=sharing"",""ยะลา!I183"")+IMPORTRANGE(""https://docs.google.com/spreadsheets/d/1qfrKjzMhm2HJfxQ-qVlJlJQ25Hne1d0khsySbZyGtPA/edit?usp=sharing"",""ระนอง!I183"")+IMPORTRANGE(""https://docs.google.com/spreadsheets/d/"&amp;"1IbSCnFOKpZsnFogBHJnL_isstZVaOMnFiIN0fGTPZZw/edit?usp=sharing"",""สงขลา!I183"")+IMPORTRANGE(""https://docs.google.com/spreadsheets/d/1q9nWasZJ-K8bFGvbE9n0qSRuKGA4Toe3Y89cKCiVtCU/edit?usp=sharing"",""สตูล!I183"")+IMPORTRANGE(""https://docs.google.com/sprea"&amp;"dsheets/d/18T20gbkS_WBjdscyTOV05cvq_JqvqQ17C81mpxf7Ncs/edit?usp=sharing"",""สุราษฎร์ธานี!I183"")"),102)</f>
        <v>102</v>
      </c>
      <c r="J183" s="152">
        <f ca="1">IFERROR(__xludf.DUMMYFUNCTION("IMPORTRANGE(""https://docs.google.com/spreadsheets/d/1kKUcYdkIfrgTSj8iHHHB2MD2FAtwyyocFgqGQn6ADyI/edit?usp=sharing"",""กระบี่!J183"")+IMPORTRANGE(""https://docs.google.com/spreadsheets/d/1GwtLaSlNZkLk7iDqcyZz22giiy40b_usZZBXYciEN1U/edit?usp=sharing"",""ชุ"&amp;"มพร!J183"")+IMPORTRANGE(""https://docs.google.com/spreadsheets/d/16pAz3pOhQEZBhvFNMa5KGgZS6iKWpsKX0pg6tQmwFpo/edit?usp=sharing"",""ตรัง!J183"")+IMPORTRANGE(""https://docs.google.com/spreadsheets/d/1Dj4jcHCTV9JXKCaMoheSXS52JE63kDKyG7bPXnFogHk/edit?usp=shar"&amp;"ing"",""นครศรีธรรมราช!J183"")+IMPORTRANGE(""https://docs.google.com/spreadsheets/d/1iodCdmuK2GR3jzUwk8tpccY2JHQQA-87DLOtJP-ooyU/edit?usp=sharing"",""นราธิวาส!J183"")+IMPORTRANGE(""https://docs.google.com/spreadsheets/d/1SDNX3JhDdYRuIOsj0Wh2M-Qa_eaXl0NbWmh"&amp;"AOTbfQAs/edit?usp=sharing"",""ปัตตานี!J183"")+IMPORTRANGE(""https://docs.google.com/spreadsheets/d/16JDLGguT8s5DsGCND1KcwHP_AWR_zDMTqLHPLJUKhaU/edit?usp=sharing"",""พังงา!J183"")+IMPORTRANGE(""https://docs.google.com/spreadsheets/d/17ht0gPKzzT3PObBL1XJkeR"&amp;"mntBXI7wGjpLV7QorqlTk/edit?usp=sharing"",""พัทลุง!J183"")+IMPORTRANGE(""https://docs.google.com/spreadsheets/d/1rd4qoM1q_hsgaolqNGfrim9gbsoLxQsda4-vOz5x_BM/edit?usp=sharing"",""ภูเก็ต!J183"")+IMPORTRANGE(""https://docs.google.com/spreadsheets/d/1woKwKjgoL"&amp;"ssDvPcPeVyezB5izizAn4X1JDrys69n6xI/edit?usp=sharing"",""ยะลา!J183"")+IMPORTRANGE(""https://docs.google.com/spreadsheets/d/1qfrKjzMhm2HJfxQ-qVlJlJQ25Hne1d0khsySbZyGtPA/edit?usp=sharing"",""ระนอง!J183"")+IMPORTRANGE(""https://docs.google.com/spreadsheets/d/"&amp;"1IbSCnFOKpZsnFogBHJnL_isstZVaOMnFiIN0fGTPZZw/edit?usp=sharing"",""สงขลา!J183"")+IMPORTRANGE(""https://docs.google.com/spreadsheets/d/1q9nWasZJ-K8bFGvbE9n0qSRuKGA4Toe3Y89cKCiVtCU/edit?usp=sharing"",""สตูล!J183"")+IMPORTRANGE(""https://docs.google.com/sprea"&amp;"dsheets/d/18T20gbkS_WBjdscyTOV05cvq_JqvqQ17C81mpxf7Ncs/edit?usp=sharing"",""สุราษฎร์ธานี!J183"")"),77)</f>
        <v>77</v>
      </c>
      <c r="K183" s="47">
        <f t="shared" ref="K183:K185" ca="1" si="155">IF(I183&gt;0,J183*100/I183,0)</f>
        <v>75.490196078431367</v>
      </c>
      <c r="L183" s="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17"/>
      <c r="B184" s="159"/>
      <c r="C184" s="159"/>
      <c r="D184" s="218" t="s">
        <v>76</v>
      </c>
      <c r="E184" s="41"/>
      <c r="F184" s="41"/>
      <c r="G184" s="43"/>
      <c r="H184" s="219" t="s">
        <v>35</v>
      </c>
      <c r="I184" s="152">
        <v>70</v>
      </c>
      <c r="J184" s="152">
        <v>0</v>
      </c>
      <c r="K184" s="47">
        <f t="shared" si="155"/>
        <v>0</v>
      </c>
      <c r="L184" s="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20">
        <f t="shared" ref="I185:J185" ca="1" si="156">I230+I231</f>
        <v>0</v>
      </c>
      <c r="J185" s="220">
        <f t="shared" ca="1" si="156"/>
        <v>0</v>
      </c>
      <c r="K185" s="221">
        <f t="shared" ca="1" si="155"/>
        <v>0</v>
      </c>
      <c r="L185" s="216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13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132">
        <f t="shared" ref="L186:N186" ca="1" si="157">L187+L188</f>
        <v>2562900</v>
      </c>
      <c r="M186" s="132">
        <f t="shared" ca="1" si="157"/>
        <v>2625500</v>
      </c>
      <c r="N186" s="132">
        <f t="shared" ca="1" si="157"/>
        <v>1522308.96</v>
      </c>
      <c r="O186" s="132">
        <f t="shared" ref="O186:O194" ca="1" si="158">IF(L186&gt;0,N186*100/L186,0)</f>
        <v>59.397907058410397</v>
      </c>
      <c r="P186" s="132">
        <f t="shared" ref="P186:P194" ca="1" si="159">IF(M186&gt;0,N186*100/M186,0)</f>
        <v>57.981678156541612</v>
      </c>
      <c r="Q186" s="132">
        <f t="shared" ref="Q186:S186" ca="1" si="160">Q187+Q188</f>
        <v>903000</v>
      </c>
      <c r="R186" s="132">
        <f t="shared" ca="1" si="160"/>
        <v>903000</v>
      </c>
      <c r="S186" s="132">
        <f t="shared" ca="1" si="160"/>
        <v>112000</v>
      </c>
      <c r="T186" s="132">
        <f t="shared" ref="T186:T194" ca="1" si="161">IF(Q186&gt;0,S186*100/Q186,0)</f>
        <v>12.403100775193799</v>
      </c>
      <c r="U186" s="132">
        <f t="shared" ref="U186:U194" ca="1" si="162">IF(R186&gt;0,S186*100/R186,0)</f>
        <v>12.403100775193799</v>
      </c>
    </row>
    <row r="187" spans="1:21" ht="18.75" hidden="1" x14ac:dyDescent="0.25">
      <c r="A187" s="128"/>
      <c r="B187" s="41"/>
      <c r="C187" s="41"/>
      <c r="D187" s="41"/>
      <c r="E187" s="48" t="s">
        <v>20</v>
      </c>
      <c r="F187" s="41"/>
      <c r="G187" s="43"/>
      <c r="H187" s="133" t="s">
        <v>14</v>
      </c>
      <c r="I187" s="45"/>
      <c r="J187" s="45"/>
      <c r="K187" s="46"/>
      <c r="L187" s="47">
        <f t="shared" ref="L187:N187" ca="1" si="163">L190+L193</f>
        <v>0</v>
      </c>
      <c r="M187" s="47">
        <f t="shared" ca="1" si="163"/>
        <v>0</v>
      </c>
      <c r="N187" s="47">
        <f t="shared" ca="1" si="163"/>
        <v>0</v>
      </c>
      <c r="O187" s="47">
        <f t="shared" ca="1" si="158"/>
        <v>0</v>
      </c>
      <c r="P187" s="47">
        <f t="shared" ca="1" si="159"/>
        <v>0</v>
      </c>
      <c r="Q187" s="47">
        <f t="shared" ref="Q187:S187" ca="1" si="164">Q190+Q193</f>
        <v>0</v>
      </c>
      <c r="R187" s="47">
        <f t="shared" ca="1" si="164"/>
        <v>0</v>
      </c>
      <c r="S187" s="47">
        <f t="shared" ca="1" si="164"/>
        <v>0</v>
      </c>
      <c r="T187" s="49">
        <f t="shared" ca="1" si="161"/>
        <v>0</v>
      </c>
      <c r="U187" s="49">
        <f t="shared" ca="1" si="162"/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7">
        <f t="shared" ref="L188:N188" ca="1" si="165">L191+L194</f>
        <v>2562900</v>
      </c>
      <c r="M188" s="47">
        <f t="shared" ca="1" si="165"/>
        <v>2625500</v>
      </c>
      <c r="N188" s="47">
        <f t="shared" ca="1" si="165"/>
        <v>1522308.96</v>
      </c>
      <c r="O188" s="47">
        <f t="shared" ca="1" si="158"/>
        <v>59.397907058410397</v>
      </c>
      <c r="P188" s="47">
        <f t="shared" ca="1" si="159"/>
        <v>57.981678156541612</v>
      </c>
      <c r="Q188" s="47">
        <f t="shared" ref="Q188:S188" ca="1" si="166">Q191+Q194</f>
        <v>903000</v>
      </c>
      <c r="R188" s="47">
        <f t="shared" ca="1" si="166"/>
        <v>903000</v>
      </c>
      <c r="S188" s="47">
        <f t="shared" ca="1" si="166"/>
        <v>112000</v>
      </c>
      <c r="T188" s="47">
        <f t="shared" ca="1" si="161"/>
        <v>12.403100775193799</v>
      </c>
      <c r="U188" s="47">
        <f t="shared" ca="1" si="162"/>
        <v>12.403100775193799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7">
        <f t="shared" ref="L189:N189" ca="1" si="167">L190+L191</f>
        <v>2562900</v>
      </c>
      <c r="M189" s="47">
        <f t="shared" ca="1" si="167"/>
        <v>2625500</v>
      </c>
      <c r="N189" s="47">
        <f t="shared" ca="1" si="167"/>
        <v>1522308.96</v>
      </c>
      <c r="O189" s="47">
        <f t="shared" ca="1" si="158"/>
        <v>59.397907058410397</v>
      </c>
      <c r="P189" s="47">
        <f t="shared" ca="1" si="159"/>
        <v>57.981678156541612</v>
      </c>
      <c r="Q189" s="47">
        <f t="shared" ref="Q189:S189" ca="1" si="168">Q190+Q191</f>
        <v>903000</v>
      </c>
      <c r="R189" s="47">
        <f t="shared" ca="1" si="168"/>
        <v>903000</v>
      </c>
      <c r="S189" s="47">
        <f t="shared" ca="1" si="168"/>
        <v>112000</v>
      </c>
      <c r="T189" s="47">
        <f t="shared" ca="1" si="161"/>
        <v>12.403100775193799</v>
      </c>
      <c r="U189" s="47">
        <f t="shared" ca="1" si="162"/>
        <v>12.403100775193799</v>
      </c>
    </row>
    <row r="190" spans="1:21" ht="18.75" hidden="1" x14ac:dyDescent="0.25">
      <c r="A190" s="128"/>
      <c r="B190" s="41"/>
      <c r="C190" s="41"/>
      <c r="D190" s="41"/>
      <c r="E190" s="48" t="s">
        <v>36</v>
      </c>
      <c r="F190" s="41"/>
      <c r="G190" s="43"/>
      <c r="H190" s="134" t="s">
        <v>14</v>
      </c>
      <c r="I190" s="135"/>
      <c r="J190" s="135"/>
      <c r="K190" s="136"/>
      <c r="L190" s="47">
        <f ca="1">IFERROR(__xludf.DUMMYFUNCTION("IMPORTRANGE(""https://docs.google.com/spreadsheets/d/1kKUcYdkIfrgTSj8iHHHB2MD2FAtwyyocFgqGQn6ADyI/edit?usp=sharing"",""กระบี่!L190"")+IMPORTRANGE(""https://docs.google.com/spreadsheets/d/1GwtLaSlNZkLk7iDqcyZz22giiy40b_usZZBXYciEN1U/edit?usp=sharing"",""ชุ"&amp;"มพร!L190"")+IMPORTRANGE(""https://docs.google.com/spreadsheets/d/16pAz3pOhQEZBhvFNMa5KGgZS6iKWpsKX0pg6tQmwFpo/edit?usp=sharing"",""ตรัง!L190"")+IMPORTRANGE(""https://docs.google.com/spreadsheets/d/1Dj4jcHCTV9JXKCaMoheSXS52JE63kDKyG7bPXnFogHk/edit?usp=shar"&amp;"ing"",""นครศรีธรรมราช!L190"")+IMPORTRANGE(""https://docs.google.com/spreadsheets/d/1iodCdmuK2GR3jzUwk8tpccY2JHQQA-87DLOtJP-ooyU/edit?usp=sharing"",""นราธิวาส!L190"")+IMPORTRANGE(""https://docs.google.com/spreadsheets/d/1SDNX3JhDdYRuIOsj0Wh2M-Qa_eaXl0NbWmh"&amp;"AOTbfQAs/edit?usp=sharing"",""ปัตตานี!L190"")+IMPORTRANGE(""https://docs.google.com/spreadsheets/d/16JDLGguT8s5DsGCND1KcwHP_AWR_zDMTqLHPLJUKhaU/edit?usp=sharing"",""พังงา!L190"")+IMPORTRANGE(""https://docs.google.com/spreadsheets/d/17ht0gPKzzT3PObBL1XJkeR"&amp;"mntBXI7wGjpLV7QorqlTk/edit?usp=sharing"",""พัทลุง!L190"")+IMPORTRANGE(""https://docs.google.com/spreadsheets/d/1rd4qoM1q_hsgaolqNGfrim9gbsoLxQsda4-vOz5x_BM/edit?usp=sharing"",""ภูเก็ต!L190"")+IMPORTRANGE(""https://docs.google.com/spreadsheets/d/1woKwKjgoL"&amp;"ssDvPcPeVyezB5izizAn4X1JDrys69n6xI/edit?usp=sharing"",""ยะลา!L190"")+IMPORTRANGE(""https://docs.google.com/spreadsheets/d/1qfrKjzMhm2HJfxQ-qVlJlJQ25Hne1d0khsySbZyGtPA/edit?usp=sharing"",""ระนอง!L190"")+IMPORTRANGE(""https://docs.google.com/spreadsheets/d/"&amp;"1IbSCnFOKpZsnFogBHJnL_isstZVaOMnFiIN0fGTPZZw/edit?usp=sharing"",""สงขลา!L190"")+IMPORTRANGE(""https://docs.google.com/spreadsheets/d/1q9nWasZJ-K8bFGvbE9n0qSRuKGA4Toe3Y89cKCiVtCU/edit?usp=sharing"",""สตูล!L190"")+IMPORTRANGE(""https://docs.google.com/sprea"&amp;"dsheets/d/18T20gbkS_WBjdscyTOV05cvq_JqvqQ17C81mpxf7Ncs/edit?usp=sharing"",""สุราษฎร์ธานี!L190"")"),0)</f>
        <v>0</v>
      </c>
      <c r="M190" s="47">
        <f ca="1">IFERROR(__xludf.DUMMYFUNCTION("IMPORTRANGE(""https://docs.google.com/spreadsheets/d/1kKUcYdkIfrgTSj8iHHHB2MD2FAtwyyocFgqGQn6ADyI/edit?usp=sharing"",""กระบี่!M190"")+IMPORTRANGE(""https://docs.google.com/spreadsheets/d/1GwtLaSlNZkLk7iDqcyZz22giiy40b_usZZBXYciEN1U/edit?usp=sharing"",""ชุ"&amp;"มพร!M190"")+IMPORTRANGE(""https://docs.google.com/spreadsheets/d/16pAz3pOhQEZBhvFNMa5KGgZS6iKWpsKX0pg6tQmwFpo/edit?usp=sharing"",""ตรัง!M190"")+IMPORTRANGE(""https://docs.google.com/spreadsheets/d/1Dj4jcHCTV9JXKCaMoheSXS52JE63kDKyG7bPXnFogHk/edit?usp=shar"&amp;"ing"",""นครศรีธรรมราช!M190"")+IMPORTRANGE(""https://docs.google.com/spreadsheets/d/1iodCdmuK2GR3jzUwk8tpccY2JHQQA-87DLOtJP-ooyU/edit?usp=sharing"",""นราธิวาส!M190"")+IMPORTRANGE(""https://docs.google.com/spreadsheets/d/1SDNX3JhDdYRuIOsj0Wh2M-Qa_eaXl0NbWmh"&amp;"AOTbfQAs/edit?usp=sharing"",""ปัตตานี!M190"")+IMPORTRANGE(""https://docs.google.com/spreadsheets/d/16JDLGguT8s5DsGCND1KcwHP_AWR_zDMTqLHPLJUKhaU/edit?usp=sharing"",""พังงา!M190"")+IMPORTRANGE(""https://docs.google.com/spreadsheets/d/17ht0gPKzzT3PObBL1XJkeR"&amp;"mntBXI7wGjpLV7QorqlTk/edit?usp=sharing"",""พัทลุง!M190"")+IMPORTRANGE(""https://docs.google.com/spreadsheets/d/1rd4qoM1q_hsgaolqNGfrim9gbsoLxQsda4-vOz5x_BM/edit?usp=sharing"",""ภูเก็ต!M190"")+IMPORTRANGE(""https://docs.google.com/spreadsheets/d/1woKwKjgoL"&amp;"ssDvPcPeVyezB5izizAn4X1JDrys69n6xI/edit?usp=sharing"",""ยะลา!M190"")+IMPORTRANGE(""https://docs.google.com/spreadsheets/d/1qfrKjzMhm2HJfxQ-qVlJlJQ25Hne1d0khsySbZyGtPA/edit?usp=sharing"",""ระนอง!M190"")+IMPORTRANGE(""https://docs.google.com/spreadsheets/d/"&amp;"1IbSCnFOKpZsnFogBHJnL_isstZVaOMnFiIN0fGTPZZw/edit?usp=sharing"",""สงขลา!M190"")+IMPORTRANGE(""https://docs.google.com/spreadsheets/d/1q9nWasZJ-K8bFGvbE9n0qSRuKGA4Toe3Y89cKCiVtCU/edit?usp=sharing"",""สตูล!M190"")+IMPORTRANGE(""https://docs.google.com/sprea"&amp;"dsheets/d/18T20gbkS_WBjdscyTOV05cvq_JqvqQ17C81mpxf7Ncs/edit?usp=sharing"",""สุราษฎร์ธานี!M190"")"),0)</f>
        <v>0</v>
      </c>
      <c r="N190" s="47">
        <f ca="1">IFERROR(__xludf.DUMMYFUNCTION("IMPORTRANGE(""https://docs.google.com/spreadsheets/d/1kKUcYdkIfrgTSj8iHHHB2MD2FAtwyyocFgqGQn6ADyI/edit?usp=sharing"",""กระบี่!N190"")+IMPORTRANGE(""https://docs.google.com/spreadsheets/d/1GwtLaSlNZkLk7iDqcyZz22giiy40b_usZZBXYciEN1U/edit?usp=sharing"",""ชุ"&amp;"มพร!N190"")+IMPORTRANGE(""https://docs.google.com/spreadsheets/d/16pAz3pOhQEZBhvFNMa5KGgZS6iKWpsKX0pg6tQmwFpo/edit?usp=sharing"",""ตรัง!N190"")+IMPORTRANGE(""https://docs.google.com/spreadsheets/d/1Dj4jcHCTV9JXKCaMoheSXS52JE63kDKyG7bPXnFogHk/edit?usp=shar"&amp;"ing"",""นครศรีธรรมราช!N190"")+IMPORTRANGE(""https://docs.google.com/spreadsheets/d/1iodCdmuK2GR3jzUwk8tpccY2JHQQA-87DLOtJP-ooyU/edit?usp=sharing"",""นราธิวาส!N190"")+IMPORTRANGE(""https://docs.google.com/spreadsheets/d/1SDNX3JhDdYRuIOsj0Wh2M-Qa_eaXl0NbWmh"&amp;"AOTbfQAs/edit?usp=sharing"",""ปัตตานี!N190"")+IMPORTRANGE(""https://docs.google.com/spreadsheets/d/16JDLGguT8s5DsGCND1KcwHP_AWR_zDMTqLHPLJUKhaU/edit?usp=sharing"",""พังงา!N190"")+IMPORTRANGE(""https://docs.google.com/spreadsheets/d/17ht0gPKzzT3PObBL1XJkeR"&amp;"mntBXI7wGjpLV7QorqlTk/edit?usp=sharing"",""พัทลุง!N190"")+IMPORTRANGE(""https://docs.google.com/spreadsheets/d/1rd4qoM1q_hsgaolqNGfrim9gbsoLxQsda4-vOz5x_BM/edit?usp=sharing"",""ภูเก็ต!N190"")+IMPORTRANGE(""https://docs.google.com/spreadsheets/d/1woKwKjgoL"&amp;"ssDvPcPeVyezB5izizAn4X1JDrys69n6xI/edit?usp=sharing"",""ยะลา!N190"")+IMPORTRANGE(""https://docs.google.com/spreadsheets/d/1qfrKjzMhm2HJfxQ-qVlJlJQ25Hne1d0khsySbZyGtPA/edit?usp=sharing"",""ระนอง!N190"")+IMPORTRANGE(""https://docs.google.com/spreadsheets/d/"&amp;"1IbSCnFOKpZsnFogBHJnL_isstZVaOMnFiIN0fGTPZZw/edit?usp=sharing"",""สงขลา!N190"")+IMPORTRANGE(""https://docs.google.com/spreadsheets/d/1q9nWasZJ-K8bFGvbE9n0qSRuKGA4Toe3Y89cKCiVtCU/edit?usp=sharing"",""สตูล!N190"")+IMPORTRANGE(""https://docs.google.com/sprea"&amp;"dsheets/d/18T20gbkS_WBjdscyTOV05cvq_JqvqQ17C81mpxf7Ncs/edit?usp=sharing"",""สุราษฎร์ธานี!N190"")"),0)</f>
        <v>0</v>
      </c>
      <c r="O190" s="47">
        <f t="shared" ca="1" si="158"/>
        <v>0</v>
      </c>
      <c r="P190" s="47">
        <f t="shared" ca="1" si="159"/>
        <v>0</v>
      </c>
      <c r="Q190" s="47">
        <f ca="1">IFERROR(__xludf.DUMMYFUNCTION("IMPORTRANGE(""https://docs.google.com/spreadsheets/d/1kKUcYdkIfrgTSj8iHHHB2MD2FAtwyyocFgqGQn6ADyI/edit?usp=sharing"",""กระบี่!Q190"")+IMPORTRANGE(""https://docs.google.com/spreadsheets/d/1GwtLaSlNZkLk7iDqcyZz22giiy40b_usZZBXYciEN1U/edit?usp=sharing"",""ชุ"&amp;"มพร!Q190"")+IMPORTRANGE(""https://docs.google.com/spreadsheets/d/16pAz3pOhQEZBhvFNMa5KGgZS6iKWpsKX0pg6tQmwFpo/edit?usp=sharing"",""ตรัง!Q190"")+IMPORTRANGE(""https://docs.google.com/spreadsheets/d/1Dj4jcHCTV9JXKCaMoheSXS52JE63kDKyG7bPXnFogHk/edit?usp=shar"&amp;"ing"",""นครศรีธรรมราช!Q190"")+IMPORTRANGE(""https://docs.google.com/spreadsheets/d/1iodCdmuK2GR3jzUwk8tpccY2JHQQA-87DLOtJP-ooyU/edit?usp=sharing"",""นราธิวาส!Q190"")+IMPORTRANGE(""https://docs.google.com/spreadsheets/d/1SDNX3JhDdYRuIOsj0Wh2M-Qa_eaXl0NbWmh"&amp;"AOTbfQAs/edit?usp=sharing"",""ปัตตานี!Q190"")+IMPORTRANGE(""https://docs.google.com/spreadsheets/d/16JDLGguT8s5DsGCND1KcwHP_AWR_zDMTqLHPLJUKhaU/edit?usp=sharing"",""พังงา!Q190"")+IMPORTRANGE(""https://docs.google.com/spreadsheets/d/17ht0gPKzzT3PObBL1XJkeR"&amp;"mntBXI7wGjpLV7QorqlTk/edit?usp=sharing"",""พัทลุง!Q190"")+IMPORTRANGE(""https://docs.google.com/spreadsheets/d/1rd4qoM1q_hsgaolqNGfrim9gbsoLxQsda4-vOz5x_BM/edit?usp=sharing"",""ภูเก็ต!Q190"")+IMPORTRANGE(""https://docs.google.com/spreadsheets/d/1woKwKjgoL"&amp;"ssDvPcPeVyezB5izizAn4X1JDrys69n6xI/edit?usp=sharing"",""ยะลา!Q190"")+IMPORTRANGE(""https://docs.google.com/spreadsheets/d/1qfrKjzMhm2HJfxQ-qVlJlJQ25Hne1d0khsySbZyGtPA/edit?usp=sharing"",""ระนอง!Q190"")+IMPORTRANGE(""https://docs.google.com/spreadsheets/d/"&amp;"1IbSCnFOKpZsnFogBHJnL_isstZVaOMnFiIN0fGTPZZw/edit?usp=sharing"",""สงขลา!Q190"")+IMPORTRANGE(""https://docs.google.com/spreadsheets/d/1q9nWasZJ-K8bFGvbE9n0qSRuKGA4Toe3Y89cKCiVtCU/edit?usp=sharing"",""สตูล!Q190"")+IMPORTRANGE(""https://docs.google.com/sprea"&amp;"dsheets/d/18T20gbkS_WBjdscyTOV05cvq_JqvqQ17C81mpxf7Ncs/edit?usp=sharing"",""สุราษฎร์ธานี!Q190"")"),0)</f>
        <v>0</v>
      </c>
      <c r="R190" s="47">
        <f ca="1">IFERROR(__xludf.DUMMYFUNCTION("IMPORTRANGE(""https://docs.google.com/spreadsheets/d/1kKUcYdkIfrgTSj8iHHHB2MD2FAtwyyocFgqGQn6ADyI/edit?usp=sharing"",""กระบี่!R190"")+IMPORTRANGE(""https://docs.google.com/spreadsheets/d/1GwtLaSlNZkLk7iDqcyZz22giiy40b_usZZBXYciEN1U/edit?usp=sharing"",""ชุ"&amp;"มพร!R190"")+IMPORTRANGE(""https://docs.google.com/spreadsheets/d/16pAz3pOhQEZBhvFNMa5KGgZS6iKWpsKX0pg6tQmwFpo/edit?usp=sharing"",""ตรัง!R190"")+IMPORTRANGE(""https://docs.google.com/spreadsheets/d/1Dj4jcHCTV9JXKCaMoheSXS52JE63kDKyG7bPXnFogHk/edit?usp=shar"&amp;"ing"",""นครศรีธรรมราช!R190"")+IMPORTRANGE(""https://docs.google.com/spreadsheets/d/1iodCdmuK2GR3jzUwk8tpccY2JHQQA-87DLOtJP-ooyU/edit?usp=sharing"",""นราธิวาส!R190"")+IMPORTRANGE(""https://docs.google.com/spreadsheets/d/1SDNX3JhDdYRuIOsj0Wh2M-Qa_eaXl0NbWmh"&amp;"AOTbfQAs/edit?usp=sharing"",""ปัตตานี!R190"")+IMPORTRANGE(""https://docs.google.com/spreadsheets/d/16JDLGguT8s5DsGCND1KcwHP_AWR_zDMTqLHPLJUKhaU/edit?usp=sharing"",""พังงา!R190"")+IMPORTRANGE(""https://docs.google.com/spreadsheets/d/17ht0gPKzzT3PObBL1XJkeR"&amp;"mntBXI7wGjpLV7QorqlTk/edit?usp=sharing"",""พัทลุง!R190"")+IMPORTRANGE(""https://docs.google.com/spreadsheets/d/1rd4qoM1q_hsgaolqNGfrim9gbsoLxQsda4-vOz5x_BM/edit?usp=sharing"",""ภูเก็ต!R190"")+IMPORTRANGE(""https://docs.google.com/spreadsheets/d/1woKwKjgoL"&amp;"ssDvPcPeVyezB5izizAn4X1JDrys69n6xI/edit?usp=sharing"",""ยะลา!R190"")+IMPORTRANGE(""https://docs.google.com/spreadsheets/d/1qfrKjzMhm2HJfxQ-qVlJlJQ25Hne1d0khsySbZyGtPA/edit?usp=sharing"",""ระนอง!R190"")+IMPORTRANGE(""https://docs.google.com/spreadsheets/d/"&amp;"1IbSCnFOKpZsnFogBHJnL_isstZVaOMnFiIN0fGTPZZw/edit?usp=sharing"",""สงขลา!R190"")+IMPORTRANGE(""https://docs.google.com/spreadsheets/d/1q9nWasZJ-K8bFGvbE9n0qSRuKGA4Toe3Y89cKCiVtCU/edit?usp=sharing"",""สตูล!R190"")+IMPORTRANGE(""https://docs.google.com/sprea"&amp;"dsheets/d/18T20gbkS_WBjdscyTOV05cvq_JqvqQ17C81mpxf7Ncs/edit?usp=sharing"",""สุราษฎร์ธานี!R190"")"),0)</f>
        <v>0</v>
      </c>
      <c r="S190" s="47">
        <f ca="1">IFERROR(__xludf.DUMMYFUNCTION("IMPORTRANGE(""https://docs.google.com/spreadsheets/d/1kKUcYdkIfrgTSj8iHHHB2MD2FAtwyyocFgqGQn6ADyI/edit?usp=sharing"",""กระบี่!S190"")+IMPORTRANGE(""https://docs.google.com/spreadsheets/d/1GwtLaSlNZkLk7iDqcyZz22giiy40b_usZZBXYciEN1U/edit?usp=sharing"",""ชุ"&amp;"มพร!S190"")+IMPORTRANGE(""https://docs.google.com/spreadsheets/d/16pAz3pOhQEZBhvFNMa5KGgZS6iKWpsKX0pg6tQmwFpo/edit?usp=sharing"",""ตรัง!S190"")+IMPORTRANGE(""https://docs.google.com/spreadsheets/d/1Dj4jcHCTV9JXKCaMoheSXS52JE63kDKyG7bPXnFogHk/edit?usp=shar"&amp;"ing"",""นครศรีธรรมราช!S190"")+IMPORTRANGE(""https://docs.google.com/spreadsheets/d/1iodCdmuK2GR3jzUwk8tpccY2JHQQA-87DLOtJP-ooyU/edit?usp=sharing"",""นราธิวาส!S190"")+IMPORTRANGE(""https://docs.google.com/spreadsheets/d/1SDNX3JhDdYRuIOsj0Wh2M-Qa_eaXl0NbWmh"&amp;"AOTbfQAs/edit?usp=sharing"",""ปัตตานี!S190"")+IMPORTRANGE(""https://docs.google.com/spreadsheets/d/16JDLGguT8s5DsGCND1KcwHP_AWR_zDMTqLHPLJUKhaU/edit?usp=sharing"",""พังงา!S190"")+IMPORTRANGE(""https://docs.google.com/spreadsheets/d/17ht0gPKzzT3PObBL1XJkeR"&amp;"mntBXI7wGjpLV7QorqlTk/edit?usp=sharing"",""พัทลุง!S190"")+IMPORTRANGE(""https://docs.google.com/spreadsheets/d/1rd4qoM1q_hsgaolqNGfrim9gbsoLxQsda4-vOz5x_BM/edit?usp=sharing"",""ภูเก็ต!S190"")+IMPORTRANGE(""https://docs.google.com/spreadsheets/d/1woKwKjgoL"&amp;"ssDvPcPeVyezB5izizAn4X1JDrys69n6xI/edit?usp=sharing"",""ยะลา!S190"")+IMPORTRANGE(""https://docs.google.com/spreadsheets/d/1qfrKjzMhm2HJfxQ-qVlJlJQ25Hne1d0khsySbZyGtPA/edit?usp=sharing"",""ระนอง!S190"")+IMPORTRANGE(""https://docs.google.com/spreadsheets/d/"&amp;"1IbSCnFOKpZsnFogBHJnL_isstZVaOMnFiIN0fGTPZZw/edit?usp=sharing"",""สงขลา!S190"")+IMPORTRANGE(""https://docs.google.com/spreadsheets/d/1q9nWasZJ-K8bFGvbE9n0qSRuKGA4Toe3Y89cKCiVtCU/edit?usp=sharing"",""สตูล!S190"")+IMPORTRANGE(""https://docs.google.com/sprea"&amp;"dsheets/d/18T20gbkS_WBjdscyTOV05cvq_JqvqQ17C81mpxf7Ncs/edit?usp=sharing"",""สุราษฎร์ธานี!S190"")"),0)</f>
        <v>0</v>
      </c>
      <c r="T190" s="49">
        <f t="shared" ca="1" si="161"/>
        <v>0</v>
      </c>
      <c r="U190" s="49">
        <f t="shared" ca="1" si="162"/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7">
        <f ca="1">IFERROR(__xludf.DUMMYFUNCTION("IMPORTRANGE(""https://docs.google.com/spreadsheets/d/1kKUcYdkIfrgTSj8iHHHB2MD2FAtwyyocFgqGQn6ADyI/edit?usp=sharing"",""กระบี่!L191"")+IMPORTRANGE(""https://docs.google.com/spreadsheets/d/1GwtLaSlNZkLk7iDqcyZz22giiy40b_usZZBXYciEN1U/edit?usp=sharing"",""ชุ"&amp;"มพร!L191"")+IMPORTRANGE(""https://docs.google.com/spreadsheets/d/16pAz3pOhQEZBhvFNMa5KGgZS6iKWpsKX0pg6tQmwFpo/edit?usp=sharing"",""ตรัง!L191"")+IMPORTRANGE(""https://docs.google.com/spreadsheets/d/1Dj4jcHCTV9JXKCaMoheSXS52JE63kDKyG7bPXnFogHk/edit?usp=shar"&amp;"ing"",""นครศรีธรรมราช!L191"")+IMPORTRANGE(""https://docs.google.com/spreadsheets/d/1iodCdmuK2GR3jzUwk8tpccY2JHQQA-87DLOtJP-ooyU/edit?usp=sharing"",""นราธิวาส!L191"")+IMPORTRANGE(""https://docs.google.com/spreadsheets/d/1SDNX3JhDdYRuIOsj0Wh2M-Qa_eaXl0NbWmh"&amp;"AOTbfQAs/edit?usp=sharing"",""ปัตตานี!L191"")+IMPORTRANGE(""https://docs.google.com/spreadsheets/d/16JDLGguT8s5DsGCND1KcwHP_AWR_zDMTqLHPLJUKhaU/edit?usp=sharing"",""พังงา!L191"")+IMPORTRANGE(""https://docs.google.com/spreadsheets/d/17ht0gPKzzT3PObBL1XJkeR"&amp;"mntBXI7wGjpLV7QorqlTk/edit?usp=sharing"",""พัทลุง!L191"")+IMPORTRANGE(""https://docs.google.com/spreadsheets/d/1rd4qoM1q_hsgaolqNGfrim9gbsoLxQsda4-vOz5x_BM/edit?usp=sharing"",""ภูเก็ต!L191"")+IMPORTRANGE(""https://docs.google.com/spreadsheets/d/1woKwKjgoL"&amp;"ssDvPcPeVyezB5izizAn4X1JDrys69n6xI/edit?usp=sharing"",""ยะลา!L191"")+IMPORTRANGE(""https://docs.google.com/spreadsheets/d/1qfrKjzMhm2HJfxQ-qVlJlJQ25Hne1d0khsySbZyGtPA/edit?usp=sharing"",""ระนอง!L191"")+IMPORTRANGE(""https://docs.google.com/spreadsheets/d/"&amp;"1IbSCnFOKpZsnFogBHJnL_isstZVaOMnFiIN0fGTPZZw/edit?usp=sharing"",""สงขลา!L191"")+IMPORTRANGE(""https://docs.google.com/spreadsheets/d/1q9nWasZJ-K8bFGvbE9n0qSRuKGA4Toe3Y89cKCiVtCU/edit?usp=sharing"",""สตูล!L191"")+IMPORTRANGE(""https://docs.google.com/sprea"&amp;"dsheets/d/18T20gbkS_WBjdscyTOV05cvq_JqvqQ17C81mpxf7Ncs/edit?usp=sharing"",""สุราษฎร์ธานี!L191"")"),2562900)</f>
        <v>2562900</v>
      </c>
      <c r="M191" s="47">
        <f ca="1">IFERROR(__xludf.DUMMYFUNCTION("IMPORTRANGE(""https://docs.google.com/spreadsheets/d/1kKUcYdkIfrgTSj8iHHHB2MD2FAtwyyocFgqGQn6ADyI/edit?usp=sharing"",""กระบี่!M191"")+IMPORTRANGE(""https://docs.google.com/spreadsheets/d/1GwtLaSlNZkLk7iDqcyZz22giiy40b_usZZBXYciEN1U/edit?usp=sharing"",""ชุ"&amp;"มพร!M191"")+IMPORTRANGE(""https://docs.google.com/spreadsheets/d/16pAz3pOhQEZBhvFNMa5KGgZS6iKWpsKX0pg6tQmwFpo/edit?usp=sharing"",""ตรัง!M191"")+IMPORTRANGE(""https://docs.google.com/spreadsheets/d/1Dj4jcHCTV9JXKCaMoheSXS52JE63kDKyG7bPXnFogHk/edit?usp=shar"&amp;"ing"",""นครศรีธรรมราช!M191"")+IMPORTRANGE(""https://docs.google.com/spreadsheets/d/1iodCdmuK2GR3jzUwk8tpccY2JHQQA-87DLOtJP-ooyU/edit?usp=sharing"",""นราธิวาส!M191"")+IMPORTRANGE(""https://docs.google.com/spreadsheets/d/1SDNX3JhDdYRuIOsj0Wh2M-Qa_eaXl0NbWmh"&amp;"AOTbfQAs/edit?usp=sharing"",""ปัตตานี!M191"")+IMPORTRANGE(""https://docs.google.com/spreadsheets/d/16JDLGguT8s5DsGCND1KcwHP_AWR_zDMTqLHPLJUKhaU/edit?usp=sharing"",""พังงา!M191"")+IMPORTRANGE(""https://docs.google.com/spreadsheets/d/17ht0gPKzzT3PObBL1XJkeR"&amp;"mntBXI7wGjpLV7QorqlTk/edit?usp=sharing"",""พัทลุง!M191"")+IMPORTRANGE(""https://docs.google.com/spreadsheets/d/1rd4qoM1q_hsgaolqNGfrim9gbsoLxQsda4-vOz5x_BM/edit?usp=sharing"",""ภูเก็ต!M191"")+IMPORTRANGE(""https://docs.google.com/spreadsheets/d/1woKwKjgoL"&amp;"ssDvPcPeVyezB5izizAn4X1JDrys69n6xI/edit?usp=sharing"",""ยะลา!M191"")+IMPORTRANGE(""https://docs.google.com/spreadsheets/d/1qfrKjzMhm2HJfxQ-qVlJlJQ25Hne1d0khsySbZyGtPA/edit?usp=sharing"",""ระนอง!M191"")+IMPORTRANGE(""https://docs.google.com/spreadsheets/d/"&amp;"1IbSCnFOKpZsnFogBHJnL_isstZVaOMnFiIN0fGTPZZw/edit?usp=sharing"",""สงขลา!M191"")+IMPORTRANGE(""https://docs.google.com/spreadsheets/d/1q9nWasZJ-K8bFGvbE9n0qSRuKGA4Toe3Y89cKCiVtCU/edit?usp=sharing"",""สตูล!M191"")+IMPORTRANGE(""https://docs.google.com/sprea"&amp;"dsheets/d/18T20gbkS_WBjdscyTOV05cvq_JqvqQ17C81mpxf7Ncs/edit?usp=sharing"",""สุราษฎร์ธานี!M191"")"),2625500)</f>
        <v>2625500</v>
      </c>
      <c r="N191" s="47">
        <f ca="1">IFERROR(__xludf.DUMMYFUNCTION("IMPORTRANGE(""https://docs.google.com/spreadsheets/d/1kKUcYdkIfrgTSj8iHHHB2MD2FAtwyyocFgqGQn6ADyI/edit?usp=sharing"",""กระบี่!N191"")+IMPORTRANGE(""https://docs.google.com/spreadsheets/d/1GwtLaSlNZkLk7iDqcyZz22giiy40b_usZZBXYciEN1U/edit?usp=sharing"",""ชุ"&amp;"มพร!N191"")+IMPORTRANGE(""https://docs.google.com/spreadsheets/d/16pAz3pOhQEZBhvFNMa5KGgZS6iKWpsKX0pg6tQmwFpo/edit?usp=sharing"",""ตรัง!N191"")+IMPORTRANGE(""https://docs.google.com/spreadsheets/d/1Dj4jcHCTV9JXKCaMoheSXS52JE63kDKyG7bPXnFogHk/edit?usp=shar"&amp;"ing"",""นครศรีธรรมราช!N191"")+IMPORTRANGE(""https://docs.google.com/spreadsheets/d/1iodCdmuK2GR3jzUwk8tpccY2JHQQA-87DLOtJP-ooyU/edit?usp=sharing"",""นราธิวาส!N191"")+IMPORTRANGE(""https://docs.google.com/spreadsheets/d/1SDNX3JhDdYRuIOsj0Wh2M-Qa_eaXl0NbWmh"&amp;"AOTbfQAs/edit?usp=sharing"",""ปัตตานี!N191"")+IMPORTRANGE(""https://docs.google.com/spreadsheets/d/16JDLGguT8s5DsGCND1KcwHP_AWR_zDMTqLHPLJUKhaU/edit?usp=sharing"",""พังงา!N191"")+IMPORTRANGE(""https://docs.google.com/spreadsheets/d/17ht0gPKzzT3PObBL1XJkeR"&amp;"mntBXI7wGjpLV7QorqlTk/edit?usp=sharing"",""พัทลุง!N191"")+IMPORTRANGE(""https://docs.google.com/spreadsheets/d/1rd4qoM1q_hsgaolqNGfrim9gbsoLxQsda4-vOz5x_BM/edit?usp=sharing"",""ภูเก็ต!N191"")+IMPORTRANGE(""https://docs.google.com/spreadsheets/d/1woKwKjgoL"&amp;"ssDvPcPeVyezB5izizAn4X1JDrys69n6xI/edit?usp=sharing"",""ยะลา!N191"")+IMPORTRANGE(""https://docs.google.com/spreadsheets/d/1qfrKjzMhm2HJfxQ-qVlJlJQ25Hne1d0khsySbZyGtPA/edit?usp=sharing"",""ระนอง!N191"")+IMPORTRANGE(""https://docs.google.com/spreadsheets/d/"&amp;"1IbSCnFOKpZsnFogBHJnL_isstZVaOMnFiIN0fGTPZZw/edit?usp=sharing"",""สงขลา!N191"")+IMPORTRANGE(""https://docs.google.com/spreadsheets/d/1q9nWasZJ-K8bFGvbE9n0qSRuKGA4Toe3Y89cKCiVtCU/edit?usp=sharing"",""สตูล!N191"")+IMPORTRANGE(""https://docs.google.com/sprea"&amp;"dsheets/d/18T20gbkS_WBjdscyTOV05cvq_JqvqQ17C81mpxf7Ncs/edit?usp=sharing"",""สุราษฎร์ธานี!N191"")"),1522308.96)</f>
        <v>1522308.96</v>
      </c>
      <c r="O191" s="47">
        <f t="shared" ca="1" si="158"/>
        <v>59.397907058410397</v>
      </c>
      <c r="P191" s="47">
        <f t="shared" ca="1" si="159"/>
        <v>57.981678156541612</v>
      </c>
      <c r="Q191" s="47">
        <f ca="1">IFERROR(__xludf.DUMMYFUNCTION("IMPORTRANGE(""https://docs.google.com/spreadsheets/d/1kKUcYdkIfrgTSj8iHHHB2MD2FAtwyyocFgqGQn6ADyI/edit?usp=sharing"",""กระบี่!Q191"")+IMPORTRANGE(""https://docs.google.com/spreadsheets/d/1GwtLaSlNZkLk7iDqcyZz22giiy40b_usZZBXYciEN1U/edit?usp=sharing"",""ชุ"&amp;"มพร!Q191"")+IMPORTRANGE(""https://docs.google.com/spreadsheets/d/16pAz3pOhQEZBhvFNMa5KGgZS6iKWpsKX0pg6tQmwFpo/edit?usp=sharing"",""ตรัง!Q191"")+IMPORTRANGE(""https://docs.google.com/spreadsheets/d/1Dj4jcHCTV9JXKCaMoheSXS52JE63kDKyG7bPXnFogHk/edit?usp=shar"&amp;"ing"",""นครศรีธรรมราช!Q191"")+IMPORTRANGE(""https://docs.google.com/spreadsheets/d/1iodCdmuK2GR3jzUwk8tpccY2JHQQA-87DLOtJP-ooyU/edit?usp=sharing"",""นราธิวาส!Q191"")+IMPORTRANGE(""https://docs.google.com/spreadsheets/d/1SDNX3JhDdYRuIOsj0Wh2M-Qa_eaXl0NbWmh"&amp;"AOTbfQAs/edit?usp=sharing"",""ปัตตานี!Q191"")+IMPORTRANGE(""https://docs.google.com/spreadsheets/d/16JDLGguT8s5DsGCND1KcwHP_AWR_zDMTqLHPLJUKhaU/edit?usp=sharing"",""พังงา!Q191"")+IMPORTRANGE(""https://docs.google.com/spreadsheets/d/17ht0gPKzzT3PObBL1XJkeR"&amp;"mntBXI7wGjpLV7QorqlTk/edit?usp=sharing"",""พัทลุง!Q191"")+IMPORTRANGE(""https://docs.google.com/spreadsheets/d/1rd4qoM1q_hsgaolqNGfrim9gbsoLxQsda4-vOz5x_BM/edit?usp=sharing"",""ภูเก็ต!Q191"")+IMPORTRANGE(""https://docs.google.com/spreadsheets/d/1woKwKjgoL"&amp;"ssDvPcPeVyezB5izizAn4X1JDrys69n6xI/edit?usp=sharing"",""ยะลา!Q191"")+IMPORTRANGE(""https://docs.google.com/spreadsheets/d/1qfrKjzMhm2HJfxQ-qVlJlJQ25Hne1d0khsySbZyGtPA/edit?usp=sharing"",""ระนอง!Q191"")+IMPORTRANGE(""https://docs.google.com/spreadsheets/d/"&amp;"1IbSCnFOKpZsnFogBHJnL_isstZVaOMnFiIN0fGTPZZw/edit?usp=sharing"",""สงขลา!Q191"")+IMPORTRANGE(""https://docs.google.com/spreadsheets/d/1q9nWasZJ-K8bFGvbE9n0qSRuKGA4Toe3Y89cKCiVtCU/edit?usp=sharing"",""สตูล!Q191"")+IMPORTRANGE(""https://docs.google.com/sprea"&amp;"dsheets/d/18T20gbkS_WBjdscyTOV05cvq_JqvqQ17C81mpxf7Ncs/edit?usp=sharing"",""สุราษฎร์ธานี!Q191"")"),903000)</f>
        <v>903000</v>
      </c>
      <c r="R191" s="47">
        <f ca="1">IFERROR(__xludf.DUMMYFUNCTION("IMPORTRANGE(""https://docs.google.com/spreadsheets/d/1kKUcYdkIfrgTSj8iHHHB2MD2FAtwyyocFgqGQn6ADyI/edit?usp=sharing"",""กระบี่!R191"")+IMPORTRANGE(""https://docs.google.com/spreadsheets/d/1GwtLaSlNZkLk7iDqcyZz22giiy40b_usZZBXYciEN1U/edit?usp=sharing"",""ชุ"&amp;"มพร!R191"")+IMPORTRANGE(""https://docs.google.com/spreadsheets/d/16pAz3pOhQEZBhvFNMa5KGgZS6iKWpsKX0pg6tQmwFpo/edit?usp=sharing"",""ตรัง!R191"")+IMPORTRANGE(""https://docs.google.com/spreadsheets/d/1Dj4jcHCTV9JXKCaMoheSXS52JE63kDKyG7bPXnFogHk/edit?usp=shar"&amp;"ing"",""นครศรีธรรมราช!R191"")+IMPORTRANGE(""https://docs.google.com/spreadsheets/d/1iodCdmuK2GR3jzUwk8tpccY2JHQQA-87DLOtJP-ooyU/edit?usp=sharing"",""นราธิวาส!R191"")+IMPORTRANGE(""https://docs.google.com/spreadsheets/d/1SDNX3JhDdYRuIOsj0Wh2M-Qa_eaXl0NbWmh"&amp;"AOTbfQAs/edit?usp=sharing"",""ปัตตานี!R191"")+IMPORTRANGE(""https://docs.google.com/spreadsheets/d/16JDLGguT8s5DsGCND1KcwHP_AWR_zDMTqLHPLJUKhaU/edit?usp=sharing"",""พังงา!R191"")+IMPORTRANGE(""https://docs.google.com/spreadsheets/d/17ht0gPKzzT3PObBL1XJkeR"&amp;"mntBXI7wGjpLV7QorqlTk/edit?usp=sharing"",""พัทลุง!R191"")+IMPORTRANGE(""https://docs.google.com/spreadsheets/d/1rd4qoM1q_hsgaolqNGfrim9gbsoLxQsda4-vOz5x_BM/edit?usp=sharing"",""ภูเก็ต!R191"")+IMPORTRANGE(""https://docs.google.com/spreadsheets/d/1woKwKjgoL"&amp;"ssDvPcPeVyezB5izizAn4X1JDrys69n6xI/edit?usp=sharing"",""ยะลา!R191"")+IMPORTRANGE(""https://docs.google.com/spreadsheets/d/1qfrKjzMhm2HJfxQ-qVlJlJQ25Hne1d0khsySbZyGtPA/edit?usp=sharing"",""ระนอง!R191"")+IMPORTRANGE(""https://docs.google.com/spreadsheets/d/"&amp;"1IbSCnFOKpZsnFogBHJnL_isstZVaOMnFiIN0fGTPZZw/edit?usp=sharing"",""สงขลา!R191"")+IMPORTRANGE(""https://docs.google.com/spreadsheets/d/1q9nWasZJ-K8bFGvbE9n0qSRuKGA4Toe3Y89cKCiVtCU/edit?usp=sharing"",""สตูล!R191"")+IMPORTRANGE(""https://docs.google.com/sprea"&amp;"dsheets/d/18T20gbkS_WBjdscyTOV05cvq_JqvqQ17C81mpxf7Ncs/edit?usp=sharing"",""สุราษฎร์ธานี!R191"")"),903000)</f>
        <v>903000</v>
      </c>
      <c r="S191" s="47">
        <f ca="1">IFERROR(__xludf.DUMMYFUNCTION("IMPORTRANGE(""https://docs.google.com/spreadsheets/d/1kKUcYdkIfrgTSj8iHHHB2MD2FAtwyyocFgqGQn6ADyI/edit?usp=sharing"",""กระบี่!S191"")+IMPORTRANGE(""https://docs.google.com/spreadsheets/d/1GwtLaSlNZkLk7iDqcyZz22giiy40b_usZZBXYciEN1U/edit?usp=sharing"",""ชุ"&amp;"มพร!S191"")+IMPORTRANGE(""https://docs.google.com/spreadsheets/d/16pAz3pOhQEZBhvFNMa5KGgZS6iKWpsKX0pg6tQmwFpo/edit?usp=sharing"",""ตรัง!S191"")+IMPORTRANGE(""https://docs.google.com/spreadsheets/d/1Dj4jcHCTV9JXKCaMoheSXS52JE63kDKyG7bPXnFogHk/edit?usp=shar"&amp;"ing"",""นครศรีธรรมราช!S191"")+IMPORTRANGE(""https://docs.google.com/spreadsheets/d/1iodCdmuK2GR3jzUwk8tpccY2JHQQA-87DLOtJP-ooyU/edit?usp=sharing"",""นราธิวาส!S191"")+IMPORTRANGE(""https://docs.google.com/spreadsheets/d/1SDNX3JhDdYRuIOsj0Wh2M-Qa_eaXl0NbWmh"&amp;"AOTbfQAs/edit?usp=sharing"",""ปัตตานี!S191"")+IMPORTRANGE(""https://docs.google.com/spreadsheets/d/16JDLGguT8s5DsGCND1KcwHP_AWR_zDMTqLHPLJUKhaU/edit?usp=sharing"",""พังงา!S191"")+IMPORTRANGE(""https://docs.google.com/spreadsheets/d/17ht0gPKzzT3PObBL1XJkeR"&amp;"mntBXI7wGjpLV7QorqlTk/edit?usp=sharing"",""พัทลุง!S191"")+IMPORTRANGE(""https://docs.google.com/spreadsheets/d/1rd4qoM1q_hsgaolqNGfrim9gbsoLxQsda4-vOz5x_BM/edit?usp=sharing"",""ภูเก็ต!S191"")+IMPORTRANGE(""https://docs.google.com/spreadsheets/d/1woKwKjgoL"&amp;"ssDvPcPeVyezB5izizAn4X1JDrys69n6xI/edit?usp=sharing"",""ยะลา!S191"")+IMPORTRANGE(""https://docs.google.com/spreadsheets/d/1qfrKjzMhm2HJfxQ-qVlJlJQ25Hne1d0khsySbZyGtPA/edit?usp=sharing"",""ระนอง!S191"")+IMPORTRANGE(""https://docs.google.com/spreadsheets/d/"&amp;"1IbSCnFOKpZsnFogBHJnL_isstZVaOMnFiIN0fGTPZZw/edit?usp=sharing"",""สงขลา!S191"")+IMPORTRANGE(""https://docs.google.com/spreadsheets/d/1q9nWasZJ-K8bFGvbE9n0qSRuKGA4Toe3Y89cKCiVtCU/edit?usp=sharing"",""สตูล!S191"")+IMPORTRANGE(""https://docs.google.com/sprea"&amp;"dsheets/d/18T20gbkS_WBjdscyTOV05cvq_JqvqQ17C81mpxf7Ncs/edit?usp=sharing"",""สุราษฎร์ธานี!S191"")"),112000)</f>
        <v>112000</v>
      </c>
      <c r="T191" s="47">
        <f t="shared" ca="1" si="161"/>
        <v>12.403100775193799</v>
      </c>
      <c r="U191" s="47">
        <f t="shared" ca="1" si="162"/>
        <v>12.403100775193799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7">
        <f t="shared" ref="L192:N192" ca="1" si="169">L193+L194</f>
        <v>0</v>
      </c>
      <c r="M192" s="47">
        <f t="shared" ca="1" si="169"/>
        <v>0</v>
      </c>
      <c r="N192" s="47">
        <f t="shared" ca="1" si="169"/>
        <v>0</v>
      </c>
      <c r="O192" s="47">
        <f t="shared" ca="1" si="158"/>
        <v>0</v>
      </c>
      <c r="P192" s="47">
        <f t="shared" ca="1" si="159"/>
        <v>0</v>
      </c>
      <c r="Q192" s="47">
        <f t="shared" ref="Q192:S192" ca="1" si="170">Q193+Q194</f>
        <v>0</v>
      </c>
      <c r="R192" s="47">
        <f t="shared" ca="1" si="170"/>
        <v>0</v>
      </c>
      <c r="S192" s="47">
        <f t="shared" ca="1" si="170"/>
        <v>0</v>
      </c>
      <c r="T192" s="47">
        <f t="shared" ca="1" si="161"/>
        <v>0</v>
      </c>
      <c r="U192" s="47">
        <f t="shared" ca="1" si="162"/>
        <v>0</v>
      </c>
    </row>
    <row r="193" spans="1:21" ht="18.75" hidden="1" x14ac:dyDescent="0.25">
      <c r="A193" s="128"/>
      <c r="B193" s="41"/>
      <c r="C193" s="41"/>
      <c r="D193" s="41"/>
      <c r="E193" s="48" t="s">
        <v>20</v>
      </c>
      <c r="F193" s="41"/>
      <c r="G193" s="43"/>
      <c r="H193" s="134" t="s">
        <v>14</v>
      </c>
      <c r="I193" s="135"/>
      <c r="J193" s="135"/>
      <c r="K193" s="136"/>
      <c r="L193" s="47">
        <f ca="1">IFERROR(__xludf.DUMMYFUNCTION("IMPORTRANGE(""https://docs.google.com/spreadsheets/d/1kKUcYdkIfrgTSj8iHHHB2MD2FAtwyyocFgqGQn6ADyI/edit?usp=sharing"",""กระบี่!L193"")+IMPORTRANGE(""https://docs.google.com/spreadsheets/d/1GwtLaSlNZkLk7iDqcyZz22giiy40b_usZZBXYciEN1U/edit?usp=sharing"",""ชุ"&amp;"มพร!L193"")+IMPORTRANGE(""https://docs.google.com/spreadsheets/d/16pAz3pOhQEZBhvFNMa5KGgZS6iKWpsKX0pg6tQmwFpo/edit?usp=sharing"",""ตรัง!L193"")+IMPORTRANGE(""https://docs.google.com/spreadsheets/d/1Dj4jcHCTV9JXKCaMoheSXS52JE63kDKyG7bPXnFogHk/edit?usp=shar"&amp;"ing"",""นครศรีธรรมราช!L193"")+IMPORTRANGE(""https://docs.google.com/spreadsheets/d/1iodCdmuK2GR3jzUwk8tpccY2JHQQA-87DLOtJP-ooyU/edit?usp=sharing"",""นราธิวาส!L193"")+IMPORTRANGE(""https://docs.google.com/spreadsheets/d/1SDNX3JhDdYRuIOsj0Wh2M-Qa_eaXl0NbWmh"&amp;"AOTbfQAs/edit?usp=sharing"",""ปัตตานี!L193"")+IMPORTRANGE(""https://docs.google.com/spreadsheets/d/16JDLGguT8s5DsGCND1KcwHP_AWR_zDMTqLHPLJUKhaU/edit?usp=sharing"",""พังงา!L193"")+IMPORTRANGE(""https://docs.google.com/spreadsheets/d/17ht0gPKzzT3PObBL1XJkeR"&amp;"mntBXI7wGjpLV7QorqlTk/edit?usp=sharing"",""พัทลุง!L193"")+IMPORTRANGE(""https://docs.google.com/spreadsheets/d/1rd4qoM1q_hsgaolqNGfrim9gbsoLxQsda4-vOz5x_BM/edit?usp=sharing"",""ภูเก็ต!L193"")+IMPORTRANGE(""https://docs.google.com/spreadsheets/d/1woKwKjgoL"&amp;"ssDvPcPeVyezB5izizAn4X1JDrys69n6xI/edit?usp=sharing"",""ยะลา!L193"")+IMPORTRANGE(""https://docs.google.com/spreadsheets/d/1qfrKjzMhm2HJfxQ-qVlJlJQ25Hne1d0khsySbZyGtPA/edit?usp=sharing"",""ระนอง!L193"")+IMPORTRANGE(""https://docs.google.com/spreadsheets/d/"&amp;"1IbSCnFOKpZsnFogBHJnL_isstZVaOMnFiIN0fGTPZZw/edit?usp=sharing"",""สงขลา!L193"")+IMPORTRANGE(""https://docs.google.com/spreadsheets/d/1q9nWasZJ-K8bFGvbE9n0qSRuKGA4Toe3Y89cKCiVtCU/edit?usp=sharing"",""สตูล!L193"")+IMPORTRANGE(""https://docs.google.com/sprea"&amp;"dsheets/d/18T20gbkS_WBjdscyTOV05cvq_JqvqQ17C81mpxf7Ncs/edit?usp=sharing"",""สุราษฎร์ธานี!L193"")"),0)</f>
        <v>0</v>
      </c>
      <c r="M193" s="47">
        <f ca="1">IFERROR(__xludf.DUMMYFUNCTION("IMPORTRANGE(""https://docs.google.com/spreadsheets/d/1kKUcYdkIfrgTSj8iHHHB2MD2FAtwyyocFgqGQn6ADyI/edit?usp=sharing"",""กระบี่!M193"")+IMPORTRANGE(""https://docs.google.com/spreadsheets/d/1GwtLaSlNZkLk7iDqcyZz22giiy40b_usZZBXYciEN1U/edit?usp=sharing"",""ชุ"&amp;"มพร!M193"")+IMPORTRANGE(""https://docs.google.com/spreadsheets/d/16pAz3pOhQEZBhvFNMa5KGgZS6iKWpsKX0pg6tQmwFpo/edit?usp=sharing"",""ตรัง!M193"")+IMPORTRANGE(""https://docs.google.com/spreadsheets/d/1Dj4jcHCTV9JXKCaMoheSXS52JE63kDKyG7bPXnFogHk/edit?usp=shar"&amp;"ing"",""นครศรีธรรมราช!M193"")+IMPORTRANGE(""https://docs.google.com/spreadsheets/d/1iodCdmuK2GR3jzUwk8tpccY2JHQQA-87DLOtJP-ooyU/edit?usp=sharing"",""นราธิวาส!M193"")+IMPORTRANGE(""https://docs.google.com/spreadsheets/d/1SDNX3JhDdYRuIOsj0Wh2M-Qa_eaXl0NbWmh"&amp;"AOTbfQAs/edit?usp=sharing"",""ปัตตานี!M193"")+IMPORTRANGE(""https://docs.google.com/spreadsheets/d/16JDLGguT8s5DsGCND1KcwHP_AWR_zDMTqLHPLJUKhaU/edit?usp=sharing"",""พังงา!M193"")+IMPORTRANGE(""https://docs.google.com/spreadsheets/d/17ht0gPKzzT3PObBL1XJkeR"&amp;"mntBXI7wGjpLV7QorqlTk/edit?usp=sharing"",""พัทลุง!M193"")+IMPORTRANGE(""https://docs.google.com/spreadsheets/d/1rd4qoM1q_hsgaolqNGfrim9gbsoLxQsda4-vOz5x_BM/edit?usp=sharing"",""ภูเก็ต!M193"")+IMPORTRANGE(""https://docs.google.com/spreadsheets/d/1woKwKjgoL"&amp;"ssDvPcPeVyezB5izizAn4X1JDrys69n6xI/edit?usp=sharing"",""ยะลา!M193"")+IMPORTRANGE(""https://docs.google.com/spreadsheets/d/1qfrKjzMhm2HJfxQ-qVlJlJQ25Hne1d0khsySbZyGtPA/edit?usp=sharing"",""ระนอง!M193"")+IMPORTRANGE(""https://docs.google.com/spreadsheets/d/"&amp;"1IbSCnFOKpZsnFogBHJnL_isstZVaOMnFiIN0fGTPZZw/edit?usp=sharing"",""สงขลา!M193"")+IMPORTRANGE(""https://docs.google.com/spreadsheets/d/1q9nWasZJ-K8bFGvbE9n0qSRuKGA4Toe3Y89cKCiVtCU/edit?usp=sharing"",""สตูล!M193"")+IMPORTRANGE(""https://docs.google.com/sprea"&amp;"dsheets/d/18T20gbkS_WBjdscyTOV05cvq_JqvqQ17C81mpxf7Ncs/edit?usp=sharing"",""สุราษฎร์ธานี!M193"")"),0)</f>
        <v>0</v>
      </c>
      <c r="N193" s="47">
        <f ca="1">IFERROR(__xludf.DUMMYFUNCTION("IMPORTRANGE(""https://docs.google.com/spreadsheets/d/1kKUcYdkIfrgTSj8iHHHB2MD2FAtwyyocFgqGQn6ADyI/edit?usp=sharing"",""กระบี่!N193"")+IMPORTRANGE(""https://docs.google.com/spreadsheets/d/1GwtLaSlNZkLk7iDqcyZz22giiy40b_usZZBXYciEN1U/edit?usp=sharing"",""ชุ"&amp;"มพร!N193"")+IMPORTRANGE(""https://docs.google.com/spreadsheets/d/16pAz3pOhQEZBhvFNMa5KGgZS6iKWpsKX0pg6tQmwFpo/edit?usp=sharing"",""ตรัง!N193"")+IMPORTRANGE(""https://docs.google.com/spreadsheets/d/1Dj4jcHCTV9JXKCaMoheSXS52JE63kDKyG7bPXnFogHk/edit?usp=shar"&amp;"ing"",""นครศรีธรรมราช!N193"")+IMPORTRANGE(""https://docs.google.com/spreadsheets/d/1iodCdmuK2GR3jzUwk8tpccY2JHQQA-87DLOtJP-ooyU/edit?usp=sharing"",""นราธิวาส!N193"")+IMPORTRANGE(""https://docs.google.com/spreadsheets/d/1SDNX3JhDdYRuIOsj0Wh2M-Qa_eaXl0NbWmh"&amp;"AOTbfQAs/edit?usp=sharing"",""ปัตตานี!N193"")+IMPORTRANGE(""https://docs.google.com/spreadsheets/d/16JDLGguT8s5DsGCND1KcwHP_AWR_zDMTqLHPLJUKhaU/edit?usp=sharing"",""พังงา!N193"")+IMPORTRANGE(""https://docs.google.com/spreadsheets/d/17ht0gPKzzT3PObBL1XJkeR"&amp;"mntBXI7wGjpLV7QorqlTk/edit?usp=sharing"",""พัทลุง!N193"")+IMPORTRANGE(""https://docs.google.com/spreadsheets/d/1rd4qoM1q_hsgaolqNGfrim9gbsoLxQsda4-vOz5x_BM/edit?usp=sharing"",""ภูเก็ต!N193"")+IMPORTRANGE(""https://docs.google.com/spreadsheets/d/1woKwKjgoL"&amp;"ssDvPcPeVyezB5izizAn4X1JDrys69n6xI/edit?usp=sharing"",""ยะลา!N193"")+IMPORTRANGE(""https://docs.google.com/spreadsheets/d/1qfrKjzMhm2HJfxQ-qVlJlJQ25Hne1d0khsySbZyGtPA/edit?usp=sharing"",""ระนอง!N193"")+IMPORTRANGE(""https://docs.google.com/spreadsheets/d/"&amp;"1IbSCnFOKpZsnFogBHJnL_isstZVaOMnFiIN0fGTPZZw/edit?usp=sharing"",""สงขลา!N193"")+IMPORTRANGE(""https://docs.google.com/spreadsheets/d/1q9nWasZJ-K8bFGvbE9n0qSRuKGA4Toe3Y89cKCiVtCU/edit?usp=sharing"",""สตูล!N193"")+IMPORTRANGE(""https://docs.google.com/sprea"&amp;"dsheets/d/18T20gbkS_WBjdscyTOV05cvq_JqvqQ17C81mpxf7Ncs/edit?usp=sharing"",""สุราษฎร์ธานี!N193"")"),0)</f>
        <v>0</v>
      </c>
      <c r="O193" s="47">
        <f t="shared" ca="1" si="158"/>
        <v>0</v>
      </c>
      <c r="P193" s="47">
        <f t="shared" ca="1" si="159"/>
        <v>0</v>
      </c>
      <c r="Q193" s="47">
        <f ca="1">IFERROR(__xludf.DUMMYFUNCTION("IMPORTRANGE(""https://docs.google.com/spreadsheets/d/1kKUcYdkIfrgTSj8iHHHB2MD2FAtwyyocFgqGQn6ADyI/edit?usp=sharing"",""กระบี่!Q193"")+IMPORTRANGE(""https://docs.google.com/spreadsheets/d/1GwtLaSlNZkLk7iDqcyZz22giiy40b_usZZBXYciEN1U/edit?usp=sharing"",""ชุ"&amp;"มพร!Q193"")+IMPORTRANGE(""https://docs.google.com/spreadsheets/d/16pAz3pOhQEZBhvFNMa5KGgZS6iKWpsKX0pg6tQmwFpo/edit?usp=sharing"",""ตรัง!Q193"")+IMPORTRANGE(""https://docs.google.com/spreadsheets/d/1Dj4jcHCTV9JXKCaMoheSXS52JE63kDKyG7bPXnFogHk/edit?usp=shar"&amp;"ing"",""นครศรีธรรมราช!Q193"")+IMPORTRANGE(""https://docs.google.com/spreadsheets/d/1iodCdmuK2GR3jzUwk8tpccY2JHQQA-87DLOtJP-ooyU/edit?usp=sharing"",""นราธิวาส!Q193"")+IMPORTRANGE(""https://docs.google.com/spreadsheets/d/1SDNX3JhDdYRuIOsj0Wh2M-Qa_eaXl0NbWmh"&amp;"AOTbfQAs/edit?usp=sharing"",""ปัตตานี!Q193"")+IMPORTRANGE(""https://docs.google.com/spreadsheets/d/16JDLGguT8s5DsGCND1KcwHP_AWR_zDMTqLHPLJUKhaU/edit?usp=sharing"",""พังงา!Q193"")+IMPORTRANGE(""https://docs.google.com/spreadsheets/d/17ht0gPKzzT3PObBL1XJkeR"&amp;"mntBXI7wGjpLV7QorqlTk/edit?usp=sharing"",""พัทลุง!Q193"")+IMPORTRANGE(""https://docs.google.com/spreadsheets/d/1rd4qoM1q_hsgaolqNGfrim9gbsoLxQsda4-vOz5x_BM/edit?usp=sharing"",""ภูเก็ต!Q193"")+IMPORTRANGE(""https://docs.google.com/spreadsheets/d/1woKwKjgoL"&amp;"ssDvPcPeVyezB5izizAn4X1JDrys69n6xI/edit?usp=sharing"",""ยะลา!Q193"")+IMPORTRANGE(""https://docs.google.com/spreadsheets/d/1qfrKjzMhm2HJfxQ-qVlJlJQ25Hne1d0khsySbZyGtPA/edit?usp=sharing"",""ระนอง!Q193"")+IMPORTRANGE(""https://docs.google.com/spreadsheets/d/"&amp;"1IbSCnFOKpZsnFogBHJnL_isstZVaOMnFiIN0fGTPZZw/edit?usp=sharing"",""สงขลา!Q193"")+IMPORTRANGE(""https://docs.google.com/spreadsheets/d/1q9nWasZJ-K8bFGvbE9n0qSRuKGA4Toe3Y89cKCiVtCU/edit?usp=sharing"",""สตูล!Q193"")+IMPORTRANGE(""https://docs.google.com/sprea"&amp;"dsheets/d/18T20gbkS_WBjdscyTOV05cvq_JqvqQ17C81mpxf7Ncs/edit?usp=sharing"",""สุราษฎร์ธานี!Q193"")"),0)</f>
        <v>0</v>
      </c>
      <c r="R193" s="47">
        <f ca="1">IFERROR(__xludf.DUMMYFUNCTION("IMPORTRANGE(""https://docs.google.com/spreadsheets/d/1kKUcYdkIfrgTSj8iHHHB2MD2FAtwyyocFgqGQn6ADyI/edit?usp=sharing"",""กระบี่!R193"")+IMPORTRANGE(""https://docs.google.com/spreadsheets/d/1GwtLaSlNZkLk7iDqcyZz22giiy40b_usZZBXYciEN1U/edit?usp=sharing"",""ชุ"&amp;"มพร!R193"")+IMPORTRANGE(""https://docs.google.com/spreadsheets/d/16pAz3pOhQEZBhvFNMa5KGgZS6iKWpsKX0pg6tQmwFpo/edit?usp=sharing"",""ตรัง!R193"")+IMPORTRANGE(""https://docs.google.com/spreadsheets/d/1Dj4jcHCTV9JXKCaMoheSXS52JE63kDKyG7bPXnFogHk/edit?usp=shar"&amp;"ing"",""นครศรีธรรมราช!R193"")+IMPORTRANGE(""https://docs.google.com/spreadsheets/d/1iodCdmuK2GR3jzUwk8tpccY2JHQQA-87DLOtJP-ooyU/edit?usp=sharing"",""นราธิวาส!R193"")+IMPORTRANGE(""https://docs.google.com/spreadsheets/d/1SDNX3JhDdYRuIOsj0Wh2M-Qa_eaXl0NbWmh"&amp;"AOTbfQAs/edit?usp=sharing"",""ปัตตานี!R193"")+IMPORTRANGE(""https://docs.google.com/spreadsheets/d/16JDLGguT8s5DsGCND1KcwHP_AWR_zDMTqLHPLJUKhaU/edit?usp=sharing"",""พังงา!R193"")+IMPORTRANGE(""https://docs.google.com/spreadsheets/d/17ht0gPKzzT3PObBL1XJkeR"&amp;"mntBXI7wGjpLV7QorqlTk/edit?usp=sharing"",""พัทลุง!R193"")+IMPORTRANGE(""https://docs.google.com/spreadsheets/d/1rd4qoM1q_hsgaolqNGfrim9gbsoLxQsda4-vOz5x_BM/edit?usp=sharing"",""ภูเก็ต!R193"")+IMPORTRANGE(""https://docs.google.com/spreadsheets/d/1woKwKjgoL"&amp;"ssDvPcPeVyezB5izizAn4X1JDrys69n6xI/edit?usp=sharing"",""ยะลา!R193"")+IMPORTRANGE(""https://docs.google.com/spreadsheets/d/1qfrKjzMhm2HJfxQ-qVlJlJQ25Hne1d0khsySbZyGtPA/edit?usp=sharing"",""ระนอง!R193"")+IMPORTRANGE(""https://docs.google.com/spreadsheets/d/"&amp;"1IbSCnFOKpZsnFogBHJnL_isstZVaOMnFiIN0fGTPZZw/edit?usp=sharing"",""สงขลา!R193"")+IMPORTRANGE(""https://docs.google.com/spreadsheets/d/1q9nWasZJ-K8bFGvbE9n0qSRuKGA4Toe3Y89cKCiVtCU/edit?usp=sharing"",""สตูล!R193"")+IMPORTRANGE(""https://docs.google.com/sprea"&amp;"dsheets/d/18T20gbkS_WBjdscyTOV05cvq_JqvqQ17C81mpxf7Ncs/edit?usp=sharing"",""สุราษฎร์ธานี!R193"")"),0)</f>
        <v>0</v>
      </c>
      <c r="S193" s="47">
        <f ca="1">IFERROR(__xludf.DUMMYFUNCTION("IMPORTRANGE(""https://docs.google.com/spreadsheets/d/1kKUcYdkIfrgTSj8iHHHB2MD2FAtwyyocFgqGQn6ADyI/edit?usp=sharing"",""กระบี่!S193"")+IMPORTRANGE(""https://docs.google.com/spreadsheets/d/1GwtLaSlNZkLk7iDqcyZz22giiy40b_usZZBXYciEN1U/edit?usp=sharing"",""ชุ"&amp;"มพร!S193"")+IMPORTRANGE(""https://docs.google.com/spreadsheets/d/16pAz3pOhQEZBhvFNMa5KGgZS6iKWpsKX0pg6tQmwFpo/edit?usp=sharing"",""ตรัง!S193"")+IMPORTRANGE(""https://docs.google.com/spreadsheets/d/1Dj4jcHCTV9JXKCaMoheSXS52JE63kDKyG7bPXnFogHk/edit?usp=shar"&amp;"ing"",""นครศรีธรรมราช!S193"")+IMPORTRANGE(""https://docs.google.com/spreadsheets/d/1iodCdmuK2GR3jzUwk8tpccY2JHQQA-87DLOtJP-ooyU/edit?usp=sharing"",""นราธิวาส!S193"")+IMPORTRANGE(""https://docs.google.com/spreadsheets/d/1SDNX3JhDdYRuIOsj0Wh2M-Qa_eaXl0NbWmh"&amp;"AOTbfQAs/edit?usp=sharing"",""ปัตตานี!S193"")+IMPORTRANGE(""https://docs.google.com/spreadsheets/d/16JDLGguT8s5DsGCND1KcwHP_AWR_zDMTqLHPLJUKhaU/edit?usp=sharing"",""พังงา!S193"")+IMPORTRANGE(""https://docs.google.com/spreadsheets/d/17ht0gPKzzT3PObBL1XJkeR"&amp;"mntBXI7wGjpLV7QorqlTk/edit?usp=sharing"",""พัทลุง!S193"")+IMPORTRANGE(""https://docs.google.com/spreadsheets/d/1rd4qoM1q_hsgaolqNGfrim9gbsoLxQsda4-vOz5x_BM/edit?usp=sharing"",""ภูเก็ต!S193"")+IMPORTRANGE(""https://docs.google.com/spreadsheets/d/1woKwKjgoL"&amp;"ssDvPcPeVyezB5izizAn4X1JDrys69n6xI/edit?usp=sharing"",""ยะลา!S193"")+IMPORTRANGE(""https://docs.google.com/spreadsheets/d/1qfrKjzMhm2HJfxQ-qVlJlJQ25Hne1d0khsySbZyGtPA/edit?usp=sharing"",""ระนอง!S193"")+IMPORTRANGE(""https://docs.google.com/spreadsheets/d/"&amp;"1IbSCnFOKpZsnFogBHJnL_isstZVaOMnFiIN0fGTPZZw/edit?usp=sharing"",""สงขลา!S193"")+IMPORTRANGE(""https://docs.google.com/spreadsheets/d/1q9nWasZJ-K8bFGvbE9n0qSRuKGA4Toe3Y89cKCiVtCU/edit?usp=sharing"",""สตูล!S193"")+IMPORTRANGE(""https://docs.google.com/sprea"&amp;"dsheets/d/18T20gbkS_WBjdscyTOV05cvq_JqvqQ17C81mpxf7Ncs/edit?usp=sharing"",""สุราษฎร์ธานี!S193"")"),0)</f>
        <v>0</v>
      </c>
      <c r="T193" s="49">
        <f t="shared" ca="1" si="161"/>
        <v>0</v>
      </c>
      <c r="U193" s="49">
        <f t="shared" ca="1" si="162"/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7">
        <f ca="1">IFERROR(__xludf.DUMMYFUNCTION("IMPORTRANGE(""https://docs.google.com/spreadsheets/d/1kKUcYdkIfrgTSj8iHHHB2MD2FAtwyyocFgqGQn6ADyI/edit?usp=sharing"",""กระบี่!L194"")+IMPORTRANGE(""https://docs.google.com/spreadsheets/d/1GwtLaSlNZkLk7iDqcyZz22giiy40b_usZZBXYciEN1U/edit?usp=sharing"",""ชุ"&amp;"มพร!L194"")+IMPORTRANGE(""https://docs.google.com/spreadsheets/d/16pAz3pOhQEZBhvFNMa5KGgZS6iKWpsKX0pg6tQmwFpo/edit?usp=sharing"",""ตรัง!L194"")+IMPORTRANGE(""https://docs.google.com/spreadsheets/d/1Dj4jcHCTV9JXKCaMoheSXS52JE63kDKyG7bPXnFogHk/edit?usp=shar"&amp;"ing"",""นครศรีธรรมราช!L194"")+IMPORTRANGE(""https://docs.google.com/spreadsheets/d/1iodCdmuK2GR3jzUwk8tpccY2JHQQA-87DLOtJP-ooyU/edit?usp=sharing"",""นราธิวาส!L194"")+IMPORTRANGE(""https://docs.google.com/spreadsheets/d/1SDNX3JhDdYRuIOsj0Wh2M-Qa_eaXl0NbWmh"&amp;"AOTbfQAs/edit?usp=sharing"",""ปัตตานี!L194"")+IMPORTRANGE(""https://docs.google.com/spreadsheets/d/16JDLGguT8s5DsGCND1KcwHP_AWR_zDMTqLHPLJUKhaU/edit?usp=sharing"",""พังงา!L194"")+IMPORTRANGE(""https://docs.google.com/spreadsheets/d/17ht0gPKzzT3PObBL1XJkeR"&amp;"mntBXI7wGjpLV7QorqlTk/edit?usp=sharing"",""พัทลุง!L194"")+IMPORTRANGE(""https://docs.google.com/spreadsheets/d/1rd4qoM1q_hsgaolqNGfrim9gbsoLxQsda4-vOz5x_BM/edit?usp=sharing"",""ภูเก็ต!L194"")+IMPORTRANGE(""https://docs.google.com/spreadsheets/d/1woKwKjgoL"&amp;"ssDvPcPeVyezB5izizAn4X1JDrys69n6xI/edit?usp=sharing"",""ยะลา!L194"")+IMPORTRANGE(""https://docs.google.com/spreadsheets/d/1qfrKjzMhm2HJfxQ-qVlJlJQ25Hne1d0khsySbZyGtPA/edit?usp=sharing"",""ระนอง!L194"")+IMPORTRANGE(""https://docs.google.com/spreadsheets/d/"&amp;"1IbSCnFOKpZsnFogBHJnL_isstZVaOMnFiIN0fGTPZZw/edit?usp=sharing"",""สงขลา!L194"")+IMPORTRANGE(""https://docs.google.com/spreadsheets/d/1q9nWasZJ-K8bFGvbE9n0qSRuKGA4Toe3Y89cKCiVtCU/edit?usp=sharing"",""สตูล!L194"")+IMPORTRANGE(""https://docs.google.com/sprea"&amp;"dsheets/d/18T20gbkS_WBjdscyTOV05cvq_JqvqQ17C81mpxf7Ncs/edit?usp=sharing"",""สุราษฎร์ธานี!L194"")"),0)</f>
        <v>0</v>
      </c>
      <c r="M194" s="47">
        <f ca="1">IFERROR(__xludf.DUMMYFUNCTION("IMPORTRANGE(""https://docs.google.com/spreadsheets/d/1kKUcYdkIfrgTSj8iHHHB2MD2FAtwyyocFgqGQn6ADyI/edit?usp=sharing"",""กระบี่!M194"")+IMPORTRANGE(""https://docs.google.com/spreadsheets/d/1GwtLaSlNZkLk7iDqcyZz22giiy40b_usZZBXYciEN1U/edit?usp=sharing"",""ชุ"&amp;"มพร!M194"")+IMPORTRANGE(""https://docs.google.com/spreadsheets/d/16pAz3pOhQEZBhvFNMa5KGgZS6iKWpsKX0pg6tQmwFpo/edit?usp=sharing"",""ตรัง!M194"")+IMPORTRANGE(""https://docs.google.com/spreadsheets/d/1Dj4jcHCTV9JXKCaMoheSXS52JE63kDKyG7bPXnFogHk/edit?usp=shar"&amp;"ing"",""นครศรีธรรมราช!M194"")+IMPORTRANGE(""https://docs.google.com/spreadsheets/d/1iodCdmuK2GR3jzUwk8tpccY2JHQQA-87DLOtJP-ooyU/edit?usp=sharing"",""นราธิวาส!M194"")+IMPORTRANGE(""https://docs.google.com/spreadsheets/d/1SDNX3JhDdYRuIOsj0Wh2M-Qa_eaXl0NbWmh"&amp;"AOTbfQAs/edit?usp=sharing"",""ปัตตานี!M194"")+IMPORTRANGE(""https://docs.google.com/spreadsheets/d/16JDLGguT8s5DsGCND1KcwHP_AWR_zDMTqLHPLJUKhaU/edit?usp=sharing"",""พังงา!M194"")+IMPORTRANGE(""https://docs.google.com/spreadsheets/d/17ht0gPKzzT3PObBL1XJkeR"&amp;"mntBXI7wGjpLV7QorqlTk/edit?usp=sharing"",""พัทลุง!M194"")+IMPORTRANGE(""https://docs.google.com/spreadsheets/d/1rd4qoM1q_hsgaolqNGfrim9gbsoLxQsda4-vOz5x_BM/edit?usp=sharing"",""ภูเก็ต!M194"")+IMPORTRANGE(""https://docs.google.com/spreadsheets/d/1woKwKjgoL"&amp;"ssDvPcPeVyezB5izizAn4X1JDrys69n6xI/edit?usp=sharing"",""ยะลา!M194"")+IMPORTRANGE(""https://docs.google.com/spreadsheets/d/1qfrKjzMhm2HJfxQ-qVlJlJQ25Hne1d0khsySbZyGtPA/edit?usp=sharing"",""ระนอง!M194"")+IMPORTRANGE(""https://docs.google.com/spreadsheets/d/"&amp;"1IbSCnFOKpZsnFogBHJnL_isstZVaOMnFiIN0fGTPZZw/edit?usp=sharing"",""สงขลา!M194"")+IMPORTRANGE(""https://docs.google.com/spreadsheets/d/1q9nWasZJ-K8bFGvbE9n0qSRuKGA4Toe3Y89cKCiVtCU/edit?usp=sharing"",""สตูล!M194"")+IMPORTRANGE(""https://docs.google.com/sprea"&amp;"dsheets/d/18T20gbkS_WBjdscyTOV05cvq_JqvqQ17C81mpxf7Ncs/edit?usp=sharing"",""สุราษฎร์ธานี!M194"")"),0)</f>
        <v>0</v>
      </c>
      <c r="N194" s="47">
        <f ca="1">IFERROR(__xludf.DUMMYFUNCTION("IMPORTRANGE(""https://docs.google.com/spreadsheets/d/1kKUcYdkIfrgTSj8iHHHB2MD2FAtwyyocFgqGQn6ADyI/edit?usp=sharing"",""กระบี่!N194"")+IMPORTRANGE(""https://docs.google.com/spreadsheets/d/1GwtLaSlNZkLk7iDqcyZz22giiy40b_usZZBXYciEN1U/edit?usp=sharing"",""ชุ"&amp;"มพร!N194"")+IMPORTRANGE(""https://docs.google.com/spreadsheets/d/16pAz3pOhQEZBhvFNMa5KGgZS6iKWpsKX0pg6tQmwFpo/edit?usp=sharing"",""ตรัง!N194"")+IMPORTRANGE(""https://docs.google.com/spreadsheets/d/1Dj4jcHCTV9JXKCaMoheSXS52JE63kDKyG7bPXnFogHk/edit?usp=shar"&amp;"ing"",""นครศรีธรรมราช!N194"")+IMPORTRANGE(""https://docs.google.com/spreadsheets/d/1iodCdmuK2GR3jzUwk8tpccY2JHQQA-87DLOtJP-ooyU/edit?usp=sharing"",""นราธิวาส!N194"")+IMPORTRANGE(""https://docs.google.com/spreadsheets/d/1SDNX3JhDdYRuIOsj0Wh2M-Qa_eaXl0NbWmh"&amp;"AOTbfQAs/edit?usp=sharing"",""ปัตตานี!N194"")+IMPORTRANGE(""https://docs.google.com/spreadsheets/d/16JDLGguT8s5DsGCND1KcwHP_AWR_zDMTqLHPLJUKhaU/edit?usp=sharing"",""พังงา!N194"")+IMPORTRANGE(""https://docs.google.com/spreadsheets/d/17ht0gPKzzT3PObBL1XJkeR"&amp;"mntBXI7wGjpLV7QorqlTk/edit?usp=sharing"",""พัทลุง!N194"")+IMPORTRANGE(""https://docs.google.com/spreadsheets/d/1rd4qoM1q_hsgaolqNGfrim9gbsoLxQsda4-vOz5x_BM/edit?usp=sharing"",""ภูเก็ต!N194"")+IMPORTRANGE(""https://docs.google.com/spreadsheets/d/1woKwKjgoL"&amp;"ssDvPcPeVyezB5izizAn4X1JDrys69n6xI/edit?usp=sharing"",""ยะลา!N194"")+IMPORTRANGE(""https://docs.google.com/spreadsheets/d/1qfrKjzMhm2HJfxQ-qVlJlJQ25Hne1d0khsySbZyGtPA/edit?usp=sharing"",""ระนอง!N194"")+IMPORTRANGE(""https://docs.google.com/spreadsheets/d/"&amp;"1IbSCnFOKpZsnFogBHJnL_isstZVaOMnFiIN0fGTPZZw/edit?usp=sharing"",""สงขลา!N194"")+IMPORTRANGE(""https://docs.google.com/spreadsheets/d/1q9nWasZJ-K8bFGvbE9n0qSRuKGA4Toe3Y89cKCiVtCU/edit?usp=sharing"",""สตูล!N194"")+IMPORTRANGE(""https://docs.google.com/sprea"&amp;"dsheets/d/18T20gbkS_WBjdscyTOV05cvq_JqvqQ17C81mpxf7Ncs/edit?usp=sharing"",""สุราษฎร์ธานี!N194"")"),0)</f>
        <v>0</v>
      </c>
      <c r="O194" s="47">
        <f t="shared" ca="1" si="158"/>
        <v>0</v>
      </c>
      <c r="P194" s="47">
        <f t="shared" ca="1" si="159"/>
        <v>0</v>
      </c>
      <c r="Q194" s="47">
        <f ca="1">IFERROR(__xludf.DUMMYFUNCTION("IMPORTRANGE(""https://docs.google.com/spreadsheets/d/1kKUcYdkIfrgTSj8iHHHB2MD2FAtwyyocFgqGQn6ADyI/edit?usp=sharing"",""กระบี่!Q194"")+IMPORTRANGE(""https://docs.google.com/spreadsheets/d/1GwtLaSlNZkLk7iDqcyZz22giiy40b_usZZBXYciEN1U/edit?usp=sharing"",""ชุ"&amp;"มพร!Q194"")+IMPORTRANGE(""https://docs.google.com/spreadsheets/d/16pAz3pOhQEZBhvFNMa5KGgZS6iKWpsKX0pg6tQmwFpo/edit?usp=sharing"",""ตรัง!Q194"")+IMPORTRANGE(""https://docs.google.com/spreadsheets/d/1Dj4jcHCTV9JXKCaMoheSXS52JE63kDKyG7bPXnFogHk/edit?usp=shar"&amp;"ing"",""นครศรีธรรมราช!Q194"")+IMPORTRANGE(""https://docs.google.com/spreadsheets/d/1iodCdmuK2GR3jzUwk8tpccY2JHQQA-87DLOtJP-ooyU/edit?usp=sharing"",""นราธิวาส!Q194"")+IMPORTRANGE(""https://docs.google.com/spreadsheets/d/1SDNX3JhDdYRuIOsj0Wh2M-Qa_eaXl0NbWmh"&amp;"AOTbfQAs/edit?usp=sharing"",""ปัตตานี!Q194"")+IMPORTRANGE(""https://docs.google.com/spreadsheets/d/16JDLGguT8s5DsGCND1KcwHP_AWR_zDMTqLHPLJUKhaU/edit?usp=sharing"",""พังงา!Q194"")+IMPORTRANGE(""https://docs.google.com/spreadsheets/d/17ht0gPKzzT3PObBL1XJkeR"&amp;"mntBXI7wGjpLV7QorqlTk/edit?usp=sharing"",""พัทลุง!Q194"")+IMPORTRANGE(""https://docs.google.com/spreadsheets/d/1rd4qoM1q_hsgaolqNGfrim9gbsoLxQsda4-vOz5x_BM/edit?usp=sharing"",""ภูเก็ต!Q194"")+IMPORTRANGE(""https://docs.google.com/spreadsheets/d/1woKwKjgoL"&amp;"ssDvPcPeVyezB5izizAn4X1JDrys69n6xI/edit?usp=sharing"",""ยะลา!Q194"")+IMPORTRANGE(""https://docs.google.com/spreadsheets/d/1qfrKjzMhm2HJfxQ-qVlJlJQ25Hne1d0khsySbZyGtPA/edit?usp=sharing"",""ระนอง!Q194"")+IMPORTRANGE(""https://docs.google.com/spreadsheets/d/"&amp;"1IbSCnFOKpZsnFogBHJnL_isstZVaOMnFiIN0fGTPZZw/edit?usp=sharing"",""สงขลา!Q194"")+IMPORTRANGE(""https://docs.google.com/spreadsheets/d/1q9nWasZJ-K8bFGvbE9n0qSRuKGA4Toe3Y89cKCiVtCU/edit?usp=sharing"",""สตูล!Q194"")+IMPORTRANGE(""https://docs.google.com/sprea"&amp;"dsheets/d/18T20gbkS_WBjdscyTOV05cvq_JqvqQ17C81mpxf7Ncs/edit?usp=sharing"",""สุราษฎร์ธานี!Q194"")"),0)</f>
        <v>0</v>
      </c>
      <c r="R194" s="47">
        <f ca="1">IFERROR(__xludf.DUMMYFUNCTION("IMPORTRANGE(""https://docs.google.com/spreadsheets/d/1kKUcYdkIfrgTSj8iHHHB2MD2FAtwyyocFgqGQn6ADyI/edit?usp=sharing"",""กระบี่!R194"")+IMPORTRANGE(""https://docs.google.com/spreadsheets/d/1GwtLaSlNZkLk7iDqcyZz22giiy40b_usZZBXYciEN1U/edit?usp=sharing"",""ชุ"&amp;"มพร!R194"")+IMPORTRANGE(""https://docs.google.com/spreadsheets/d/16pAz3pOhQEZBhvFNMa5KGgZS6iKWpsKX0pg6tQmwFpo/edit?usp=sharing"",""ตรัง!R194"")+IMPORTRANGE(""https://docs.google.com/spreadsheets/d/1Dj4jcHCTV9JXKCaMoheSXS52JE63kDKyG7bPXnFogHk/edit?usp=shar"&amp;"ing"",""นครศรีธรรมราช!R194"")+IMPORTRANGE(""https://docs.google.com/spreadsheets/d/1iodCdmuK2GR3jzUwk8tpccY2JHQQA-87DLOtJP-ooyU/edit?usp=sharing"",""นราธิวาส!R194"")+IMPORTRANGE(""https://docs.google.com/spreadsheets/d/1SDNX3JhDdYRuIOsj0Wh2M-Qa_eaXl0NbWmh"&amp;"AOTbfQAs/edit?usp=sharing"",""ปัตตานี!R194"")+IMPORTRANGE(""https://docs.google.com/spreadsheets/d/16JDLGguT8s5DsGCND1KcwHP_AWR_zDMTqLHPLJUKhaU/edit?usp=sharing"",""พังงา!R194"")+IMPORTRANGE(""https://docs.google.com/spreadsheets/d/17ht0gPKzzT3PObBL1XJkeR"&amp;"mntBXI7wGjpLV7QorqlTk/edit?usp=sharing"",""พัทลุง!R194"")+IMPORTRANGE(""https://docs.google.com/spreadsheets/d/1rd4qoM1q_hsgaolqNGfrim9gbsoLxQsda4-vOz5x_BM/edit?usp=sharing"",""ภูเก็ต!R194"")+IMPORTRANGE(""https://docs.google.com/spreadsheets/d/1woKwKjgoL"&amp;"ssDvPcPeVyezB5izizAn4X1JDrys69n6xI/edit?usp=sharing"",""ยะลา!R194"")+IMPORTRANGE(""https://docs.google.com/spreadsheets/d/1qfrKjzMhm2HJfxQ-qVlJlJQ25Hne1d0khsySbZyGtPA/edit?usp=sharing"",""ระนอง!R194"")+IMPORTRANGE(""https://docs.google.com/spreadsheets/d/"&amp;"1IbSCnFOKpZsnFogBHJnL_isstZVaOMnFiIN0fGTPZZw/edit?usp=sharing"",""สงขลา!R194"")+IMPORTRANGE(""https://docs.google.com/spreadsheets/d/1q9nWasZJ-K8bFGvbE9n0qSRuKGA4Toe3Y89cKCiVtCU/edit?usp=sharing"",""สตูล!R194"")+IMPORTRANGE(""https://docs.google.com/sprea"&amp;"dsheets/d/18T20gbkS_WBjdscyTOV05cvq_JqvqQ17C81mpxf7Ncs/edit?usp=sharing"",""สุราษฎร์ธานี!R194"")"),0)</f>
        <v>0</v>
      </c>
      <c r="S194" s="47">
        <f ca="1">IFERROR(__xludf.DUMMYFUNCTION("IMPORTRANGE(""https://docs.google.com/spreadsheets/d/1kKUcYdkIfrgTSj8iHHHB2MD2FAtwyyocFgqGQn6ADyI/edit?usp=sharing"",""กระบี่!S194"")+IMPORTRANGE(""https://docs.google.com/spreadsheets/d/1GwtLaSlNZkLk7iDqcyZz22giiy40b_usZZBXYciEN1U/edit?usp=sharing"",""ชุ"&amp;"มพร!S194"")+IMPORTRANGE(""https://docs.google.com/spreadsheets/d/16pAz3pOhQEZBhvFNMa5KGgZS6iKWpsKX0pg6tQmwFpo/edit?usp=sharing"",""ตรัง!S194"")+IMPORTRANGE(""https://docs.google.com/spreadsheets/d/1Dj4jcHCTV9JXKCaMoheSXS52JE63kDKyG7bPXnFogHk/edit?usp=shar"&amp;"ing"",""นครศรีธรรมราช!S194"")+IMPORTRANGE(""https://docs.google.com/spreadsheets/d/1iodCdmuK2GR3jzUwk8tpccY2JHQQA-87DLOtJP-ooyU/edit?usp=sharing"",""นราธิวาส!S194"")+IMPORTRANGE(""https://docs.google.com/spreadsheets/d/1SDNX3JhDdYRuIOsj0Wh2M-Qa_eaXl0NbWmh"&amp;"AOTbfQAs/edit?usp=sharing"",""ปัตตานี!S194"")+IMPORTRANGE(""https://docs.google.com/spreadsheets/d/16JDLGguT8s5DsGCND1KcwHP_AWR_zDMTqLHPLJUKhaU/edit?usp=sharing"",""พังงา!S194"")+IMPORTRANGE(""https://docs.google.com/spreadsheets/d/17ht0gPKzzT3PObBL1XJkeR"&amp;"mntBXI7wGjpLV7QorqlTk/edit?usp=sharing"",""พัทลุง!S194"")+IMPORTRANGE(""https://docs.google.com/spreadsheets/d/1rd4qoM1q_hsgaolqNGfrim9gbsoLxQsda4-vOz5x_BM/edit?usp=sharing"",""ภูเก็ต!S194"")+IMPORTRANGE(""https://docs.google.com/spreadsheets/d/1woKwKjgoL"&amp;"ssDvPcPeVyezB5izizAn4X1JDrys69n6xI/edit?usp=sharing"",""ยะลา!S194"")+IMPORTRANGE(""https://docs.google.com/spreadsheets/d/1qfrKjzMhm2HJfxQ-qVlJlJQ25Hne1d0khsySbZyGtPA/edit?usp=sharing"",""ระนอง!S194"")+IMPORTRANGE(""https://docs.google.com/spreadsheets/d/"&amp;"1IbSCnFOKpZsnFogBHJnL_isstZVaOMnFiIN0fGTPZZw/edit?usp=sharing"",""สงขลา!S194"")+IMPORTRANGE(""https://docs.google.com/spreadsheets/d/1q9nWasZJ-K8bFGvbE9n0qSRuKGA4Toe3Y89cKCiVtCU/edit?usp=sharing"",""สตูล!S194"")+IMPORTRANGE(""https://docs.google.com/sprea"&amp;"dsheets/d/18T20gbkS_WBjdscyTOV05cvq_JqvqQ17C81mpxf7Ncs/edit?usp=sharing"",""สุราษฎร์ธานี!S194"")"),0)</f>
        <v>0</v>
      </c>
      <c r="T194" s="47">
        <f t="shared" ca="1" si="161"/>
        <v>0</v>
      </c>
      <c r="U194" s="47">
        <f t="shared" ca="1" si="162"/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t="shared" ref="I195:J195" ca="1" si="171">I198</f>
        <v>56</v>
      </c>
      <c r="J195" s="228">
        <f t="shared" ca="1" si="171"/>
        <v>31</v>
      </c>
      <c r="K195" s="229">
        <f ca="1">IF(I195&gt;0,J195*100/I195,0)</f>
        <v>55.357142857142854</v>
      </c>
      <c r="L195" s="230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231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132">
        <f ca="1">IFERROR(__xludf.DUMMYFUNCTION("IMPORTRANGE(""https://docs.google.com/spreadsheets/d/1kKUcYdkIfrgTSj8iHHHB2MD2FAtwyyocFgqGQn6ADyI/edit?usp=sharing"",""กระบี่!L196"")+IMPORTRANGE(""https://docs.google.com/spreadsheets/d/1GwtLaSlNZkLk7iDqcyZz22giiy40b_usZZBXYciEN1U/edit?usp=sharing"",""ชุ"&amp;"มพร!L196"")+IMPORTRANGE(""https://docs.google.com/spreadsheets/d/16pAz3pOhQEZBhvFNMa5KGgZS6iKWpsKX0pg6tQmwFpo/edit?usp=sharing"",""ตรัง!L196"")+IMPORTRANGE(""https://docs.google.com/spreadsheets/d/1Dj4jcHCTV9JXKCaMoheSXS52JE63kDKyG7bPXnFogHk/edit?usp=shar"&amp;"ing"",""นครศรีธรรมราช!L196"")+IMPORTRANGE(""https://docs.google.com/spreadsheets/d/1iodCdmuK2GR3jzUwk8tpccY2JHQQA-87DLOtJP-ooyU/edit?usp=sharing"",""นราธิวาส!L196"")+IMPORTRANGE(""https://docs.google.com/spreadsheets/d/1SDNX3JhDdYRuIOsj0Wh2M-Qa_eaXl0NbWmh"&amp;"AOTbfQAs/edit?usp=sharing"",""ปัตตานี!L196"")+IMPORTRANGE(""https://docs.google.com/spreadsheets/d/16JDLGguT8s5DsGCND1KcwHP_AWR_zDMTqLHPLJUKhaU/edit?usp=sharing"",""พังงา!L196"")+IMPORTRANGE(""https://docs.google.com/spreadsheets/d/17ht0gPKzzT3PObBL1XJkeR"&amp;"mntBXI7wGjpLV7QorqlTk/edit?usp=sharing"",""พัทลุง!L196"")+IMPORTRANGE(""https://docs.google.com/spreadsheets/d/1rd4qoM1q_hsgaolqNGfrim9gbsoLxQsda4-vOz5x_BM/edit?usp=sharing"",""ภูเก็ต!L196"")+IMPORTRANGE(""https://docs.google.com/spreadsheets/d/1woKwKjgoL"&amp;"ssDvPcPeVyezB5izizAn4X1JDrys69n6xI/edit?usp=sharing"",""ยะลา!L196"")+IMPORTRANGE(""https://docs.google.com/spreadsheets/d/1qfrKjzMhm2HJfxQ-qVlJlJQ25Hne1d0khsySbZyGtPA/edit?usp=sharing"",""ระนอง!L196"")+IMPORTRANGE(""https://docs.google.com/spreadsheets/d/"&amp;"1IbSCnFOKpZsnFogBHJnL_isstZVaOMnFiIN0fGTPZZw/edit?usp=sharing"",""สงขลา!L196"")+IMPORTRANGE(""https://docs.google.com/spreadsheets/d/1q9nWasZJ-K8bFGvbE9n0qSRuKGA4Toe3Y89cKCiVtCU/edit?usp=sharing"",""สตูล!L196"")+IMPORTRANGE(""https://docs.google.com/sprea"&amp;"dsheets/d/18T20gbkS_WBjdscyTOV05cvq_JqvqQ17C81mpxf7Ncs/edit?usp=sharing"",""สุราษฎร์ธานี!L196"")"),84000)</f>
        <v>84000</v>
      </c>
      <c r="M196" s="132">
        <f ca="1">IFERROR(__xludf.DUMMYFUNCTION("IMPORTRANGE(""https://docs.google.com/spreadsheets/d/1kKUcYdkIfrgTSj8iHHHB2MD2FAtwyyocFgqGQn6ADyI/edit?usp=sharing"",""กระบี่!M196"")+IMPORTRANGE(""https://docs.google.com/spreadsheets/d/1GwtLaSlNZkLk7iDqcyZz22giiy40b_usZZBXYciEN1U/edit?usp=sharing"",""ชุ"&amp;"มพร!M196"")+IMPORTRANGE(""https://docs.google.com/spreadsheets/d/16pAz3pOhQEZBhvFNMa5KGgZS6iKWpsKX0pg6tQmwFpo/edit?usp=sharing"",""ตรัง!M196"")+IMPORTRANGE(""https://docs.google.com/spreadsheets/d/1Dj4jcHCTV9JXKCaMoheSXS52JE63kDKyG7bPXnFogHk/edit?usp=shar"&amp;"ing"",""นครศรีธรรมราช!M196"")+IMPORTRANGE(""https://docs.google.com/spreadsheets/d/1iodCdmuK2GR3jzUwk8tpccY2JHQQA-87DLOtJP-ooyU/edit?usp=sharing"",""นราธิวาส!M196"")+IMPORTRANGE(""https://docs.google.com/spreadsheets/d/1SDNX3JhDdYRuIOsj0Wh2M-Qa_eaXl0NbWmh"&amp;"AOTbfQAs/edit?usp=sharing"",""ปัตตานี!M196"")+IMPORTRANGE(""https://docs.google.com/spreadsheets/d/16JDLGguT8s5DsGCND1KcwHP_AWR_zDMTqLHPLJUKhaU/edit?usp=sharing"",""พังงา!M196"")+IMPORTRANGE(""https://docs.google.com/spreadsheets/d/17ht0gPKzzT3PObBL1XJkeR"&amp;"mntBXI7wGjpLV7QorqlTk/edit?usp=sharing"",""พัทลุง!M196"")+IMPORTRANGE(""https://docs.google.com/spreadsheets/d/1rd4qoM1q_hsgaolqNGfrim9gbsoLxQsda4-vOz5x_BM/edit?usp=sharing"",""ภูเก็ต!M196"")+IMPORTRANGE(""https://docs.google.com/spreadsheets/d/1woKwKjgoL"&amp;"ssDvPcPeVyezB5izizAn4X1JDrys69n6xI/edit?usp=sharing"",""ยะลา!M196"")+IMPORTRANGE(""https://docs.google.com/spreadsheets/d/1qfrKjzMhm2HJfxQ-qVlJlJQ25Hne1d0khsySbZyGtPA/edit?usp=sharing"",""ระนอง!M196"")+IMPORTRANGE(""https://docs.google.com/spreadsheets/d/"&amp;"1IbSCnFOKpZsnFogBHJnL_isstZVaOMnFiIN0fGTPZZw/edit?usp=sharing"",""สงขลา!M196"")+IMPORTRANGE(""https://docs.google.com/spreadsheets/d/1q9nWasZJ-K8bFGvbE9n0qSRuKGA4Toe3Y89cKCiVtCU/edit?usp=sharing"",""สตูล!M196"")+IMPORTRANGE(""https://docs.google.com/sprea"&amp;"dsheets/d/18T20gbkS_WBjdscyTOV05cvq_JqvqQ17C81mpxf7Ncs/edit?usp=sharing"",""สุราษฎร์ธานี!M196"")"),0)</f>
        <v>0</v>
      </c>
      <c r="N196" s="132">
        <f ca="1">IFERROR(__xludf.DUMMYFUNCTION("IMPORTRANGE(""https://docs.google.com/spreadsheets/d/1kKUcYdkIfrgTSj8iHHHB2MD2FAtwyyocFgqGQn6ADyI/edit?usp=sharing"",""กระบี่!N196"")+IMPORTRANGE(""https://docs.google.com/spreadsheets/d/1GwtLaSlNZkLk7iDqcyZz22giiy40b_usZZBXYciEN1U/edit?usp=sharing"",""ชุ"&amp;"มพร!N196"")+IMPORTRANGE(""https://docs.google.com/spreadsheets/d/16pAz3pOhQEZBhvFNMa5KGgZS6iKWpsKX0pg6tQmwFpo/edit?usp=sharing"",""ตรัง!N196"")+IMPORTRANGE(""https://docs.google.com/spreadsheets/d/1Dj4jcHCTV9JXKCaMoheSXS52JE63kDKyG7bPXnFogHk/edit?usp=shar"&amp;"ing"",""นครศรีธรรมราช!N196"")+IMPORTRANGE(""https://docs.google.com/spreadsheets/d/1iodCdmuK2GR3jzUwk8tpccY2JHQQA-87DLOtJP-ooyU/edit?usp=sharing"",""นราธิวาส!N196"")+IMPORTRANGE(""https://docs.google.com/spreadsheets/d/1SDNX3JhDdYRuIOsj0Wh2M-Qa_eaXl0NbWmh"&amp;"AOTbfQAs/edit?usp=sharing"",""ปัตตานี!N196"")+IMPORTRANGE(""https://docs.google.com/spreadsheets/d/16JDLGguT8s5DsGCND1KcwHP_AWR_zDMTqLHPLJUKhaU/edit?usp=sharing"",""พังงา!N196"")+IMPORTRANGE(""https://docs.google.com/spreadsheets/d/17ht0gPKzzT3PObBL1XJkeR"&amp;"mntBXI7wGjpLV7QorqlTk/edit?usp=sharing"",""พัทลุง!N196"")+IMPORTRANGE(""https://docs.google.com/spreadsheets/d/1rd4qoM1q_hsgaolqNGfrim9gbsoLxQsda4-vOz5x_BM/edit?usp=sharing"",""ภูเก็ต!N196"")+IMPORTRANGE(""https://docs.google.com/spreadsheets/d/1woKwKjgoL"&amp;"ssDvPcPeVyezB5izizAn4X1JDrys69n6xI/edit?usp=sharing"",""ยะลา!N196"")+IMPORTRANGE(""https://docs.google.com/spreadsheets/d/1qfrKjzMhm2HJfxQ-qVlJlJQ25Hne1d0khsySbZyGtPA/edit?usp=sharing"",""ระนอง!N196"")+IMPORTRANGE(""https://docs.google.com/spreadsheets/d/"&amp;"1IbSCnFOKpZsnFogBHJnL_isstZVaOMnFiIN0fGTPZZw/edit?usp=sharing"",""สงขลา!N196"")+IMPORTRANGE(""https://docs.google.com/spreadsheets/d/1q9nWasZJ-K8bFGvbE9n0qSRuKGA4Toe3Y89cKCiVtCU/edit?usp=sharing"",""สตูล!N196"")+IMPORTRANGE(""https://docs.google.com/sprea"&amp;"dsheets/d/18T20gbkS_WBjdscyTOV05cvq_JqvqQ17C81mpxf7Ncs/edit?usp=sharing"",""สุราษฎร์ธานี!N196"")"),20960)</f>
        <v>20960</v>
      </c>
      <c r="O196" s="132">
        <f ca="1">IF(L196&gt;0,N196*100/L196,0)</f>
        <v>24.952380952380953</v>
      </c>
      <c r="P196" s="46"/>
      <c r="Q196" s="132">
        <f ca="1">IFERROR(__xludf.DUMMYFUNCTION("IMPORTRANGE(""https://docs.google.com/spreadsheets/d/1kKUcYdkIfrgTSj8iHHHB2MD2FAtwyyocFgqGQn6ADyI/edit?usp=sharing"",""กระบี่!Q196"")+IMPORTRANGE(""https://docs.google.com/spreadsheets/d/1GwtLaSlNZkLk7iDqcyZz22giiy40b_usZZBXYciEN1U/edit?usp=sharing"",""ชุ"&amp;"มพร!Q196"")+IMPORTRANGE(""https://docs.google.com/spreadsheets/d/16pAz3pOhQEZBhvFNMa5KGgZS6iKWpsKX0pg6tQmwFpo/edit?usp=sharing"",""ตรัง!Q196"")+IMPORTRANGE(""https://docs.google.com/spreadsheets/d/1Dj4jcHCTV9JXKCaMoheSXS52JE63kDKyG7bPXnFogHk/edit?usp=shar"&amp;"ing"",""นครศรีธรรมราช!Q196"")+IMPORTRANGE(""https://docs.google.com/spreadsheets/d/1iodCdmuK2GR3jzUwk8tpccY2JHQQA-87DLOtJP-ooyU/edit?usp=sharing"",""นราธิวาส!Q196"")+IMPORTRANGE(""https://docs.google.com/spreadsheets/d/1SDNX3JhDdYRuIOsj0Wh2M-Qa_eaXl0NbWmh"&amp;"AOTbfQAs/edit?usp=sharing"",""ปัตตานี!Q196"")+IMPORTRANGE(""https://docs.google.com/spreadsheets/d/16JDLGguT8s5DsGCND1KcwHP_AWR_zDMTqLHPLJUKhaU/edit?usp=sharing"",""พังงา!Q196"")+IMPORTRANGE(""https://docs.google.com/spreadsheets/d/17ht0gPKzzT3PObBL1XJkeR"&amp;"mntBXI7wGjpLV7QorqlTk/edit?usp=sharing"",""พัทลุง!Q196"")+IMPORTRANGE(""https://docs.google.com/spreadsheets/d/1rd4qoM1q_hsgaolqNGfrim9gbsoLxQsda4-vOz5x_BM/edit?usp=sharing"",""ภูเก็ต!Q196"")+IMPORTRANGE(""https://docs.google.com/spreadsheets/d/1woKwKjgoL"&amp;"ssDvPcPeVyezB5izizAn4X1JDrys69n6xI/edit?usp=sharing"",""ยะลา!Q196"")+IMPORTRANGE(""https://docs.google.com/spreadsheets/d/1qfrKjzMhm2HJfxQ-qVlJlJQ25Hne1d0khsySbZyGtPA/edit?usp=sharing"",""ระนอง!Q196"")+IMPORTRANGE(""https://docs.google.com/spreadsheets/d/"&amp;"1IbSCnFOKpZsnFogBHJnL_isstZVaOMnFiIN0fGTPZZw/edit?usp=sharing"",""สงขลา!Q196"")+IMPORTRANGE(""https://docs.google.com/spreadsheets/d/1q9nWasZJ-K8bFGvbE9n0qSRuKGA4Toe3Y89cKCiVtCU/edit?usp=sharing"",""สตูล!Q196"")+IMPORTRANGE(""https://docs.google.com/sprea"&amp;"dsheets/d/18T20gbkS_WBjdscyTOV05cvq_JqvqQ17C81mpxf7Ncs/edit?usp=sharing"",""สุราษฎร์ธานี!Q196"")"),0)</f>
        <v>0</v>
      </c>
      <c r="R196" s="132">
        <f ca="1">IFERROR(__xludf.DUMMYFUNCTION("IMPORTRANGE(""https://docs.google.com/spreadsheets/d/1kKUcYdkIfrgTSj8iHHHB2MD2FAtwyyocFgqGQn6ADyI/edit?usp=sharing"",""กระบี่!R196"")+IMPORTRANGE(""https://docs.google.com/spreadsheets/d/1GwtLaSlNZkLk7iDqcyZz22giiy40b_usZZBXYciEN1U/edit?usp=sharing"",""ชุ"&amp;"มพร!R196"")+IMPORTRANGE(""https://docs.google.com/spreadsheets/d/16pAz3pOhQEZBhvFNMa5KGgZS6iKWpsKX0pg6tQmwFpo/edit?usp=sharing"",""ตรัง!R196"")+IMPORTRANGE(""https://docs.google.com/spreadsheets/d/1Dj4jcHCTV9JXKCaMoheSXS52JE63kDKyG7bPXnFogHk/edit?usp=shar"&amp;"ing"",""นครศรีธรรมราช!R196"")+IMPORTRANGE(""https://docs.google.com/spreadsheets/d/1iodCdmuK2GR3jzUwk8tpccY2JHQQA-87DLOtJP-ooyU/edit?usp=sharing"",""นราธิวาส!R196"")+IMPORTRANGE(""https://docs.google.com/spreadsheets/d/1SDNX3JhDdYRuIOsj0Wh2M-Qa_eaXl0NbWmh"&amp;"AOTbfQAs/edit?usp=sharing"",""ปัตตานี!R196"")+IMPORTRANGE(""https://docs.google.com/spreadsheets/d/16JDLGguT8s5DsGCND1KcwHP_AWR_zDMTqLHPLJUKhaU/edit?usp=sharing"",""พังงา!R196"")+IMPORTRANGE(""https://docs.google.com/spreadsheets/d/17ht0gPKzzT3PObBL1XJkeR"&amp;"mntBXI7wGjpLV7QorqlTk/edit?usp=sharing"",""พัทลุง!R196"")+IMPORTRANGE(""https://docs.google.com/spreadsheets/d/1rd4qoM1q_hsgaolqNGfrim9gbsoLxQsda4-vOz5x_BM/edit?usp=sharing"",""ภูเก็ต!R196"")+IMPORTRANGE(""https://docs.google.com/spreadsheets/d/1woKwKjgoL"&amp;"ssDvPcPeVyezB5izizAn4X1JDrys69n6xI/edit?usp=sharing"",""ยะลา!R196"")+IMPORTRANGE(""https://docs.google.com/spreadsheets/d/1qfrKjzMhm2HJfxQ-qVlJlJQ25Hne1d0khsySbZyGtPA/edit?usp=sharing"",""ระนอง!R196"")+IMPORTRANGE(""https://docs.google.com/spreadsheets/d/"&amp;"1IbSCnFOKpZsnFogBHJnL_isstZVaOMnFiIN0fGTPZZw/edit?usp=sharing"",""สงขลา!R196"")+IMPORTRANGE(""https://docs.google.com/spreadsheets/d/1q9nWasZJ-K8bFGvbE9n0qSRuKGA4Toe3Y89cKCiVtCU/edit?usp=sharing"",""สตูล!R196"")+IMPORTRANGE(""https://docs.google.com/sprea"&amp;"dsheets/d/18T20gbkS_WBjdscyTOV05cvq_JqvqQ17C81mpxf7Ncs/edit?usp=sharing"",""สุราษฎร์ธานี!R196"")"),0)</f>
        <v>0</v>
      </c>
      <c r="S196" s="132">
        <f ca="1">IFERROR(__xludf.DUMMYFUNCTION("IMPORTRANGE(""https://docs.google.com/spreadsheets/d/1kKUcYdkIfrgTSj8iHHHB2MD2FAtwyyocFgqGQn6ADyI/edit?usp=sharing"",""กระบี่!S196"")+IMPORTRANGE(""https://docs.google.com/spreadsheets/d/1GwtLaSlNZkLk7iDqcyZz22giiy40b_usZZBXYciEN1U/edit?usp=sharing"",""ชุ"&amp;"มพร!S196"")+IMPORTRANGE(""https://docs.google.com/spreadsheets/d/16pAz3pOhQEZBhvFNMa5KGgZS6iKWpsKX0pg6tQmwFpo/edit?usp=sharing"",""ตรัง!S196"")+IMPORTRANGE(""https://docs.google.com/spreadsheets/d/1Dj4jcHCTV9JXKCaMoheSXS52JE63kDKyG7bPXnFogHk/edit?usp=shar"&amp;"ing"",""นครศรีธรรมราช!S196"")+IMPORTRANGE(""https://docs.google.com/spreadsheets/d/1iodCdmuK2GR3jzUwk8tpccY2JHQQA-87DLOtJP-ooyU/edit?usp=sharing"",""นราธิวาส!S196"")+IMPORTRANGE(""https://docs.google.com/spreadsheets/d/1SDNX3JhDdYRuIOsj0Wh2M-Qa_eaXl0NbWmh"&amp;"AOTbfQAs/edit?usp=sharing"",""ปัตตานี!S196"")+IMPORTRANGE(""https://docs.google.com/spreadsheets/d/16JDLGguT8s5DsGCND1KcwHP_AWR_zDMTqLHPLJUKhaU/edit?usp=sharing"",""พังงา!S196"")+IMPORTRANGE(""https://docs.google.com/spreadsheets/d/17ht0gPKzzT3PObBL1XJkeR"&amp;"mntBXI7wGjpLV7QorqlTk/edit?usp=sharing"",""พัทลุง!S196"")+IMPORTRANGE(""https://docs.google.com/spreadsheets/d/1rd4qoM1q_hsgaolqNGfrim9gbsoLxQsda4-vOz5x_BM/edit?usp=sharing"",""ภูเก็ต!S196"")+IMPORTRANGE(""https://docs.google.com/spreadsheets/d/1woKwKjgoL"&amp;"ssDvPcPeVyezB5izizAn4X1JDrys69n6xI/edit?usp=sharing"",""ยะลา!S196"")+IMPORTRANGE(""https://docs.google.com/spreadsheets/d/1qfrKjzMhm2HJfxQ-qVlJlJQ25Hne1d0khsySbZyGtPA/edit?usp=sharing"",""ระนอง!S196"")+IMPORTRANGE(""https://docs.google.com/spreadsheets/d/"&amp;"1IbSCnFOKpZsnFogBHJnL_isstZVaOMnFiIN0fGTPZZw/edit?usp=sharing"",""สงขลา!S196"")+IMPORTRANGE(""https://docs.google.com/spreadsheets/d/1q9nWasZJ-K8bFGvbE9n0qSRuKGA4Toe3Y89cKCiVtCU/edit?usp=sharing"",""สตูล!S196"")+IMPORTRANGE(""https://docs.google.com/sprea"&amp;"dsheets/d/18T20gbkS_WBjdscyTOV05cvq_JqvqQ17C81mpxf7Ncs/edit?usp=sharing"",""สุราษฎร์ธานี!S196"")"),0)</f>
        <v>0</v>
      </c>
      <c r="T196" s="46"/>
      <c r="U196" s="46"/>
    </row>
    <row r="197" spans="1:21" ht="19.5" x14ac:dyDescent="0.3">
      <c r="A197" s="138"/>
      <c r="B197" s="139"/>
      <c r="C197" s="129" t="s">
        <v>18</v>
      </c>
      <c r="D197" s="140" t="s">
        <v>38</v>
      </c>
      <c r="E197" s="141"/>
      <c r="F197" s="141"/>
      <c r="G197" s="142"/>
      <c r="H197" s="143"/>
      <c r="I197" s="45"/>
      <c r="J197" s="45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kKUcYdkIfrgTSj8iHHHB2MD2FAtwyyocFgqGQn6ADyI/edit?usp=sharing"",""กระบี่!I198"")+IMPORTRANGE(""https://docs.google.com/spreadsheets/d/1GwtLaSlNZkLk7iDqcyZz22giiy40b_usZZBXYciEN1U/edit?usp=sharing"",""ชุ"&amp;"มพร!I198"")+IMPORTRANGE(""https://docs.google.com/spreadsheets/d/16pAz3pOhQEZBhvFNMa5KGgZS6iKWpsKX0pg6tQmwFpo/edit?usp=sharing"",""ตรัง!I198"")+IMPORTRANGE(""https://docs.google.com/spreadsheets/d/1Dj4jcHCTV9JXKCaMoheSXS52JE63kDKyG7bPXnFogHk/edit?usp=shar"&amp;"ing"",""นครศรีธรรมราช!I198"")+IMPORTRANGE(""https://docs.google.com/spreadsheets/d/1iodCdmuK2GR3jzUwk8tpccY2JHQQA-87DLOtJP-ooyU/edit?usp=sharing"",""นราธิวาส!I198"")+IMPORTRANGE(""https://docs.google.com/spreadsheets/d/1SDNX3JhDdYRuIOsj0Wh2M-Qa_eaXl0NbWmh"&amp;"AOTbfQAs/edit?usp=sharing"",""ปัตตานี!I198"")+IMPORTRANGE(""https://docs.google.com/spreadsheets/d/16JDLGguT8s5DsGCND1KcwHP_AWR_zDMTqLHPLJUKhaU/edit?usp=sharing"",""พังงา!I198"")+IMPORTRANGE(""https://docs.google.com/spreadsheets/d/17ht0gPKzzT3PObBL1XJkeR"&amp;"mntBXI7wGjpLV7QorqlTk/edit?usp=sharing"",""พัทลุง!I198"")+IMPORTRANGE(""https://docs.google.com/spreadsheets/d/1rd4qoM1q_hsgaolqNGfrim9gbsoLxQsda4-vOz5x_BM/edit?usp=sharing"",""ภูเก็ต!I198"")+IMPORTRANGE(""https://docs.google.com/spreadsheets/d/1woKwKjgoL"&amp;"ssDvPcPeVyezB5izizAn4X1JDrys69n6xI/edit?usp=sharing"",""ยะลา!I198"")+IMPORTRANGE(""https://docs.google.com/spreadsheets/d/1qfrKjzMhm2HJfxQ-qVlJlJQ25Hne1d0khsySbZyGtPA/edit?usp=sharing"",""ระนอง!I198"")+IMPORTRANGE(""https://docs.google.com/spreadsheets/d/"&amp;"1IbSCnFOKpZsnFogBHJnL_isstZVaOMnFiIN0fGTPZZw/edit?usp=sharing"",""สงขลา!I198"")+IMPORTRANGE(""https://docs.google.com/spreadsheets/d/1q9nWasZJ-K8bFGvbE9n0qSRuKGA4Toe3Y89cKCiVtCU/edit?usp=sharing"",""สตูล!I198"")+IMPORTRANGE(""https://docs.google.com/sprea"&amp;"dsheets/d/18T20gbkS_WBjdscyTOV05cvq_JqvqQ17C81mpxf7Ncs/edit?usp=sharing"",""สุราษฎร์ธานี!I198"")"),56)</f>
        <v>56</v>
      </c>
      <c r="J198" s="152">
        <f ca="1">IFERROR(__xludf.DUMMYFUNCTION("IMPORTRANGE(""https://docs.google.com/spreadsheets/d/1kKUcYdkIfrgTSj8iHHHB2MD2FAtwyyocFgqGQn6ADyI/edit?usp=sharing"",""กระบี่!J198"")+IMPORTRANGE(""https://docs.google.com/spreadsheets/d/1GwtLaSlNZkLk7iDqcyZz22giiy40b_usZZBXYciEN1U/edit?usp=sharing"",""ชุ"&amp;"มพร!J198"")+IMPORTRANGE(""https://docs.google.com/spreadsheets/d/16pAz3pOhQEZBhvFNMa5KGgZS6iKWpsKX0pg6tQmwFpo/edit?usp=sharing"",""ตรัง!J198"")+IMPORTRANGE(""https://docs.google.com/spreadsheets/d/1Dj4jcHCTV9JXKCaMoheSXS52JE63kDKyG7bPXnFogHk/edit?usp=shar"&amp;"ing"",""นครศรีธรรมราช!J198"")+IMPORTRANGE(""https://docs.google.com/spreadsheets/d/1iodCdmuK2GR3jzUwk8tpccY2JHQQA-87DLOtJP-ooyU/edit?usp=sharing"",""นราธิวาส!J198"")+IMPORTRANGE(""https://docs.google.com/spreadsheets/d/1SDNX3JhDdYRuIOsj0Wh2M-Qa_eaXl0NbWmh"&amp;"AOTbfQAs/edit?usp=sharing"",""ปัตตานี!J198"")+IMPORTRANGE(""https://docs.google.com/spreadsheets/d/16JDLGguT8s5DsGCND1KcwHP_AWR_zDMTqLHPLJUKhaU/edit?usp=sharing"",""พังงา!J198"")+IMPORTRANGE(""https://docs.google.com/spreadsheets/d/17ht0gPKzzT3PObBL1XJkeR"&amp;"mntBXI7wGjpLV7QorqlTk/edit?usp=sharing"",""พัทลุง!J198"")+IMPORTRANGE(""https://docs.google.com/spreadsheets/d/1rd4qoM1q_hsgaolqNGfrim9gbsoLxQsda4-vOz5x_BM/edit?usp=sharing"",""ภูเก็ต!J198"")+IMPORTRANGE(""https://docs.google.com/spreadsheets/d/1woKwKjgoL"&amp;"ssDvPcPeVyezB5izizAn4X1JDrys69n6xI/edit?usp=sharing"",""ยะลา!J198"")+IMPORTRANGE(""https://docs.google.com/spreadsheets/d/1qfrKjzMhm2HJfxQ-qVlJlJQ25Hne1d0khsySbZyGtPA/edit?usp=sharing"",""ระนอง!J198"")+IMPORTRANGE(""https://docs.google.com/spreadsheets/d/"&amp;"1IbSCnFOKpZsnFogBHJnL_isstZVaOMnFiIN0fGTPZZw/edit?usp=sharing"",""สงขลา!J198"")+IMPORTRANGE(""https://docs.google.com/spreadsheets/d/1q9nWasZJ-K8bFGvbE9n0qSRuKGA4Toe3Y89cKCiVtCU/edit?usp=sharing"",""สตูล!J198"")+IMPORTRANGE(""https://docs.google.com/sprea"&amp;"dsheets/d/18T20gbkS_WBjdscyTOV05cvq_JqvqQ17C81mpxf7Ncs/edit?usp=sharing"",""สุราษฎร์ธานี!J198"")"),31)</f>
        <v>31</v>
      </c>
      <c r="K198" s="47">
        <f ca="1">IF(I198&gt;0,J198*100/I198,0)</f>
        <v>55.357142857142854</v>
      </c>
      <c r="L198" s="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9.5" x14ac:dyDescent="0.3">
      <c r="A199" s="138"/>
      <c r="B199" s="139"/>
      <c r="C199" s="139"/>
      <c r="D199" s="149" t="s">
        <v>81</v>
      </c>
      <c r="E199" s="145"/>
      <c r="F199" s="145"/>
      <c r="G199" s="143"/>
      <c r="H199" s="233" t="s">
        <v>35</v>
      </c>
      <c r="I199" s="45"/>
      <c r="J199" s="147">
        <f ca="1">J200+J201</f>
        <v>1085</v>
      </c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52">
        <f ca="1">IFERROR(__xludf.DUMMYFUNCTION("IMPORTRANGE(""https://docs.google.com/spreadsheets/d/1kKUcYdkIfrgTSj8iHHHB2MD2FAtwyyocFgqGQn6ADyI/edit?usp=sharing"",""กระบี่!J200"")+IMPORTRANGE(""https://docs.google.com/spreadsheets/d/1GwtLaSlNZkLk7iDqcyZz22giiy40b_usZZBXYciEN1U/edit?usp=sharing"",""ชุ"&amp;"มพร!J200"")+IMPORTRANGE(""https://docs.google.com/spreadsheets/d/16pAz3pOhQEZBhvFNMa5KGgZS6iKWpsKX0pg6tQmwFpo/edit?usp=sharing"",""ตรัง!J200"")+IMPORTRANGE(""https://docs.google.com/spreadsheets/d/1Dj4jcHCTV9JXKCaMoheSXS52JE63kDKyG7bPXnFogHk/edit?usp=shar"&amp;"ing"",""นครศรีธรรมราช!J200"")+IMPORTRANGE(""https://docs.google.com/spreadsheets/d/1iodCdmuK2GR3jzUwk8tpccY2JHQQA-87DLOtJP-ooyU/edit?usp=sharing"",""นราธิวาส!J200"")+IMPORTRANGE(""https://docs.google.com/spreadsheets/d/1SDNX3JhDdYRuIOsj0Wh2M-Qa_eaXl0NbWmh"&amp;"AOTbfQAs/edit?usp=sharing"",""ปัตตานี!J200"")+IMPORTRANGE(""https://docs.google.com/spreadsheets/d/16JDLGguT8s5DsGCND1KcwHP_AWR_zDMTqLHPLJUKhaU/edit?usp=sharing"",""พังงา!J200"")+IMPORTRANGE(""https://docs.google.com/spreadsheets/d/17ht0gPKzzT3PObBL1XJkeR"&amp;"mntBXI7wGjpLV7QorqlTk/edit?usp=sharing"",""พัทลุง!J200"")+IMPORTRANGE(""https://docs.google.com/spreadsheets/d/1rd4qoM1q_hsgaolqNGfrim9gbsoLxQsda4-vOz5x_BM/edit?usp=sharing"",""ภูเก็ต!J200"")+IMPORTRANGE(""https://docs.google.com/spreadsheets/d/1woKwKjgoL"&amp;"ssDvPcPeVyezB5izizAn4X1JDrys69n6xI/edit?usp=sharing"",""ยะลา!J200"")+IMPORTRANGE(""https://docs.google.com/spreadsheets/d/1qfrKjzMhm2HJfxQ-qVlJlJQ25Hne1d0khsySbZyGtPA/edit?usp=sharing"",""ระนอง!J200"")+IMPORTRANGE(""https://docs.google.com/spreadsheets/d/"&amp;"1IbSCnFOKpZsnFogBHJnL_isstZVaOMnFiIN0fGTPZZw/edit?usp=sharing"",""สงขลา!J200"")+IMPORTRANGE(""https://docs.google.com/spreadsheets/d/1q9nWasZJ-K8bFGvbE9n0qSRuKGA4Toe3Y89cKCiVtCU/edit?usp=sharing"",""สตูล!J200"")+IMPORTRANGE(""https://docs.google.com/sprea"&amp;"dsheets/d/18T20gbkS_WBjdscyTOV05cvq_JqvqQ17C81mpxf7Ncs/edit?usp=sharing"",""สุราษฎร์ธานี!J200"")"),1085)</f>
        <v>1085</v>
      </c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52">
        <f ca="1">IFERROR(__xludf.DUMMYFUNCTION("IMPORTRANGE(""https://docs.google.com/spreadsheets/d/1kKUcYdkIfrgTSj8iHHHB2MD2FAtwyyocFgqGQn6ADyI/edit?usp=sharing"",""กระบี่!J201"")+IMPORTRANGE(""https://docs.google.com/spreadsheets/d/1GwtLaSlNZkLk7iDqcyZz22giiy40b_usZZBXYciEN1U/edit?usp=sharing"",""ชุ"&amp;"มพร!J201"")+IMPORTRANGE(""https://docs.google.com/spreadsheets/d/16pAz3pOhQEZBhvFNMa5KGgZS6iKWpsKX0pg6tQmwFpo/edit?usp=sharing"",""ตรัง!J201"")+IMPORTRANGE(""https://docs.google.com/spreadsheets/d/1Dj4jcHCTV9JXKCaMoheSXS52JE63kDKyG7bPXnFogHk/edit?usp=shar"&amp;"ing"",""นครศรีธรรมราช!J201"")+IMPORTRANGE(""https://docs.google.com/spreadsheets/d/1iodCdmuK2GR3jzUwk8tpccY2JHQQA-87DLOtJP-ooyU/edit?usp=sharing"",""นราธิวาส!J201"")+IMPORTRANGE(""https://docs.google.com/spreadsheets/d/1SDNX3JhDdYRuIOsj0Wh2M-Qa_eaXl0NbWmh"&amp;"AOTbfQAs/edit?usp=sharing"",""ปัตตานี!J201"")+IMPORTRANGE(""https://docs.google.com/spreadsheets/d/16JDLGguT8s5DsGCND1KcwHP_AWR_zDMTqLHPLJUKhaU/edit?usp=sharing"",""พังงา!J201"")+IMPORTRANGE(""https://docs.google.com/spreadsheets/d/17ht0gPKzzT3PObBL1XJkeR"&amp;"mntBXI7wGjpLV7QorqlTk/edit?usp=sharing"",""พัทลุง!J201"")+IMPORTRANGE(""https://docs.google.com/spreadsheets/d/1rd4qoM1q_hsgaolqNGfrim9gbsoLxQsda4-vOz5x_BM/edit?usp=sharing"",""ภูเก็ต!J201"")+IMPORTRANGE(""https://docs.google.com/spreadsheets/d/1woKwKjgoL"&amp;"ssDvPcPeVyezB5izizAn4X1JDrys69n6xI/edit?usp=sharing"",""ยะลา!J201"")+IMPORTRANGE(""https://docs.google.com/spreadsheets/d/1qfrKjzMhm2HJfxQ-qVlJlJQ25Hne1d0khsySbZyGtPA/edit?usp=sharing"",""ระนอง!J201"")+IMPORTRANGE(""https://docs.google.com/spreadsheets/d/"&amp;"1IbSCnFOKpZsnFogBHJnL_isstZVaOMnFiIN0fGTPZZw/edit?usp=sharing"",""สงขลา!J201"")+IMPORTRANGE(""https://docs.google.com/spreadsheets/d/1q9nWasZJ-K8bFGvbE9n0qSRuKGA4Toe3Y89cKCiVtCU/edit?usp=sharing"",""สตูล!J201"")+IMPORTRANGE(""https://docs.google.com/sprea"&amp;"dsheets/d/18T20gbkS_WBjdscyTOV05cvq_JqvqQ17C81mpxf7Ncs/edit?usp=sharing"",""สุราษฎร์ธานี!J201"")"),0)</f>
        <v>0</v>
      </c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35">
        <f t="shared" ref="I202:J202" ca="1" si="172">I209</f>
        <v>30</v>
      </c>
      <c r="J202" s="235">
        <f t="shared" ca="1" si="172"/>
        <v>4</v>
      </c>
      <c r="K202" s="236">
        <f ca="1">IF(I202&gt;0,J202*100/I202,0)</f>
        <v>13.333333333333334</v>
      </c>
      <c r="L202" s="230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231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132">
        <f t="shared" ref="L203:N203" ca="1" si="173">L204+L205+L206+L207</f>
        <v>176000</v>
      </c>
      <c r="M203" s="132">
        <f t="shared" ca="1" si="173"/>
        <v>0</v>
      </c>
      <c r="N203" s="132">
        <f t="shared" ca="1" si="173"/>
        <v>43000</v>
      </c>
      <c r="O203" s="132">
        <f ca="1">IF(L203&gt;0,N203*100/L203,0)</f>
        <v>24.431818181818183</v>
      </c>
      <c r="P203" s="46"/>
      <c r="Q203" s="132">
        <f t="shared" ref="Q203:S203" ca="1" si="174">Q204+Q205+Q206+Q207</f>
        <v>406000</v>
      </c>
      <c r="R203" s="132">
        <f t="shared" ca="1" si="174"/>
        <v>0</v>
      </c>
      <c r="S203" s="132">
        <f t="shared" ca="1" si="174"/>
        <v>112000</v>
      </c>
      <c r="T203" s="46"/>
      <c r="U203" s="46"/>
    </row>
    <row r="204" spans="1:21" ht="18.75" x14ac:dyDescent="0.25">
      <c r="A204" s="128"/>
      <c r="B204" s="159"/>
      <c r="C204" s="41"/>
      <c r="D204" s="48" t="s">
        <v>86</v>
      </c>
      <c r="E204" s="41"/>
      <c r="F204" s="41"/>
      <c r="G204" s="43"/>
      <c r="H204" s="134" t="s">
        <v>14</v>
      </c>
      <c r="I204" s="135"/>
      <c r="J204" s="135"/>
      <c r="K204" s="136"/>
      <c r="L204" s="47">
        <f ca="1">IFERROR(__xludf.DUMMYFUNCTION("IMPORTRANGE(""https://docs.google.com/spreadsheets/d/1kKUcYdkIfrgTSj8iHHHB2MD2FAtwyyocFgqGQn6ADyI/edit?usp=sharing"",""กระบี่!L204"")+IMPORTRANGE(""https://docs.google.com/spreadsheets/d/1GwtLaSlNZkLk7iDqcyZz22giiy40b_usZZBXYciEN1U/edit?usp=sharing"",""ชุ"&amp;"มพร!L204"")+IMPORTRANGE(""https://docs.google.com/spreadsheets/d/16pAz3pOhQEZBhvFNMa5KGgZS6iKWpsKX0pg6tQmwFpo/edit?usp=sharing"",""ตรัง!L204"")+IMPORTRANGE(""https://docs.google.com/spreadsheets/d/1Dj4jcHCTV9JXKCaMoheSXS52JE63kDKyG7bPXnFogHk/edit?usp=shar"&amp;"ing"",""นครศรีธรรมราช!L204"")+IMPORTRANGE(""https://docs.google.com/spreadsheets/d/1iodCdmuK2GR3jzUwk8tpccY2JHQQA-87DLOtJP-ooyU/edit?usp=sharing"",""นราธิวาส!L204"")+IMPORTRANGE(""https://docs.google.com/spreadsheets/d/1SDNX3JhDdYRuIOsj0Wh2M-Qa_eaXl0NbWmh"&amp;"AOTbfQAs/edit?usp=sharing"",""ปัตตานี!L204"")+IMPORTRANGE(""https://docs.google.com/spreadsheets/d/16JDLGguT8s5DsGCND1KcwHP_AWR_zDMTqLHPLJUKhaU/edit?usp=sharing"",""พังงา!L204"")+IMPORTRANGE(""https://docs.google.com/spreadsheets/d/17ht0gPKzzT3PObBL1XJkeR"&amp;"mntBXI7wGjpLV7QorqlTk/edit?usp=sharing"",""พัทลุง!L204"")+IMPORTRANGE(""https://docs.google.com/spreadsheets/d/1rd4qoM1q_hsgaolqNGfrim9gbsoLxQsda4-vOz5x_BM/edit?usp=sharing"",""ภูเก็ต!L204"")+IMPORTRANGE(""https://docs.google.com/spreadsheets/d/1woKwKjgoL"&amp;"ssDvPcPeVyezB5izizAn4X1JDrys69n6xI/edit?usp=sharing"",""ยะลา!L204"")+IMPORTRANGE(""https://docs.google.com/spreadsheets/d/1qfrKjzMhm2HJfxQ-qVlJlJQ25Hne1d0khsySbZyGtPA/edit?usp=sharing"",""ระนอง!L204"")+IMPORTRANGE(""https://docs.google.com/spreadsheets/d/"&amp;"1IbSCnFOKpZsnFogBHJnL_isstZVaOMnFiIN0fGTPZZw/edit?usp=sharing"",""สงขลา!L204"")+IMPORTRANGE(""https://docs.google.com/spreadsheets/d/1q9nWasZJ-K8bFGvbE9n0qSRuKGA4Toe3Y89cKCiVtCU/edit?usp=sharing"",""สตูล!L204"")+IMPORTRANGE(""https://docs.google.com/sprea"&amp;"dsheets/d/18T20gbkS_WBjdscyTOV05cvq_JqvqQ17C81mpxf7Ncs/edit?usp=sharing"",""สุราษฎร์ธานี!L204"")"),30000)</f>
        <v>30000</v>
      </c>
      <c r="M204" s="47">
        <f ca="1">IFERROR(__xludf.DUMMYFUNCTION("IMPORTRANGE(""https://docs.google.com/spreadsheets/d/1kKUcYdkIfrgTSj8iHHHB2MD2FAtwyyocFgqGQn6ADyI/edit?usp=sharing"",""กระบี่!M204"")+IMPORTRANGE(""https://docs.google.com/spreadsheets/d/1GwtLaSlNZkLk7iDqcyZz22giiy40b_usZZBXYciEN1U/edit?usp=sharing"",""ชุ"&amp;"มพร!M204"")+IMPORTRANGE(""https://docs.google.com/spreadsheets/d/16pAz3pOhQEZBhvFNMa5KGgZS6iKWpsKX0pg6tQmwFpo/edit?usp=sharing"",""ตรัง!M204"")+IMPORTRANGE(""https://docs.google.com/spreadsheets/d/1Dj4jcHCTV9JXKCaMoheSXS52JE63kDKyG7bPXnFogHk/edit?usp=shar"&amp;"ing"",""นครศรีธรรมราช!M204"")+IMPORTRANGE(""https://docs.google.com/spreadsheets/d/1iodCdmuK2GR3jzUwk8tpccY2JHQQA-87DLOtJP-ooyU/edit?usp=sharing"",""นราธิวาส!M204"")+IMPORTRANGE(""https://docs.google.com/spreadsheets/d/1SDNX3JhDdYRuIOsj0Wh2M-Qa_eaXl0NbWmh"&amp;"AOTbfQAs/edit?usp=sharing"",""ปัตตานี!M204"")+IMPORTRANGE(""https://docs.google.com/spreadsheets/d/16JDLGguT8s5DsGCND1KcwHP_AWR_zDMTqLHPLJUKhaU/edit?usp=sharing"",""พังงา!M204"")+IMPORTRANGE(""https://docs.google.com/spreadsheets/d/17ht0gPKzzT3PObBL1XJkeR"&amp;"mntBXI7wGjpLV7QorqlTk/edit?usp=sharing"",""พัทลุง!M204"")+IMPORTRANGE(""https://docs.google.com/spreadsheets/d/1rd4qoM1q_hsgaolqNGfrim9gbsoLxQsda4-vOz5x_BM/edit?usp=sharing"",""ภูเก็ต!M204"")+IMPORTRANGE(""https://docs.google.com/spreadsheets/d/1woKwKjgoL"&amp;"ssDvPcPeVyezB5izizAn4X1JDrys69n6xI/edit?usp=sharing"",""ยะลา!M204"")+IMPORTRANGE(""https://docs.google.com/spreadsheets/d/1qfrKjzMhm2HJfxQ-qVlJlJQ25Hne1d0khsySbZyGtPA/edit?usp=sharing"",""ระนอง!M204"")+IMPORTRANGE(""https://docs.google.com/spreadsheets/d/"&amp;"1IbSCnFOKpZsnFogBHJnL_isstZVaOMnFiIN0fGTPZZw/edit?usp=sharing"",""สงขลา!M204"")+IMPORTRANGE(""https://docs.google.com/spreadsheets/d/1q9nWasZJ-K8bFGvbE9n0qSRuKGA4Toe3Y89cKCiVtCU/edit?usp=sharing"",""สตูล!M204"")+IMPORTRANGE(""https://docs.google.com/sprea"&amp;"dsheets/d/18T20gbkS_WBjdscyTOV05cvq_JqvqQ17C81mpxf7Ncs/edit?usp=sharing"",""สุราษฎร์ธานี!M204"")"),0)</f>
        <v>0</v>
      </c>
      <c r="N204" s="47">
        <f ca="1">IFERROR(__xludf.DUMMYFUNCTION("IMPORTRANGE(""https://docs.google.com/spreadsheets/d/1kKUcYdkIfrgTSj8iHHHB2MD2FAtwyyocFgqGQn6ADyI/edit?usp=sharing"",""กระบี่!N204"")+IMPORTRANGE(""https://docs.google.com/spreadsheets/d/1GwtLaSlNZkLk7iDqcyZz22giiy40b_usZZBXYciEN1U/edit?usp=sharing"",""ชุ"&amp;"มพร!N204"")+IMPORTRANGE(""https://docs.google.com/spreadsheets/d/16pAz3pOhQEZBhvFNMa5KGgZS6iKWpsKX0pg6tQmwFpo/edit?usp=sharing"",""ตรัง!N204"")+IMPORTRANGE(""https://docs.google.com/spreadsheets/d/1Dj4jcHCTV9JXKCaMoheSXS52JE63kDKyG7bPXnFogHk/edit?usp=shar"&amp;"ing"",""นครศรีธรรมราช!N204"")+IMPORTRANGE(""https://docs.google.com/spreadsheets/d/1iodCdmuK2GR3jzUwk8tpccY2JHQQA-87DLOtJP-ooyU/edit?usp=sharing"",""นราธิวาส!N204"")+IMPORTRANGE(""https://docs.google.com/spreadsheets/d/1SDNX3JhDdYRuIOsj0Wh2M-Qa_eaXl0NbWmh"&amp;"AOTbfQAs/edit?usp=sharing"",""ปัตตานี!N204"")+IMPORTRANGE(""https://docs.google.com/spreadsheets/d/16JDLGguT8s5DsGCND1KcwHP_AWR_zDMTqLHPLJUKhaU/edit?usp=sharing"",""พังงา!N204"")+IMPORTRANGE(""https://docs.google.com/spreadsheets/d/17ht0gPKzzT3PObBL1XJkeR"&amp;"mntBXI7wGjpLV7QorqlTk/edit?usp=sharing"",""พัทลุง!N204"")+IMPORTRANGE(""https://docs.google.com/spreadsheets/d/1rd4qoM1q_hsgaolqNGfrim9gbsoLxQsda4-vOz5x_BM/edit?usp=sharing"",""ภูเก็ต!N204"")+IMPORTRANGE(""https://docs.google.com/spreadsheets/d/1woKwKjgoL"&amp;"ssDvPcPeVyezB5izizAn4X1JDrys69n6xI/edit?usp=sharing"",""ยะลา!N204"")+IMPORTRANGE(""https://docs.google.com/spreadsheets/d/1qfrKjzMhm2HJfxQ-qVlJlJQ25Hne1d0khsySbZyGtPA/edit?usp=sharing"",""ระนอง!N204"")+IMPORTRANGE(""https://docs.google.com/spreadsheets/d/"&amp;"1IbSCnFOKpZsnFogBHJnL_isstZVaOMnFiIN0fGTPZZw/edit?usp=sharing"",""สงขลา!N204"")+IMPORTRANGE(""https://docs.google.com/spreadsheets/d/1q9nWasZJ-K8bFGvbE9n0qSRuKGA4Toe3Y89cKCiVtCU/edit?usp=sharing"",""สตูล!N204"")+IMPORTRANGE(""https://docs.google.com/sprea"&amp;"dsheets/d/18T20gbkS_WBjdscyTOV05cvq_JqvqQ17C81mpxf7Ncs/edit?usp=sharing"",""สุราษฎร์ธานี!N204"")"),3000)</f>
        <v>3000</v>
      </c>
      <c r="O204" s="136"/>
      <c r="P204" s="46"/>
      <c r="Q204" s="47">
        <f ca="1">IFERROR(__xludf.DUMMYFUNCTION("IMPORTRANGE(""https://docs.google.com/spreadsheets/d/1kKUcYdkIfrgTSj8iHHHB2MD2FAtwyyocFgqGQn6ADyI/edit?usp=sharing"",""กระบี่!Q204"")+IMPORTRANGE(""https://docs.google.com/spreadsheets/d/1GwtLaSlNZkLk7iDqcyZz22giiy40b_usZZBXYciEN1U/edit?usp=sharing"",""ชุ"&amp;"มพร!Q204"")+IMPORTRANGE(""https://docs.google.com/spreadsheets/d/16pAz3pOhQEZBhvFNMa5KGgZS6iKWpsKX0pg6tQmwFpo/edit?usp=sharing"",""ตรัง!Q204"")+IMPORTRANGE(""https://docs.google.com/spreadsheets/d/1Dj4jcHCTV9JXKCaMoheSXS52JE63kDKyG7bPXnFogHk/edit?usp=shar"&amp;"ing"",""นครศรีธรรมราช!Q204"")+IMPORTRANGE(""https://docs.google.com/spreadsheets/d/1iodCdmuK2GR3jzUwk8tpccY2JHQQA-87DLOtJP-ooyU/edit?usp=sharing"",""นราธิวาส!Q204"")+IMPORTRANGE(""https://docs.google.com/spreadsheets/d/1SDNX3JhDdYRuIOsj0Wh2M-Qa_eaXl0NbWmh"&amp;"AOTbfQAs/edit?usp=sharing"",""ปัตตานี!Q204"")+IMPORTRANGE(""https://docs.google.com/spreadsheets/d/16JDLGguT8s5DsGCND1KcwHP_AWR_zDMTqLHPLJUKhaU/edit?usp=sharing"",""พังงา!Q204"")+IMPORTRANGE(""https://docs.google.com/spreadsheets/d/17ht0gPKzzT3PObBL1XJkeR"&amp;"mntBXI7wGjpLV7QorqlTk/edit?usp=sharing"",""พัทลุง!Q204"")+IMPORTRANGE(""https://docs.google.com/spreadsheets/d/1rd4qoM1q_hsgaolqNGfrim9gbsoLxQsda4-vOz5x_BM/edit?usp=sharing"",""ภูเก็ต!Q204"")+IMPORTRANGE(""https://docs.google.com/spreadsheets/d/1woKwKjgoL"&amp;"ssDvPcPeVyezB5izizAn4X1JDrys69n6xI/edit?usp=sharing"",""ยะลา!Q204"")+IMPORTRANGE(""https://docs.google.com/spreadsheets/d/1qfrKjzMhm2HJfxQ-qVlJlJQ25Hne1d0khsySbZyGtPA/edit?usp=sharing"",""ระนอง!Q204"")+IMPORTRANGE(""https://docs.google.com/spreadsheets/d/"&amp;"1IbSCnFOKpZsnFogBHJnL_isstZVaOMnFiIN0fGTPZZw/edit?usp=sharing"",""สงขลา!Q204"")+IMPORTRANGE(""https://docs.google.com/spreadsheets/d/1q9nWasZJ-K8bFGvbE9n0qSRuKGA4Toe3Y89cKCiVtCU/edit?usp=sharing"",""สตูล!Q204"")+IMPORTRANGE(""https://docs.google.com/sprea"&amp;"dsheets/d/18T20gbkS_WBjdscyTOV05cvq_JqvqQ17C81mpxf7Ncs/edit?usp=sharing"",""สุราษฎร์ธานี!Q204"")"),0)</f>
        <v>0</v>
      </c>
      <c r="R204" s="47">
        <f ca="1">IFERROR(__xludf.DUMMYFUNCTION("IMPORTRANGE(""https://docs.google.com/spreadsheets/d/1kKUcYdkIfrgTSj8iHHHB2MD2FAtwyyocFgqGQn6ADyI/edit?usp=sharing"",""กระบี่!R204"")+IMPORTRANGE(""https://docs.google.com/spreadsheets/d/1GwtLaSlNZkLk7iDqcyZz22giiy40b_usZZBXYciEN1U/edit?usp=sharing"",""ชุ"&amp;"มพร!R204"")+IMPORTRANGE(""https://docs.google.com/spreadsheets/d/16pAz3pOhQEZBhvFNMa5KGgZS6iKWpsKX0pg6tQmwFpo/edit?usp=sharing"",""ตรัง!R204"")+IMPORTRANGE(""https://docs.google.com/spreadsheets/d/1Dj4jcHCTV9JXKCaMoheSXS52JE63kDKyG7bPXnFogHk/edit?usp=shar"&amp;"ing"",""นครศรีธรรมราช!R204"")+IMPORTRANGE(""https://docs.google.com/spreadsheets/d/1iodCdmuK2GR3jzUwk8tpccY2JHQQA-87DLOtJP-ooyU/edit?usp=sharing"",""นราธิวาส!R204"")+IMPORTRANGE(""https://docs.google.com/spreadsheets/d/1SDNX3JhDdYRuIOsj0Wh2M-Qa_eaXl0NbWmh"&amp;"AOTbfQAs/edit?usp=sharing"",""ปัตตานี!R204"")+IMPORTRANGE(""https://docs.google.com/spreadsheets/d/16JDLGguT8s5DsGCND1KcwHP_AWR_zDMTqLHPLJUKhaU/edit?usp=sharing"",""พังงา!R204"")+IMPORTRANGE(""https://docs.google.com/spreadsheets/d/17ht0gPKzzT3PObBL1XJkeR"&amp;"mntBXI7wGjpLV7QorqlTk/edit?usp=sharing"",""พัทลุง!R204"")+IMPORTRANGE(""https://docs.google.com/spreadsheets/d/1rd4qoM1q_hsgaolqNGfrim9gbsoLxQsda4-vOz5x_BM/edit?usp=sharing"",""ภูเก็ต!R204"")+IMPORTRANGE(""https://docs.google.com/spreadsheets/d/1woKwKjgoL"&amp;"ssDvPcPeVyezB5izizAn4X1JDrys69n6xI/edit?usp=sharing"",""ยะลา!R204"")+IMPORTRANGE(""https://docs.google.com/spreadsheets/d/1qfrKjzMhm2HJfxQ-qVlJlJQ25Hne1d0khsySbZyGtPA/edit?usp=sharing"",""ระนอง!R204"")+IMPORTRANGE(""https://docs.google.com/spreadsheets/d/"&amp;"1IbSCnFOKpZsnFogBHJnL_isstZVaOMnFiIN0fGTPZZw/edit?usp=sharing"",""สงขลา!R204"")+IMPORTRANGE(""https://docs.google.com/spreadsheets/d/1q9nWasZJ-K8bFGvbE9n0qSRuKGA4Toe3Y89cKCiVtCU/edit?usp=sharing"",""สตูล!R204"")+IMPORTRANGE(""https://docs.google.com/sprea"&amp;"dsheets/d/18T20gbkS_WBjdscyTOV05cvq_JqvqQ17C81mpxf7Ncs/edit?usp=sharing"",""สุราษฎร์ธานี!R204"")"),0)</f>
        <v>0</v>
      </c>
      <c r="S204" s="47">
        <f ca="1">IFERROR(__xludf.DUMMYFUNCTION("IMPORTRANGE(""https://docs.google.com/spreadsheets/d/1kKUcYdkIfrgTSj8iHHHB2MD2FAtwyyocFgqGQn6ADyI/edit?usp=sharing"",""กระบี่!S204"")+IMPORTRANGE(""https://docs.google.com/spreadsheets/d/1GwtLaSlNZkLk7iDqcyZz22giiy40b_usZZBXYciEN1U/edit?usp=sharing"",""ชุ"&amp;"มพร!S204"")+IMPORTRANGE(""https://docs.google.com/spreadsheets/d/16pAz3pOhQEZBhvFNMa5KGgZS6iKWpsKX0pg6tQmwFpo/edit?usp=sharing"",""ตรัง!S204"")+IMPORTRANGE(""https://docs.google.com/spreadsheets/d/1Dj4jcHCTV9JXKCaMoheSXS52JE63kDKyG7bPXnFogHk/edit?usp=shar"&amp;"ing"",""นครศรีธรรมราช!S204"")+IMPORTRANGE(""https://docs.google.com/spreadsheets/d/1iodCdmuK2GR3jzUwk8tpccY2JHQQA-87DLOtJP-ooyU/edit?usp=sharing"",""นราธิวาส!S204"")+IMPORTRANGE(""https://docs.google.com/spreadsheets/d/1SDNX3JhDdYRuIOsj0Wh2M-Qa_eaXl0NbWmh"&amp;"AOTbfQAs/edit?usp=sharing"",""ปัตตานี!S204"")+IMPORTRANGE(""https://docs.google.com/spreadsheets/d/16JDLGguT8s5DsGCND1KcwHP_AWR_zDMTqLHPLJUKhaU/edit?usp=sharing"",""พังงา!S204"")+IMPORTRANGE(""https://docs.google.com/spreadsheets/d/17ht0gPKzzT3PObBL1XJkeR"&amp;"mntBXI7wGjpLV7QorqlTk/edit?usp=sharing"",""พัทลุง!S204"")+IMPORTRANGE(""https://docs.google.com/spreadsheets/d/1rd4qoM1q_hsgaolqNGfrim9gbsoLxQsda4-vOz5x_BM/edit?usp=sharing"",""ภูเก็ต!S204"")+IMPORTRANGE(""https://docs.google.com/spreadsheets/d/1woKwKjgoL"&amp;"ssDvPcPeVyezB5izizAn4X1JDrys69n6xI/edit?usp=sharing"",""ยะลา!S204"")+IMPORTRANGE(""https://docs.google.com/spreadsheets/d/1qfrKjzMhm2HJfxQ-qVlJlJQ25Hne1d0khsySbZyGtPA/edit?usp=sharing"",""ระนอง!S204"")+IMPORTRANGE(""https://docs.google.com/spreadsheets/d/"&amp;"1IbSCnFOKpZsnFogBHJnL_isstZVaOMnFiIN0fGTPZZw/edit?usp=sharing"",""สงขลา!S204"")+IMPORTRANGE(""https://docs.google.com/spreadsheets/d/1q9nWasZJ-K8bFGvbE9n0qSRuKGA4Toe3Y89cKCiVtCU/edit?usp=sharing"",""สตูล!S204"")+IMPORTRANGE(""https://docs.google.com/sprea"&amp;"dsheets/d/18T20gbkS_WBjdscyTOV05cvq_JqvqQ17C81mpxf7Ncs/edit?usp=sharing"",""สุราษฎร์ธานี!S204"")"),0)</f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87</v>
      </c>
      <c r="E205" s="41"/>
      <c r="F205" s="41"/>
      <c r="G205" s="43"/>
      <c r="H205" s="44" t="s">
        <v>14</v>
      </c>
      <c r="I205" s="45"/>
      <c r="J205" s="45"/>
      <c r="K205" s="46"/>
      <c r="L205" s="47">
        <v>0</v>
      </c>
      <c r="M205" s="47">
        <v>0</v>
      </c>
      <c r="N205" s="47">
        <v>0</v>
      </c>
      <c r="O205" s="136"/>
      <c r="P205" s="46"/>
      <c r="Q205" s="47">
        <v>0</v>
      </c>
      <c r="R205" s="47">
        <v>0</v>
      </c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7">
        <f ca="1">IFERROR(__xludf.DUMMYFUNCTION("IMPORTRANGE(""https://docs.google.com/spreadsheets/d/1kKUcYdkIfrgTSj8iHHHB2MD2FAtwyyocFgqGQn6ADyI/edit?usp=sharing"",""กระบี่!L206"")+IMPORTRANGE(""https://docs.google.com/spreadsheets/d/1GwtLaSlNZkLk7iDqcyZz22giiy40b_usZZBXYciEN1U/edit?usp=sharing"",""ชุ"&amp;"มพร!L206"")+IMPORTRANGE(""https://docs.google.com/spreadsheets/d/16pAz3pOhQEZBhvFNMa5KGgZS6iKWpsKX0pg6tQmwFpo/edit?usp=sharing"",""ตรัง!L206"")+IMPORTRANGE(""https://docs.google.com/spreadsheets/d/1Dj4jcHCTV9JXKCaMoheSXS52JE63kDKyG7bPXnFogHk/edit?usp=shar"&amp;"ing"",""นครศรีธรรมราช!L206"")+IMPORTRANGE(""https://docs.google.com/spreadsheets/d/1iodCdmuK2GR3jzUwk8tpccY2JHQQA-87DLOtJP-ooyU/edit?usp=sharing"",""นราธิวาส!L206"")+IMPORTRANGE(""https://docs.google.com/spreadsheets/d/1SDNX3JhDdYRuIOsj0Wh2M-Qa_eaXl0NbWmh"&amp;"AOTbfQAs/edit?usp=sharing"",""ปัตตานี!L206"")+IMPORTRANGE(""https://docs.google.com/spreadsheets/d/16JDLGguT8s5DsGCND1KcwHP_AWR_zDMTqLHPLJUKhaU/edit?usp=sharing"",""พังงา!L206"")+IMPORTRANGE(""https://docs.google.com/spreadsheets/d/17ht0gPKzzT3PObBL1XJkeR"&amp;"mntBXI7wGjpLV7QorqlTk/edit?usp=sharing"",""พัทลุง!L206"")+IMPORTRANGE(""https://docs.google.com/spreadsheets/d/1rd4qoM1q_hsgaolqNGfrim9gbsoLxQsda4-vOz5x_BM/edit?usp=sharing"",""ภูเก็ต!L206"")+IMPORTRANGE(""https://docs.google.com/spreadsheets/d/1woKwKjgoL"&amp;"ssDvPcPeVyezB5izizAn4X1JDrys69n6xI/edit?usp=sharing"",""ยะลา!L206"")+IMPORTRANGE(""https://docs.google.com/spreadsheets/d/1qfrKjzMhm2HJfxQ-qVlJlJQ25Hne1d0khsySbZyGtPA/edit?usp=sharing"",""ระนอง!L206"")+IMPORTRANGE(""https://docs.google.com/spreadsheets/d/"&amp;"1IbSCnFOKpZsnFogBHJnL_isstZVaOMnFiIN0fGTPZZw/edit?usp=sharing"",""สงขลา!L206"")+IMPORTRANGE(""https://docs.google.com/spreadsheets/d/1q9nWasZJ-K8bFGvbE9n0qSRuKGA4Toe3Y89cKCiVtCU/edit?usp=sharing"",""สตูล!L206"")+IMPORTRANGE(""https://docs.google.com/sprea"&amp;"dsheets/d/18T20gbkS_WBjdscyTOV05cvq_JqvqQ17C81mpxf7Ncs/edit?usp=sharing"",""สุราษฎร์ธานี!L206"")"),8000)</f>
        <v>8000</v>
      </c>
      <c r="M206" s="47">
        <f ca="1">IFERROR(__xludf.DUMMYFUNCTION("IMPORTRANGE(""https://docs.google.com/spreadsheets/d/1kKUcYdkIfrgTSj8iHHHB2MD2FAtwyyocFgqGQn6ADyI/edit?usp=sharing"",""กระบี่!M206"")+IMPORTRANGE(""https://docs.google.com/spreadsheets/d/1GwtLaSlNZkLk7iDqcyZz22giiy40b_usZZBXYciEN1U/edit?usp=sharing"",""ชุ"&amp;"มพร!M206"")+IMPORTRANGE(""https://docs.google.com/spreadsheets/d/16pAz3pOhQEZBhvFNMa5KGgZS6iKWpsKX0pg6tQmwFpo/edit?usp=sharing"",""ตรัง!M206"")+IMPORTRANGE(""https://docs.google.com/spreadsheets/d/1Dj4jcHCTV9JXKCaMoheSXS52JE63kDKyG7bPXnFogHk/edit?usp=shar"&amp;"ing"",""นครศรีธรรมราช!M206"")+IMPORTRANGE(""https://docs.google.com/spreadsheets/d/1iodCdmuK2GR3jzUwk8tpccY2JHQQA-87DLOtJP-ooyU/edit?usp=sharing"",""นราธิวาส!M206"")+IMPORTRANGE(""https://docs.google.com/spreadsheets/d/1SDNX3JhDdYRuIOsj0Wh2M-Qa_eaXl0NbWmh"&amp;"AOTbfQAs/edit?usp=sharing"",""ปัตตานี!M206"")+IMPORTRANGE(""https://docs.google.com/spreadsheets/d/16JDLGguT8s5DsGCND1KcwHP_AWR_zDMTqLHPLJUKhaU/edit?usp=sharing"",""พังงา!M206"")+IMPORTRANGE(""https://docs.google.com/spreadsheets/d/17ht0gPKzzT3PObBL1XJkeR"&amp;"mntBXI7wGjpLV7QorqlTk/edit?usp=sharing"",""พัทลุง!M206"")+IMPORTRANGE(""https://docs.google.com/spreadsheets/d/1rd4qoM1q_hsgaolqNGfrim9gbsoLxQsda4-vOz5x_BM/edit?usp=sharing"",""ภูเก็ต!M206"")+IMPORTRANGE(""https://docs.google.com/spreadsheets/d/1woKwKjgoL"&amp;"ssDvPcPeVyezB5izizAn4X1JDrys69n6xI/edit?usp=sharing"",""ยะลา!M206"")+IMPORTRANGE(""https://docs.google.com/spreadsheets/d/1qfrKjzMhm2HJfxQ-qVlJlJQ25Hne1d0khsySbZyGtPA/edit?usp=sharing"",""ระนอง!M206"")+IMPORTRANGE(""https://docs.google.com/spreadsheets/d/"&amp;"1IbSCnFOKpZsnFogBHJnL_isstZVaOMnFiIN0fGTPZZw/edit?usp=sharing"",""สงขลา!M206"")+IMPORTRANGE(""https://docs.google.com/spreadsheets/d/1q9nWasZJ-K8bFGvbE9n0qSRuKGA4Toe3Y89cKCiVtCU/edit?usp=sharing"",""สตูล!M206"")+IMPORTRANGE(""https://docs.google.com/sprea"&amp;"dsheets/d/18T20gbkS_WBjdscyTOV05cvq_JqvqQ17C81mpxf7Ncs/edit?usp=sharing"",""สุราษฎร์ธานี!M206"")"),0)</f>
        <v>0</v>
      </c>
      <c r="N206" s="47">
        <f ca="1">IFERROR(__xludf.DUMMYFUNCTION("IMPORTRANGE(""https://docs.google.com/spreadsheets/d/1kKUcYdkIfrgTSj8iHHHB2MD2FAtwyyocFgqGQn6ADyI/edit?usp=sharing"",""กระบี่!N206"")+IMPORTRANGE(""https://docs.google.com/spreadsheets/d/1GwtLaSlNZkLk7iDqcyZz22giiy40b_usZZBXYciEN1U/edit?usp=sharing"",""ชุ"&amp;"มพร!N206"")+IMPORTRANGE(""https://docs.google.com/spreadsheets/d/16pAz3pOhQEZBhvFNMa5KGgZS6iKWpsKX0pg6tQmwFpo/edit?usp=sharing"",""ตรัง!N206"")+IMPORTRANGE(""https://docs.google.com/spreadsheets/d/1Dj4jcHCTV9JXKCaMoheSXS52JE63kDKyG7bPXnFogHk/edit?usp=shar"&amp;"ing"",""นครศรีธรรมราช!N206"")+IMPORTRANGE(""https://docs.google.com/spreadsheets/d/1iodCdmuK2GR3jzUwk8tpccY2JHQQA-87DLOtJP-ooyU/edit?usp=sharing"",""นราธิวาส!N206"")+IMPORTRANGE(""https://docs.google.com/spreadsheets/d/1SDNX3JhDdYRuIOsj0Wh2M-Qa_eaXl0NbWmh"&amp;"AOTbfQAs/edit?usp=sharing"",""ปัตตานี!N206"")+IMPORTRANGE(""https://docs.google.com/spreadsheets/d/16JDLGguT8s5DsGCND1KcwHP_AWR_zDMTqLHPLJUKhaU/edit?usp=sharing"",""พังงา!N206"")+IMPORTRANGE(""https://docs.google.com/spreadsheets/d/17ht0gPKzzT3PObBL1XJkeR"&amp;"mntBXI7wGjpLV7QorqlTk/edit?usp=sharing"",""พัทลุง!N206"")+IMPORTRANGE(""https://docs.google.com/spreadsheets/d/1rd4qoM1q_hsgaolqNGfrim9gbsoLxQsda4-vOz5x_BM/edit?usp=sharing"",""ภูเก็ต!N206"")+IMPORTRANGE(""https://docs.google.com/spreadsheets/d/1woKwKjgoL"&amp;"ssDvPcPeVyezB5izizAn4X1JDrys69n6xI/edit?usp=sharing"",""ยะลา!N206"")+IMPORTRANGE(""https://docs.google.com/spreadsheets/d/1qfrKjzMhm2HJfxQ-qVlJlJQ25Hne1d0khsySbZyGtPA/edit?usp=sharing"",""ระนอง!N206"")+IMPORTRANGE(""https://docs.google.com/spreadsheets/d/"&amp;"1IbSCnFOKpZsnFogBHJnL_isstZVaOMnFiIN0fGTPZZw/edit?usp=sharing"",""สงขลา!N206"")+IMPORTRANGE(""https://docs.google.com/spreadsheets/d/1q9nWasZJ-K8bFGvbE9n0qSRuKGA4Toe3Y89cKCiVtCU/edit?usp=sharing"",""สตูล!N206"")+IMPORTRANGE(""https://docs.google.com/sprea"&amp;"dsheets/d/18T20gbkS_WBjdscyTOV05cvq_JqvqQ17C81mpxf7Ncs/edit?usp=sharing"",""สุราษฎร์ธานี!N206"")"),8000)</f>
        <v>8000</v>
      </c>
      <c r="O206" s="136"/>
      <c r="P206" s="46"/>
      <c r="Q206" s="47">
        <f ca="1">IFERROR(__xludf.DUMMYFUNCTION("IMPORTRANGE(""https://docs.google.com/spreadsheets/d/1kKUcYdkIfrgTSj8iHHHB2MD2FAtwyyocFgqGQn6ADyI/edit?usp=sharing"",""กระบี่!Q206"")+IMPORTRANGE(""https://docs.google.com/spreadsheets/d/1GwtLaSlNZkLk7iDqcyZz22giiy40b_usZZBXYciEN1U/edit?usp=sharing"",""ชุ"&amp;"มพร!Q206"")+IMPORTRANGE(""https://docs.google.com/spreadsheets/d/16pAz3pOhQEZBhvFNMa5KGgZS6iKWpsKX0pg6tQmwFpo/edit?usp=sharing"",""ตรัง!Q206"")+IMPORTRANGE(""https://docs.google.com/spreadsheets/d/1Dj4jcHCTV9JXKCaMoheSXS52JE63kDKyG7bPXnFogHk/edit?usp=shar"&amp;"ing"",""นครศรีธรรมราช!Q206"")+IMPORTRANGE(""https://docs.google.com/spreadsheets/d/1iodCdmuK2GR3jzUwk8tpccY2JHQQA-87DLOtJP-ooyU/edit?usp=sharing"",""นราธิวาส!Q206"")+IMPORTRANGE(""https://docs.google.com/spreadsheets/d/1SDNX3JhDdYRuIOsj0Wh2M-Qa_eaXl0NbWmh"&amp;"AOTbfQAs/edit?usp=sharing"",""ปัตตานี!Q206"")+IMPORTRANGE(""https://docs.google.com/spreadsheets/d/16JDLGguT8s5DsGCND1KcwHP_AWR_zDMTqLHPLJUKhaU/edit?usp=sharing"",""พังงา!Q206"")+IMPORTRANGE(""https://docs.google.com/spreadsheets/d/17ht0gPKzzT3PObBL1XJkeR"&amp;"mntBXI7wGjpLV7QorqlTk/edit?usp=sharing"",""พัทลุง!Q206"")+IMPORTRANGE(""https://docs.google.com/spreadsheets/d/1rd4qoM1q_hsgaolqNGfrim9gbsoLxQsda4-vOz5x_BM/edit?usp=sharing"",""ภูเก็ต!Q206"")+IMPORTRANGE(""https://docs.google.com/spreadsheets/d/1woKwKjgoL"&amp;"ssDvPcPeVyezB5izizAn4X1JDrys69n6xI/edit?usp=sharing"",""ยะลา!Q206"")+IMPORTRANGE(""https://docs.google.com/spreadsheets/d/1qfrKjzMhm2HJfxQ-qVlJlJQ25Hne1d0khsySbZyGtPA/edit?usp=sharing"",""ระนอง!Q206"")+IMPORTRANGE(""https://docs.google.com/spreadsheets/d/"&amp;"1IbSCnFOKpZsnFogBHJnL_isstZVaOMnFiIN0fGTPZZw/edit?usp=sharing"",""สงขลา!Q206"")+IMPORTRANGE(""https://docs.google.com/spreadsheets/d/1q9nWasZJ-K8bFGvbE9n0qSRuKGA4Toe3Y89cKCiVtCU/edit?usp=sharing"",""สตูล!Q206"")+IMPORTRANGE(""https://docs.google.com/sprea"&amp;"dsheets/d/18T20gbkS_WBjdscyTOV05cvq_JqvqQ17C81mpxf7Ncs/edit?usp=sharing"",""สุราษฎร์ธานี!Q206"")"),406000)</f>
        <v>406000</v>
      </c>
      <c r="R206" s="47">
        <f ca="1">IFERROR(__xludf.DUMMYFUNCTION("IMPORTRANGE(""https://docs.google.com/spreadsheets/d/1kKUcYdkIfrgTSj8iHHHB2MD2FAtwyyocFgqGQn6ADyI/edit?usp=sharing"",""กระบี่!R206"")+IMPORTRANGE(""https://docs.google.com/spreadsheets/d/1GwtLaSlNZkLk7iDqcyZz22giiy40b_usZZBXYciEN1U/edit?usp=sharing"",""ชุ"&amp;"มพร!R206"")+IMPORTRANGE(""https://docs.google.com/spreadsheets/d/16pAz3pOhQEZBhvFNMa5KGgZS6iKWpsKX0pg6tQmwFpo/edit?usp=sharing"",""ตรัง!R206"")+IMPORTRANGE(""https://docs.google.com/spreadsheets/d/1Dj4jcHCTV9JXKCaMoheSXS52JE63kDKyG7bPXnFogHk/edit?usp=shar"&amp;"ing"",""นครศรีธรรมราช!R206"")+IMPORTRANGE(""https://docs.google.com/spreadsheets/d/1iodCdmuK2GR3jzUwk8tpccY2JHQQA-87DLOtJP-ooyU/edit?usp=sharing"",""นราธิวาส!R206"")+IMPORTRANGE(""https://docs.google.com/spreadsheets/d/1SDNX3JhDdYRuIOsj0Wh2M-Qa_eaXl0NbWmh"&amp;"AOTbfQAs/edit?usp=sharing"",""ปัตตานี!R206"")+IMPORTRANGE(""https://docs.google.com/spreadsheets/d/16JDLGguT8s5DsGCND1KcwHP_AWR_zDMTqLHPLJUKhaU/edit?usp=sharing"",""พังงา!R206"")+IMPORTRANGE(""https://docs.google.com/spreadsheets/d/17ht0gPKzzT3PObBL1XJkeR"&amp;"mntBXI7wGjpLV7QorqlTk/edit?usp=sharing"",""พัทลุง!R206"")+IMPORTRANGE(""https://docs.google.com/spreadsheets/d/1rd4qoM1q_hsgaolqNGfrim9gbsoLxQsda4-vOz5x_BM/edit?usp=sharing"",""ภูเก็ต!R206"")+IMPORTRANGE(""https://docs.google.com/spreadsheets/d/1woKwKjgoL"&amp;"ssDvPcPeVyezB5izizAn4X1JDrys69n6xI/edit?usp=sharing"",""ยะลา!R206"")+IMPORTRANGE(""https://docs.google.com/spreadsheets/d/1qfrKjzMhm2HJfxQ-qVlJlJQ25Hne1d0khsySbZyGtPA/edit?usp=sharing"",""ระนอง!R206"")+IMPORTRANGE(""https://docs.google.com/spreadsheets/d/"&amp;"1IbSCnFOKpZsnFogBHJnL_isstZVaOMnFiIN0fGTPZZw/edit?usp=sharing"",""สงขลา!R206"")+IMPORTRANGE(""https://docs.google.com/spreadsheets/d/1q9nWasZJ-K8bFGvbE9n0qSRuKGA4Toe3Y89cKCiVtCU/edit?usp=sharing"",""สตูล!R206"")+IMPORTRANGE(""https://docs.google.com/sprea"&amp;"dsheets/d/18T20gbkS_WBjdscyTOV05cvq_JqvqQ17C81mpxf7Ncs/edit?usp=sharing"",""สุราษฎร์ธานี!R206"")"),0)</f>
        <v>0</v>
      </c>
      <c r="S206" s="47">
        <f ca="1">IFERROR(__xludf.DUMMYFUNCTION("IMPORTRANGE(""https://docs.google.com/spreadsheets/d/1kKUcYdkIfrgTSj8iHHHB2MD2FAtwyyocFgqGQn6ADyI/edit?usp=sharing"",""กระบี่!S206"")+IMPORTRANGE(""https://docs.google.com/spreadsheets/d/1GwtLaSlNZkLk7iDqcyZz22giiy40b_usZZBXYciEN1U/edit?usp=sharing"",""ชุ"&amp;"มพร!S206"")+IMPORTRANGE(""https://docs.google.com/spreadsheets/d/16pAz3pOhQEZBhvFNMa5KGgZS6iKWpsKX0pg6tQmwFpo/edit?usp=sharing"",""ตรัง!S206"")+IMPORTRANGE(""https://docs.google.com/spreadsheets/d/1Dj4jcHCTV9JXKCaMoheSXS52JE63kDKyG7bPXnFogHk/edit?usp=shar"&amp;"ing"",""นครศรีธรรมราช!S206"")+IMPORTRANGE(""https://docs.google.com/spreadsheets/d/1iodCdmuK2GR3jzUwk8tpccY2JHQQA-87DLOtJP-ooyU/edit?usp=sharing"",""นราธิวาส!S206"")+IMPORTRANGE(""https://docs.google.com/spreadsheets/d/1SDNX3JhDdYRuIOsj0Wh2M-Qa_eaXl0NbWmh"&amp;"AOTbfQAs/edit?usp=sharing"",""ปัตตานี!S206"")+IMPORTRANGE(""https://docs.google.com/spreadsheets/d/16JDLGguT8s5DsGCND1KcwHP_AWR_zDMTqLHPLJUKhaU/edit?usp=sharing"",""พังงา!S206"")+IMPORTRANGE(""https://docs.google.com/spreadsheets/d/17ht0gPKzzT3PObBL1XJkeR"&amp;"mntBXI7wGjpLV7QorqlTk/edit?usp=sharing"",""พัทลุง!S206"")+IMPORTRANGE(""https://docs.google.com/spreadsheets/d/1rd4qoM1q_hsgaolqNGfrim9gbsoLxQsda4-vOz5x_BM/edit?usp=sharing"",""ภูเก็ต!S206"")+IMPORTRANGE(""https://docs.google.com/spreadsheets/d/1woKwKjgoL"&amp;"ssDvPcPeVyezB5izizAn4X1JDrys69n6xI/edit?usp=sharing"",""ยะลา!S206"")+IMPORTRANGE(""https://docs.google.com/spreadsheets/d/1qfrKjzMhm2HJfxQ-qVlJlJQ25Hne1d0khsySbZyGtPA/edit?usp=sharing"",""ระนอง!S206"")+IMPORTRANGE(""https://docs.google.com/spreadsheets/d/"&amp;"1IbSCnFOKpZsnFogBHJnL_isstZVaOMnFiIN0fGTPZZw/edit?usp=sharing"",""สงขลา!S206"")+IMPORTRANGE(""https://docs.google.com/spreadsheets/d/1q9nWasZJ-K8bFGvbE9n0qSRuKGA4Toe3Y89cKCiVtCU/edit?usp=sharing"",""สตูล!S206"")+IMPORTRANGE(""https://docs.google.com/sprea"&amp;"dsheets/d/18T20gbkS_WBjdscyTOV05cvq_JqvqQ17C81mpxf7Ncs/edit?usp=sharing"",""สุราษฎร์ธานี!S206"")"),112000)</f>
        <v>112000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7">
        <f ca="1">IFERROR(__xludf.DUMMYFUNCTION("IMPORTRANGE(""https://docs.google.com/spreadsheets/d/1kKUcYdkIfrgTSj8iHHHB2MD2FAtwyyocFgqGQn6ADyI/edit?usp=sharing"",""กระบี่!L207"")+IMPORTRANGE(""https://docs.google.com/spreadsheets/d/1GwtLaSlNZkLk7iDqcyZz22giiy40b_usZZBXYciEN1U/edit?usp=sharing"",""ชุ"&amp;"มพร!L207"")+IMPORTRANGE(""https://docs.google.com/spreadsheets/d/16pAz3pOhQEZBhvFNMa5KGgZS6iKWpsKX0pg6tQmwFpo/edit?usp=sharing"",""ตรัง!L207"")+IMPORTRANGE(""https://docs.google.com/spreadsheets/d/1Dj4jcHCTV9JXKCaMoheSXS52JE63kDKyG7bPXnFogHk/edit?usp=shar"&amp;"ing"",""นครศรีธรรมราช!L207"")+IMPORTRANGE(""https://docs.google.com/spreadsheets/d/1iodCdmuK2GR3jzUwk8tpccY2JHQQA-87DLOtJP-ooyU/edit?usp=sharing"",""นราธิวาส!L207"")+IMPORTRANGE(""https://docs.google.com/spreadsheets/d/1SDNX3JhDdYRuIOsj0Wh2M-Qa_eaXl0NbWmh"&amp;"AOTbfQAs/edit?usp=sharing"",""ปัตตานี!L207"")+IMPORTRANGE(""https://docs.google.com/spreadsheets/d/16JDLGguT8s5DsGCND1KcwHP_AWR_zDMTqLHPLJUKhaU/edit?usp=sharing"",""พังงา!L207"")+IMPORTRANGE(""https://docs.google.com/spreadsheets/d/17ht0gPKzzT3PObBL1XJkeR"&amp;"mntBXI7wGjpLV7QorqlTk/edit?usp=sharing"",""พัทลุง!L207"")+IMPORTRANGE(""https://docs.google.com/spreadsheets/d/1rd4qoM1q_hsgaolqNGfrim9gbsoLxQsda4-vOz5x_BM/edit?usp=sharing"",""ภูเก็ต!L207"")+IMPORTRANGE(""https://docs.google.com/spreadsheets/d/1woKwKjgoL"&amp;"ssDvPcPeVyezB5izizAn4X1JDrys69n6xI/edit?usp=sharing"",""ยะลา!L207"")+IMPORTRANGE(""https://docs.google.com/spreadsheets/d/1qfrKjzMhm2HJfxQ-qVlJlJQ25Hne1d0khsySbZyGtPA/edit?usp=sharing"",""ระนอง!L207"")+IMPORTRANGE(""https://docs.google.com/spreadsheets/d/"&amp;"1IbSCnFOKpZsnFogBHJnL_isstZVaOMnFiIN0fGTPZZw/edit?usp=sharing"",""สงขลา!L207"")+IMPORTRANGE(""https://docs.google.com/spreadsheets/d/1q9nWasZJ-K8bFGvbE9n0qSRuKGA4Toe3Y89cKCiVtCU/edit?usp=sharing"",""สตูล!L207"")+IMPORTRANGE(""https://docs.google.com/sprea"&amp;"dsheets/d/18T20gbkS_WBjdscyTOV05cvq_JqvqQ17C81mpxf7Ncs/edit?usp=sharing"",""สุราษฎร์ธานี!L207"")"),138000)</f>
        <v>138000</v>
      </c>
      <c r="M207" s="47">
        <f ca="1">IFERROR(__xludf.DUMMYFUNCTION("IMPORTRANGE(""https://docs.google.com/spreadsheets/d/1kKUcYdkIfrgTSj8iHHHB2MD2FAtwyyocFgqGQn6ADyI/edit?usp=sharing"",""กระบี่!M207"")+IMPORTRANGE(""https://docs.google.com/spreadsheets/d/1GwtLaSlNZkLk7iDqcyZz22giiy40b_usZZBXYciEN1U/edit?usp=sharing"",""ชุ"&amp;"มพร!M207"")+IMPORTRANGE(""https://docs.google.com/spreadsheets/d/16pAz3pOhQEZBhvFNMa5KGgZS6iKWpsKX0pg6tQmwFpo/edit?usp=sharing"",""ตรัง!M207"")+IMPORTRANGE(""https://docs.google.com/spreadsheets/d/1Dj4jcHCTV9JXKCaMoheSXS52JE63kDKyG7bPXnFogHk/edit?usp=shar"&amp;"ing"",""นครศรีธรรมราช!M207"")+IMPORTRANGE(""https://docs.google.com/spreadsheets/d/1iodCdmuK2GR3jzUwk8tpccY2JHQQA-87DLOtJP-ooyU/edit?usp=sharing"",""นราธิวาส!M207"")+IMPORTRANGE(""https://docs.google.com/spreadsheets/d/1SDNX3JhDdYRuIOsj0Wh2M-Qa_eaXl0NbWmh"&amp;"AOTbfQAs/edit?usp=sharing"",""ปัตตานี!M207"")+IMPORTRANGE(""https://docs.google.com/spreadsheets/d/16JDLGguT8s5DsGCND1KcwHP_AWR_zDMTqLHPLJUKhaU/edit?usp=sharing"",""พังงา!M207"")+IMPORTRANGE(""https://docs.google.com/spreadsheets/d/17ht0gPKzzT3PObBL1XJkeR"&amp;"mntBXI7wGjpLV7QorqlTk/edit?usp=sharing"",""พัทลุง!M207"")+IMPORTRANGE(""https://docs.google.com/spreadsheets/d/1rd4qoM1q_hsgaolqNGfrim9gbsoLxQsda4-vOz5x_BM/edit?usp=sharing"",""ภูเก็ต!M207"")+IMPORTRANGE(""https://docs.google.com/spreadsheets/d/1woKwKjgoL"&amp;"ssDvPcPeVyezB5izizAn4X1JDrys69n6xI/edit?usp=sharing"",""ยะลา!M207"")+IMPORTRANGE(""https://docs.google.com/spreadsheets/d/1qfrKjzMhm2HJfxQ-qVlJlJQ25Hne1d0khsySbZyGtPA/edit?usp=sharing"",""ระนอง!M207"")+IMPORTRANGE(""https://docs.google.com/spreadsheets/d/"&amp;"1IbSCnFOKpZsnFogBHJnL_isstZVaOMnFiIN0fGTPZZw/edit?usp=sharing"",""สงขลา!M207"")+IMPORTRANGE(""https://docs.google.com/spreadsheets/d/1q9nWasZJ-K8bFGvbE9n0qSRuKGA4Toe3Y89cKCiVtCU/edit?usp=sharing"",""สตูล!M207"")+IMPORTRANGE(""https://docs.google.com/sprea"&amp;"dsheets/d/18T20gbkS_WBjdscyTOV05cvq_JqvqQ17C81mpxf7Ncs/edit?usp=sharing"",""สุราษฎร์ธานี!M207"")"),0)</f>
        <v>0</v>
      </c>
      <c r="N207" s="47">
        <f ca="1">IFERROR(__xludf.DUMMYFUNCTION("IMPORTRANGE(""https://docs.google.com/spreadsheets/d/1kKUcYdkIfrgTSj8iHHHB2MD2FAtwyyocFgqGQn6ADyI/edit?usp=sharing"",""กระบี่!N207"")+IMPORTRANGE(""https://docs.google.com/spreadsheets/d/1GwtLaSlNZkLk7iDqcyZz22giiy40b_usZZBXYciEN1U/edit?usp=sharing"",""ชุ"&amp;"มพร!N207"")+IMPORTRANGE(""https://docs.google.com/spreadsheets/d/16pAz3pOhQEZBhvFNMa5KGgZS6iKWpsKX0pg6tQmwFpo/edit?usp=sharing"",""ตรัง!N207"")+IMPORTRANGE(""https://docs.google.com/spreadsheets/d/1Dj4jcHCTV9JXKCaMoheSXS52JE63kDKyG7bPXnFogHk/edit?usp=shar"&amp;"ing"",""นครศรีธรรมราช!N207"")+IMPORTRANGE(""https://docs.google.com/spreadsheets/d/1iodCdmuK2GR3jzUwk8tpccY2JHQQA-87DLOtJP-ooyU/edit?usp=sharing"",""นราธิวาส!N207"")+IMPORTRANGE(""https://docs.google.com/spreadsheets/d/1SDNX3JhDdYRuIOsj0Wh2M-Qa_eaXl0NbWmh"&amp;"AOTbfQAs/edit?usp=sharing"",""ปัตตานี!N207"")+IMPORTRANGE(""https://docs.google.com/spreadsheets/d/16JDLGguT8s5DsGCND1KcwHP_AWR_zDMTqLHPLJUKhaU/edit?usp=sharing"",""พังงา!N207"")+IMPORTRANGE(""https://docs.google.com/spreadsheets/d/17ht0gPKzzT3PObBL1XJkeR"&amp;"mntBXI7wGjpLV7QorqlTk/edit?usp=sharing"",""พัทลุง!N207"")+IMPORTRANGE(""https://docs.google.com/spreadsheets/d/1rd4qoM1q_hsgaolqNGfrim9gbsoLxQsda4-vOz5x_BM/edit?usp=sharing"",""ภูเก็ต!N207"")+IMPORTRANGE(""https://docs.google.com/spreadsheets/d/1woKwKjgoL"&amp;"ssDvPcPeVyezB5izizAn4X1JDrys69n6xI/edit?usp=sharing"",""ยะลา!N207"")+IMPORTRANGE(""https://docs.google.com/spreadsheets/d/1qfrKjzMhm2HJfxQ-qVlJlJQ25Hne1d0khsySbZyGtPA/edit?usp=sharing"",""ระนอง!N207"")+IMPORTRANGE(""https://docs.google.com/spreadsheets/d/"&amp;"1IbSCnFOKpZsnFogBHJnL_isstZVaOMnFiIN0fGTPZZw/edit?usp=sharing"",""สงขลา!N207"")+IMPORTRANGE(""https://docs.google.com/spreadsheets/d/1q9nWasZJ-K8bFGvbE9n0qSRuKGA4Toe3Y89cKCiVtCU/edit?usp=sharing"",""สตูล!N207"")+IMPORTRANGE(""https://docs.google.com/sprea"&amp;"dsheets/d/18T20gbkS_WBjdscyTOV05cvq_JqvqQ17C81mpxf7Ncs/edit?usp=sharing"",""สุราษฎร์ธานี!N207"")"),32000)</f>
        <v>32000</v>
      </c>
      <c r="O207" s="136"/>
      <c r="P207" s="46"/>
      <c r="Q207" s="47">
        <f ca="1">IFERROR(__xludf.DUMMYFUNCTION("IMPORTRANGE(""https://docs.google.com/spreadsheets/d/1kKUcYdkIfrgTSj8iHHHB2MD2FAtwyyocFgqGQn6ADyI/edit?usp=sharing"",""กระบี่!Q207"")+IMPORTRANGE(""https://docs.google.com/spreadsheets/d/1GwtLaSlNZkLk7iDqcyZz22giiy40b_usZZBXYciEN1U/edit?usp=sharing"",""ชุ"&amp;"มพร!Q207"")+IMPORTRANGE(""https://docs.google.com/spreadsheets/d/16pAz3pOhQEZBhvFNMa5KGgZS6iKWpsKX0pg6tQmwFpo/edit?usp=sharing"",""ตรัง!Q207"")+IMPORTRANGE(""https://docs.google.com/spreadsheets/d/1Dj4jcHCTV9JXKCaMoheSXS52JE63kDKyG7bPXnFogHk/edit?usp=shar"&amp;"ing"",""นครศรีธรรมราช!Q207"")+IMPORTRANGE(""https://docs.google.com/spreadsheets/d/1iodCdmuK2GR3jzUwk8tpccY2JHQQA-87DLOtJP-ooyU/edit?usp=sharing"",""นราธิวาส!Q207"")+IMPORTRANGE(""https://docs.google.com/spreadsheets/d/1SDNX3JhDdYRuIOsj0Wh2M-Qa_eaXl0NbWmh"&amp;"AOTbfQAs/edit?usp=sharing"",""ปัตตานี!Q207"")+IMPORTRANGE(""https://docs.google.com/spreadsheets/d/16JDLGguT8s5DsGCND1KcwHP_AWR_zDMTqLHPLJUKhaU/edit?usp=sharing"",""พังงา!Q207"")+IMPORTRANGE(""https://docs.google.com/spreadsheets/d/17ht0gPKzzT3PObBL1XJkeR"&amp;"mntBXI7wGjpLV7QorqlTk/edit?usp=sharing"",""พัทลุง!Q207"")+IMPORTRANGE(""https://docs.google.com/spreadsheets/d/1rd4qoM1q_hsgaolqNGfrim9gbsoLxQsda4-vOz5x_BM/edit?usp=sharing"",""ภูเก็ต!Q207"")+IMPORTRANGE(""https://docs.google.com/spreadsheets/d/1woKwKjgoL"&amp;"ssDvPcPeVyezB5izizAn4X1JDrys69n6xI/edit?usp=sharing"",""ยะลา!Q207"")+IMPORTRANGE(""https://docs.google.com/spreadsheets/d/1qfrKjzMhm2HJfxQ-qVlJlJQ25Hne1d0khsySbZyGtPA/edit?usp=sharing"",""ระนอง!Q207"")+IMPORTRANGE(""https://docs.google.com/spreadsheets/d/"&amp;"1IbSCnFOKpZsnFogBHJnL_isstZVaOMnFiIN0fGTPZZw/edit?usp=sharing"",""สงขลา!Q207"")+IMPORTRANGE(""https://docs.google.com/spreadsheets/d/1q9nWasZJ-K8bFGvbE9n0qSRuKGA4Toe3Y89cKCiVtCU/edit?usp=sharing"",""สตูล!Q207"")+IMPORTRANGE(""https://docs.google.com/sprea"&amp;"dsheets/d/18T20gbkS_WBjdscyTOV05cvq_JqvqQ17C81mpxf7Ncs/edit?usp=sharing"",""สุราษฎร์ธานี!Q207"")"),0)</f>
        <v>0</v>
      </c>
      <c r="R207" s="47">
        <f ca="1">IFERROR(__xludf.DUMMYFUNCTION("IMPORTRANGE(""https://docs.google.com/spreadsheets/d/1kKUcYdkIfrgTSj8iHHHB2MD2FAtwyyocFgqGQn6ADyI/edit?usp=sharing"",""กระบี่!R207"")+IMPORTRANGE(""https://docs.google.com/spreadsheets/d/1GwtLaSlNZkLk7iDqcyZz22giiy40b_usZZBXYciEN1U/edit?usp=sharing"",""ชุ"&amp;"มพร!R207"")+IMPORTRANGE(""https://docs.google.com/spreadsheets/d/16pAz3pOhQEZBhvFNMa5KGgZS6iKWpsKX0pg6tQmwFpo/edit?usp=sharing"",""ตรัง!R207"")+IMPORTRANGE(""https://docs.google.com/spreadsheets/d/1Dj4jcHCTV9JXKCaMoheSXS52JE63kDKyG7bPXnFogHk/edit?usp=shar"&amp;"ing"",""นครศรีธรรมราช!R207"")+IMPORTRANGE(""https://docs.google.com/spreadsheets/d/1iodCdmuK2GR3jzUwk8tpccY2JHQQA-87DLOtJP-ooyU/edit?usp=sharing"",""นราธิวาส!R207"")+IMPORTRANGE(""https://docs.google.com/spreadsheets/d/1SDNX3JhDdYRuIOsj0Wh2M-Qa_eaXl0NbWmh"&amp;"AOTbfQAs/edit?usp=sharing"",""ปัตตานี!R207"")+IMPORTRANGE(""https://docs.google.com/spreadsheets/d/16JDLGguT8s5DsGCND1KcwHP_AWR_zDMTqLHPLJUKhaU/edit?usp=sharing"",""พังงา!R207"")+IMPORTRANGE(""https://docs.google.com/spreadsheets/d/17ht0gPKzzT3PObBL1XJkeR"&amp;"mntBXI7wGjpLV7QorqlTk/edit?usp=sharing"",""พัทลุง!R207"")+IMPORTRANGE(""https://docs.google.com/spreadsheets/d/1rd4qoM1q_hsgaolqNGfrim9gbsoLxQsda4-vOz5x_BM/edit?usp=sharing"",""ภูเก็ต!R207"")+IMPORTRANGE(""https://docs.google.com/spreadsheets/d/1woKwKjgoL"&amp;"ssDvPcPeVyezB5izizAn4X1JDrys69n6xI/edit?usp=sharing"",""ยะลา!R207"")+IMPORTRANGE(""https://docs.google.com/spreadsheets/d/1qfrKjzMhm2HJfxQ-qVlJlJQ25Hne1d0khsySbZyGtPA/edit?usp=sharing"",""ระนอง!R207"")+IMPORTRANGE(""https://docs.google.com/spreadsheets/d/"&amp;"1IbSCnFOKpZsnFogBHJnL_isstZVaOMnFiIN0fGTPZZw/edit?usp=sharing"",""สงขลา!R207"")+IMPORTRANGE(""https://docs.google.com/spreadsheets/d/1q9nWasZJ-K8bFGvbE9n0qSRuKGA4Toe3Y89cKCiVtCU/edit?usp=sharing"",""สตูล!R207"")+IMPORTRANGE(""https://docs.google.com/sprea"&amp;"dsheets/d/18T20gbkS_WBjdscyTOV05cvq_JqvqQ17C81mpxf7Ncs/edit?usp=sharing"",""สุราษฎร์ธานี!R207"")"),0)</f>
        <v>0</v>
      </c>
      <c r="S207" s="47">
        <f ca="1">IFERROR(__xludf.DUMMYFUNCTION("IMPORTRANGE(""https://docs.google.com/spreadsheets/d/1kKUcYdkIfrgTSj8iHHHB2MD2FAtwyyocFgqGQn6ADyI/edit?usp=sharing"",""กระบี่!S207"")+IMPORTRANGE(""https://docs.google.com/spreadsheets/d/1GwtLaSlNZkLk7iDqcyZz22giiy40b_usZZBXYciEN1U/edit?usp=sharing"",""ชุ"&amp;"มพร!S207"")+IMPORTRANGE(""https://docs.google.com/spreadsheets/d/16pAz3pOhQEZBhvFNMa5KGgZS6iKWpsKX0pg6tQmwFpo/edit?usp=sharing"",""ตรัง!S207"")+IMPORTRANGE(""https://docs.google.com/spreadsheets/d/1Dj4jcHCTV9JXKCaMoheSXS52JE63kDKyG7bPXnFogHk/edit?usp=shar"&amp;"ing"",""นครศรีธรรมราช!S207"")+IMPORTRANGE(""https://docs.google.com/spreadsheets/d/1iodCdmuK2GR3jzUwk8tpccY2JHQQA-87DLOtJP-ooyU/edit?usp=sharing"",""นราธิวาส!S207"")+IMPORTRANGE(""https://docs.google.com/spreadsheets/d/1SDNX3JhDdYRuIOsj0Wh2M-Qa_eaXl0NbWmh"&amp;"AOTbfQAs/edit?usp=sharing"",""ปัตตานี!S207"")+IMPORTRANGE(""https://docs.google.com/spreadsheets/d/16JDLGguT8s5DsGCND1KcwHP_AWR_zDMTqLHPLJUKhaU/edit?usp=sharing"",""พังงา!S207"")+IMPORTRANGE(""https://docs.google.com/spreadsheets/d/17ht0gPKzzT3PObBL1XJkeR"&amp;"mntBXI7wGjpLV7QorqlTk/edit?usp=sharing"",""พัทลุง!S207"")+IMPORTRANGE(""https://docs.google.com/spreadsheets/d/1rd4qoM1q_hsgaolqNGfrim9gbsoLxQsda4-vOz5x_BM/edit?usp=sharing"",""ภูเก็ต!S207"")+IMPORTRANGE(""https://docs.google.com/spreadsheets/d/1woKwKjgoL"&amp;"ssDvPcPeVyezB5izizAn4X1JDrys69n6xI/edit?usp=sharing"",""ยะลา!S207"")+IMPORTRANGE(""https://docs.google.com/spreadsheets/d/1qfrKjzMhm2HJfxQ-qVlJlJQ25Hne1d0khsySbZyGtPA/edit?usp=sharing"",""ระนอง!S207"")+IMPORTRANGE(""https://docs.google.com/spreadsheets/d/"&amp;"1IbSCnFOKpZsnFogBHJnL_isstZVaOMnFiIN0fGTPZZw/edit?usp=sharing"",""สงขลา!S207"")+IMPORTRANGE(""https://docs.google.com/spreadsheets/d/1q9nWasZJ-K8bFGvbE9n0qSRuKGA4Toe3Y89cKCiVtCU/edit?usp=sharing"",""สตูล!S207"")+IMPORTRANGE(""https://docs.google.com/sprea"&amp;"dsheets/d/18T20gbkS_WBjdscyTOV05cvq_JqvqQ17C81mpxf7Ncs/edit?usp=sharing"",""สุราษฎร์ธานี!S207"")"),0)</f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140" t="s">
        <v>38</v>
      </c>
      <c r="E208" s="141"/>
      <c r="F208" s="141"/>
      <c r="G208" s="142"/>
      <c r="H208" s="143"/>
      <c r="I208" s="135"/>
      <c r="J208" s="135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238">
        <f ca="1">IFERROR(__xludf.DUMMYFUNCTION("IMPORTRANGE(""https://docs.google.com/spreadsheets/d/1kKUcYdkIfrgTSj8iHHHB2MD2FAtwyyocFgqGQn6ADyI/edit?usp=sharing"",""กระบี่!I209"")+IMPORTRANGE(""https://docs.google.com/spreadsheets/d/1GwtLaSlNZkLk7iDqcyZz22giiy40b_usZZBXYciEN1U/edit?usp=sharing"",""ชุ"&amp;"มพร!I209"")+IMPORTRANGE(""https://docs.google.com/spreadsheets/d/16pAz3pOhQEZBhvFNMa5KGgZS6iKWpsKX0pg6tQmwFpo/edit?usp=sharing"",""ตรัง!I209"")+IMPORTRANGE(""https://docs.google.com/spreadsheets/d/1Dj4jcHCTV9JXKCaMoheSXS52JE63kDKyG7bPXnFogHk/edit?usp=shar"&amp;"ing"",""นครศรีธรรมราช!I209"")+IMPORTRANGE(""https://docs.google.com/spreadsheets/d/1iodCdmuK2GR3jzUwk8tpccY2JHQQA-87DLOtJP-ooyU/edit?usp=sharing"",""นราธิวาส!I209"")+IMPORTRANGE(""https://docs.google.com/spreadsheets/d/1SDNX3JhDdYRuIOsj0Wh2M-Qa_eaXl0NbWmh"&amp;"AOTbfQAs/edit?usp=sharing"",""ปัตตานี!I209"")+IMPORTRANGE(""https://docs.google.com/spreadsheets/d/16JDLGguT8s5DsGCND1KcwHP_AWR_zDMTqLHPLJUKhaU/edit?usp=sharing"",""พังงา!I209"")+IMPORTRANGE(""https://docs.google.com/spreadsheets/d/17ht0gPKzzT3PObBL1XJkeR"&amp;"mntBXI7wGjpLV7QorqlTk/edit?usp=sharing"",""พัทลุง!I209"")+IMPORTRANGE(""https://docs.google.com/spreadsheets/d/1rd4qoM1q_hsgaolqNGfrim9gbsoLxQsda4-vOz5x_BM/edit?usp=sharing"",""ภูเก็ต!I209"")+IMPORTRANGE(""https://docs.google.com/spreadsheets/d/1woKwKjgoL"&amp;"ssDvPcPeVyezB5izizAn4X1JDrys69n6xI/edit?usp=sharing"",""ยะลา!I209"")+IMPORTRANGE(""https://docs.google.com/spreadsheets/d/1qfrKjzMhm2HJfxQ-qVlJlJQ25Hne1d0khsySbZyGtPA/edit?usp=sharing"",""ระนอง!I209"")+IMPORTRANGE(""https://docs.google.com/spreadsheets/d/"&amp;"1IbSCnFOKpZsnFogBHJnL_isstZVaOMnFiIN0fGTPZZw/edit?usp=sharing"",""สงขลา!I209"")+IMPORTRANGE(""https://docs.google.com/spreadsheets/d/1q9nWasZJ-K8bFGvbE9n0qSRuKGA4Toe3Y89cKCiVtCU/edit?usp=sharing"",""สตูล!I209"")+IMPORTRANGE(""https://docs.google.com/sprea"&amp;"dsheets/d/18T20gbkS_WBjdscyTOV05cvq_JqvqQ17C81mpxf7Ncs/edit?usp=sharing"",""สุราษฎร์ธานี!I209"")"),30)</f>
        <v>30</v>
      </c>
      <c r="J209" s="238">
        <f ca="1">IFERROR(__xludf.DUMMYFUNCTION("IMPORTRANGE(""https://docs.google.com/spreadsheets/d/1kKUcYdkIfrgTSj8iHHHB2MD2FAtwyyocFgqGQn6ADyI/edit?usp=sharing"",""กระบี่!J209"")+IMPORTRANGE(""https://docs.google.com/spreadsheets/d/1GwtLaSlNZkLk7iDqcyZz22giiy40b_usZZBXYciEN1U/edit?usp=sharing"",""ชุ"&amp;"มพร!J209"")+IMPORTRANGE(""https://docs.google.com/spreadsheets/d/16pAz3pOhQEZBhvFNMa5KGgZS6iKWpsKX0pg6tQmwFpo/edit?usp=sharing"",""ตรัง!J209"")+IMPORTRANGE(""https://docs.google.com/spreadsheets/d/1Dj4jcHCTV9JXKCaMoheSXS52JE63kDKyG7bPXnFogHk/edit?usp=shar"&amp;"ing"",""นครศรีธรรมราช!J209"")+IMPORTRANGE(""https://docs.google.com/spreadsheets/d/1iodCdmuK2GR3jzUwk8tpccY2JHQQA-87DLOtJP-ooyU/edit?usp=sharing"",""นราธิวาส!J209"")+IMPORTRANGE(""https://docs.google.com/spreadsheets/d/1SDNX3JhDdYRuIOsj0Wh2M-Qa_eaXl0NbWmh"&amp;"AOTbfQAs/edit?usp=sharing"",""ปัตตานี!J209"")+IMPORTRANGE(""https://docs.google.com/spreadsheets/d/16JDLGguT8s5DsGCND1KcwHP_AWR_zDMTqLHPLJUKhaU/edit?usp=sharing"",""พังงา!J209"")+IMPORTRANGE(""https://docs.google.com/spreadsheets/d/17ht0gPKzzT3PObBL1XJkeR"&amp;"mntBXI7wGjpLV7QorqlTk/edit?usp=sharing"",""พัทลุง!J209"")+IMPORTRANGE(""https://docs.google.com/spreadsheets/d/1rd4qoM1q_hsgaolqNGfrim9gbsoLxQsda4-vOz5x_BM/edit?usp=sharing"",""ภูเก็ต!J209"")+IMPORTRANGE(""https://docs.google.com/spreadsheets/d/1woKwKjgoL"&amp;"ssDvPcPeVyezB5izizAn4X1JDrys69n6xI/edit?usp=sharing"",""ยะลา!J209"")+IMPORTRANGE(""https://docs.google.com/spreadsheets/d/1qfrKjzMhm2HJfxQ-qVlJlJQ25Hne1d0khsySbZyGtPA/edit?usp=sharing"",""ระนอง!J209"")+IMPORTRANGE(""https://docs.google.com/spreadsheets/d/"&amp;"1IbSCnFOKpZsnFogBHJnL_isstZVaOMnFiIN0fGTPZZw/edit?usp=sharing"",""สงขลา!J209"")+IMPORTRANGE(""https://docs.google.com/spreadsheets/d/1q9nWasZJ-K8bFGvbE9n0qSRuKGA4Toe3Y89cKCiVtCU/edit?usp=sharing"",""สตูล!J209"")+IMPORTRANGE(""https://docs.google.com/sprea"&amp;"dsheets/d/18T20gbkS_WBjdscyTOV05cvq_JqvqQ17C81mpxf7Ncs/edit?usp=sharing"",""สุราษฎร์ธานี!J209"")"),4)</f>
        <v>4</v>
      </c>
      <c r="K209" s="239">
        <f ca="1">IF(I209&gt;0,J209*100/I209,0)</f>
        <v>13.333333333333334</v>
      </c>
      <c r="L209" s="46"/>
      <c r="M209" s="46"/>
      <c r="N209" s="46"/>
      <c r="O209" s="46"/>
      <c r="P209" s="46"/>
      <c r="Q209" s="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6"/>
      <c r="M210" s="46"/>
      <c r="N210" s="46"/>
      <c r="O210" s="46"/>
      <c r="P210" s="46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v>0</v>
      </c>
      <c r="J211" s="238">
        <f ca="1">IFERROR(__xludf.DUMMYFUNCTION("IMPORTRANGE(""https://docs.google.com/spreadsheets/d/1kKUcYdkIfrgTSj8iHHHB2MD2FAtwyyocFgqGQn6ADyI/edit?usp=sharing"",""กระบี่!J211"")+IMPORTRANGE(""https://docs.google.com/spreadsheets/d/1GwtLaSlNZkLk7iDqcyZz22giiy40b_usZZBXYciEN1U/edit?usp=sharing"",""ชุ"&amp;"มพร!J211"")+IMPORTRANGE(""https://docs.google.com/spreadsheets/d/16pAz3pOhQEZBhvFNMa5KGgZS6iKWpsKX0pg6tQmwFpo/edit?usp=sharing"",""ตรัง!J211"")+IMPORTRANGE(""https://docs.google.com/spreadsheets/d/1Dj4jcHCTV9JXKCaMoheSXS52JE63kDKyG7bPXnFogHk/edit?usp=shar"&amp;"ing"",""นครศรีธรรมราช!J211"")+IMPORTRANGE(""https://docs.google.com/spreadsheets/d/1iodCdmuK2GR3jzUwk8tpccY2JHQQA-87DLOtJP-ooyU/edit?usp=sharing"",""นราธิวาส!J211"")+IMPORTRANGE(""https://docs.google.com/spreadsheets/d/1SDNX3JhDdYRuIOsj0Wh2M-Qa_eaXl0NbWmh"&amp;"AOTbfQAs/edit?usp=sharing"",""ปัตตานี!J211"")+IMPORTRANGE(""https://docs.google.com/spreadsheets/d/16JDLGguT8s5DsGCND1KcwHP_AWR_zDMTqLHPLJUKhaU/edit?usp=sharing"",""พังงา!J211"")+IMPORTRANGE(""https://docs.google.com/spreadsheets/d/17ht0gPKzzT3PObBL1XJkeR"&amp;"mntBXI7wGjpLV7QorqlTk/edit?usp=sharing"",""พัทลุง!J211"")+IMPORTRANGE(""https://docs.google.com/spreadsheets/d/1rd4qoM1q_hsgaolqNGfrim9gbsoLxQsda4-vOz5x_BM/edit?usp=sharing"",""ภูเก็ต!J211"")+IMPORTRANGE(""https://docs.google.com/spreadsheets/d/1woKwKjgoL"&amp;"ssDvPcPeVyezB5izizAn4X1JDrys69n6xI/edit?usp=sharing"",""ยะลา!J211"")+IMPORTRANGE(""https://docs.google.com/spreadsheets/d/1qfrKjzMhm2HJfxQ-qVlJlJQ25Hne1d0khsySbZyGtPA/edit?usp=sharing"",""ระนอง!J211"")+IMPORTRANGE(""https://docs.google.com/spreadsheets/d/"&amp;"1IbSCnFOKpZsnFogBHJnL_isstZVaOMnFiIN0fGTPZZw/edit?usp=sharing"",""สงขลา!J211"")+IMPORTRANGE(""https://docs.google.com/spreadsheets/d/1q9nWasZJ-K8bFGvbE9n0qSRuKGA4Toe3Y89cKCiVtCU/edit?usp=sharing"",""สตูล!J211"")+IMPORTRANGE(""https://docs.google.com/sprea"&amp;"dsheets/d/18T20gbkS_WBjdscyTOV05cvq_JqvqQ17C81mpxf7Ncs/edit?usp=sharing"",""สุราษฎร์ธานี!J211"")"),3)</f>
        <v>3</v>
      </c>
      <c r="K211" s="153">
        <f t="shared" ref="K211:K213" si="175">IF(I211&gt;0,J211*100/I211,0)</f>
        <v>0</v>
      </c>
      <c r="L211" s="46"/>
      <c r="M211" s="46"/>
      <c r="N211" s="46"/>
      <c r="O211" s="46"/>
      <c r="P211" s="46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v>0</v>
      </c>
      <c r="J212" s="238">
        <f ca="1">IFERROR(__xludf.DUMMYFUNCTION("IMPORTRANGE(""https://docs.google.com/spreadsheets/d/1kKUcYdkIfrgTSj8iHHHB2MD2FAtwyyocFgqGQn6ADyI/edit?usp=sharing"",""กระบี่!J212"")+IMPORTRANGE(""https://docs.google.com/spreadsheets/d/1GwtLaSlNZkLk7iDqcyZz22giiy40b_usZZBXYciEN1U/edit?usp=sharing"",""ชุ"&amp;"มพร!J212"")+IMPORTRANGE(""https://docs.google.com/spreadsheets/d/16pAz3pOhQEZBhvFNMa5KGgZS6iKWpsKX0pg6tQmwFpo/edit?usp=sharing"",""ตรัง!J212"")+IMPORTRANGE(""https://docs.google.com/spreadsheets/d/1Dj4jcHCTV9JXKCaMoheSXS52JE63kDKyG7bPXnFogHk/edit?usp=shar"&amp;"ing"",""นครศรีธรรมราช!J212"")+IMPORTRANGE(""https://docs.google.com/spreadsheets/d/1iodCdmuK2GR3jzUwk8tpccY2JHQQA-87DLOtJP-ooyU/edit?usp=sharing"",""นราธิวาส!J212"")+IMPORTRANGE(""https://docs.google.com/spreadsheets/d/1SDNX3JhDdYRuIOsj0Wh2M-Qa_eaXl0NbWmh"&amp;"AOTbfQAs/edit?usp=sharing"",""ปัตตานี!J212"")+IMPORTRANGE(""https://docs.google.com/spreadsheets/d/16JDLGguT8s5DsGCND1KcwHP_AWR_zDMTqLHPLJUKhaU/edit?usp=sharing"",""พังงา!J212"")+IMPORTRANGE(""https://docs.google.com/spreadsheets/d/17ht0gPKzzT3PObBL1XJkeR"&amp;"mntBXI7wGjpLV7QorqlTk/edit?usp=sharing"",""พัทลุง!J212"")+IMPORTRANGE(""https://docs.google.com/spreadsheets/d/1rd4qoM1q_hsgaolqNGfrim9gbsoLxQsda4-vOz5x_BM/edit?usp=sharing"",""ภูเก็ต!J212"")+IMPORTRANGE(""https://docs.google.com/spreadsheets/d/1woKwKjgoL"&amp;"ssDvPcPeVyezB5izizAn4X1JDrys69n6xI/edit?usp=sharing"",""ยะลา!J212"")+IMPORTRANGE(""https://docs.google.com/spreadsheets/d/1qfrKjzMhm2HJfxQ-qVlJlJQ25Hne1d0khsySbZyGtPA/edit?usp=sharing"",""ระนอง!J212"")+IMPORTRANGE(""https://docs.google.com/spreadsheets/d/"&amp;"1IbSCnFOKpZsnFogBHJnL_isstZVaOMnFiIN0fGTPZZw/edit?usp=sharing"",""สงขลา!J212"")+IMPORTRANGE(""https://docs.google.com/spreadsheets/d/1q9nWasZJ-K8bFGvbE9n0qSRuKGA4Toe3Y89cKCiVtCU/edit?usp=sharing"",""สตูล!J212"")+IMPORTRANGE(""https://docs.google.com/sprea"&amp;"dsheets/d/18T20gbkS_WBjdscyTOV05cvq_JqvqQ17C81mpxf7Ncs/edit?usp=sharing"",""สุราษฎร์ธานี!J212"")"),1)</f>
        <v>1</v>
      </c>
      <c r="K212" s="153">
        <f t="shared" si="175"/>
        <v>0</v>
      </c>
      <c r="L212" s="46"/>
      <c r="M212" s="46"/>
      <c r="N212" s="46"/>
      <c r="O212" s="46"/>
      <c r="P212" s="46"/>
      <c r="Q212" s="46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35">
        <f t="shared" ref="I213:J213" ca="1" si="176">I220</f>
        <v>10</v>
      </c>
      <c r="J213" s="235">
        <f t="shared" ca="1" si="176"/>
        <v>0</v>
      </c>
      <c r="K213" s="236">
        <f t="shared" ca="1" si="175"/>
        <v>0</v>
      </c>
      <c r="L213" s="230"/>
      <c r="M213" s="230"/>
      <c r="N213" s="230"/>
      <c r="O213" s="230"/>
      <c r="P213" s="230"/>
      <c r="Q213" s="230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231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132">
        <f t="shared" ref="L214:N214" ca="1" si="177">L215+L216+L217</f>
        <v>60000</v>
      </c>
      <c r="M214" s="132">
        <f t="shared" ca="1" si="177"/>
        <v>0</v>
      </c>
      <c r="N214" s="132">
        <f t="shared" ca="1" si="177"/>
        <v>0</v>
      </c>
      <c r="O214" s="132">
        <f ca="1">IF(L214&gt;0,N214*100/L214,0)</f>
        <v>0</v>
      </c>
      <c r="P214" s="46"/>
      <c r="Q214" s="132">
        <f t="shared" ref="Q214:S214" ca="1" si="178">Q215+Q216+Q217</f>
        <v>497000</v>
      </c>
      <c r="R214" s="132">
        <f t="shared" ca="1" si="178"/>
        <v>0</v>
      </c>
      <c r="S214" s="132">
        <f t="shared" ca="1" si="178"/>
        <v>0</v>
      </c>
      <c r="T214" s="46"/>
      <c r="U214" s="46"/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7">
        <f ca="1">IFERROR(__xludf.DUMMYFUNCTION("IMPORTRANGE(""https://docs.google.com/spreadsheets/d/1kKUcYdkIfrgTSj8iHHHB2MD2FAtwyyocFgqGQn6ADyI/edit?usp=sharing"",""กระบี่!L215"")+IMPORTRANGE(""https://docs.google.com/spreadsheets/d/1GwtLaSlNZkLk7iDqcyZz22giiy40b_usZZBXYciEN1U/edit?usp=sharing"",""ชุ"&amp;"มพร!L215"")+IMPORTRANGE(""https://docs.google.com/spreadsheets/d/16pAz3pOhQEZBhvFNMa5KGgZS6iKWpsKX0pg6tQmwFpo/edit?usp=sharing"",""ตรัง!L215"")+IMPORTRANGE(""https://docs.google.com/spreadsheets/d/1Dj4jcHCTV9JXKCaMoheSXS52JE63kDKyG7bPXnFogHk/edit?usp=shar"&amp;"ing"",""นครศรีธรรมราช!L215"")+IMPORTRANGE(""https://docs.google.com/spreadsheets/d/1iodCdmuK2GR3jzUwk8tpccY2JHQQA-87DLOtJP-ooyU/edit?usp=sharing"",""นราธิวาส!L215"")+IMPORTRANGE(""https://docs.google.com/spreadsheets/d/1SDNX3JhDdYRuIOsj0Wh2M-Qa_eaXl0NbWmh"&amp;"AOTbfQAs/edit?usp=sharing"",""ปัตตานี!L215"")+IMPORTRANGE(""https://docs.google.com/spreadsheets/d/16JDLGguT8s5DsGCND1KcwHP_AWR_zDMTqLHPLJUKhaU/edit?usp=sharing"",""พังงา!L215"")+IMPORTRANGE(""https://docs.google.com/spreadsheets/d/17ht0gPKzzT3PObBL1XJkeR"&amp;"mntBXI7wGjpLV7QorqlTk/edit?usp=sharing"",""พัทลุง!L215"")+IMPORTRANGE(""https://docs.google.com/spreadsheets/d/1rd4qoM1q_hsgaolqNGfrim9gbsoLxQsda4-vOz5x_BM/edit?usp=sharing"",""ภูเก็ต!L215"")+IMPORTRANGE(""https://docs.google.com/spreadsheets/d/1woKwKjgoL"&amp;"ssDvPcPeVyezB5izizAn4X1JDrys69n6xI/edit?usp=sharing"",""ยะลา!L215"")+IMPORTRANGE(""https://docs.google.com/spreadsheets/d/1qfrKjzMhm2HJfxQ-qVlJlJQ25Hne1d0khsySbZyGtPA/edit?usp=sharing"",""ระนอง!L215"")+IMPORTRANGE(""https://docs.google.com/spreadsheets/d/"&amp;"1IbSCnFOKpZsnFogBHJnL_isstZVaOMnFiIN0fGTPZZw/edit?usp=sharing"",""สงขลา!L215"")+IMPORTRANGE(""https://docs.google.com/spreadsheets/d/1q9nWasZJ-K8bFGvbE9n0qSRuKGA4Toe3Y89cKCiVtCU/edit?usp=sharing"",""สตูล!L215"")+IMPORTRANGE(""https://docs.google.com/sprea"&amp;"dsheets/d/18T20gbkS_WBjdscyTOV05cvq_JqvqQ17C81mpxf7Ncs/edit?usp=sharing"",""สุราษฎร์ธานี!L215"")"),10000)</f>
        <v>10000</v>
      </c>
      <c r="M215" s="47">
        <f ca="1">IFERROR(__xludf.DUMMYFUNCTION("IMPORTRANGE(""https://docs.google.com/spreadsheets/d/1kKUcYdkIfrgTSj8iHHHB2MD2FAtwyyocFgqGQn6ADyI/edit?usp=sharing"",""กระบี่!M215"")+IMPORTRANGE(""https://docs.google.com/spreadsheets/d/1GwtLaSlNZkLk7iDqcyZz22giiy40b_usZZBXYciEN1U/edit?usp=sharing"",""ชุ"&amp;"มพร!M215"")+IMPORTRANGE(""https://docs.google.com/spreadsheets/d/16pAz3pOhQEZBhvFNMa5KGgZS6iKWpsKX0pg6tQmwFpo/edit?usp=sharing"",""ตรัง!M215"")+IMPORTRANGE(""https://docs.google.com/spreadsheets/d/1Dj4jcHCTV9JXKCaMoheSXS52JE63kDKyG7bPXnFogHk/edit?usp=shar"&amp;"ing"",""นครศรีธรรมราช!M215"")+IMPORTRANGE(""https://docs.google.com/spreadsheets/d/1iodCdmuK2GR3jzUwk8tpccY2JHQQA-87DLOtJP-ooyU/edit?usp=sharing"",""นราธิวาส!M215"")+IMPORTRANGE(""https://docs.google.com/spreadsheets/d/1SDNX3JhDdYRuIOsj0Wh2M-Qa_eaXl0NbWmh"&amp;"AOTbfQAs/edit?usp=sharing"",""ปัตตานี!M215"")+IMPORTRANGE(""https://docs.google.com/spreadsheets/d/16JDLGguT8s5DsGCND1KcwHP_AWR_zDMTqLHPLJUKhaU/edit?usp=sharing"",""พังงา!M215"")+IMPORTRANGE(""https://docs.google.com/spreadsheets/d/17ht0gPKzzT3PObBL1XJkeR"&amp;"mntBXI7wGjpLV7QorqlTk/edit?usp=sharing"",""พัทลุง!M215"")+IMPORTRANGE(""https://docs.google.com/spreadsheets/d/1rd4qoM1q_hsgaolqNGfrim9gbsoLxQsda4-vOz5x_BM/edit?usp=sharing"",""ภูเก็ต!M215"")+IMPORTRANGE(""https://docs.google.com/spreadsheets/d/1woKwKjgoL"&amp;"ssDvPcPeVyezB5izizAn4X1JDrys69n6xI/edit?usp=sharing"",""ยะลา!M215"")+IMPORTRANGE(""https://docs.google.com/spreadsheets/d/1qfrKjzMhm2HJfxQ-qVlJlJQ25Hne1d0khsySbZyGtPA/edit?usp=sharing"",""ระนอง!M215"")+IMPORTRANGE(""https://docs.google.com/spreadsheets/d/"&amp;"1IbSCnFOKpZsnFogBHJnL_isstZVaOMnFiIN0fGTPZZw/edit?usp=sharing"",""สงขลา!M215"")+IMPORTRANGE(""https://docs.google.com/spreadsheets/d/1q9nWasZJ-K8bFGvbE9n0qSRuKGA4Toe3Y89cKCiVtCU/edit?usp=sharing"",""สตูล!M215"")+IMPORTRANGE(""https://docs.google.com/sprea"&amp;"dsheets/d/18T20gbkS_WBjdscyTOV05cvq_JqvqQ17C81mpxf7Ncs/edit?usp=sharing"",""สุราษฎร์ธานี!M215"")"),0)</f>
        <v>0</v>
      </c>
      <c r="N215" s="47">
        <f ca="1">IFERROR(__xludf.DUMMYFUNCTION("IMPORTRANGE(""https://docs.google.com/spreadsheets/d/1kKUcYdkIfrgTSj8iHHHB2MD2FAtwyyocFgqGQn6ADyI/edit?usp=sharing"",""กระบี่!N215"")+IMPORTRANGE(""https://docs.google.com/spreadsheets/d/1GwtLaSlNZkLk7iDqcyZz22giiy40b_usZZBXYciEN1U/edit?usp=sharing"",""ชุ"&amp;"มพร!N215"")+IMPORTRANGE(""https://docs.google.com/spreadsheets/d/16pAz3pOhQEZBhvFNMa5KGgZS6iKWpsKX0pg6tQmwFpo/edit?usp=sharing"",""ตรัง!N215"")+IMPORTRANGE(""https://docs.google.com/spreadsheets/d/1Dj4jcHCTV9JXKCaMoheSXS52JE63kDKyG7bPXnFogHk/edit?usp=shar"&amp;"ing"",""นครศรีธรรมราช!N215"")+IMPORTRANGE(""https://docs.google.com/spreadsheets/d/1iodCdmuK2GR3jzUwk8tpccY2JHQQA-87DLOtJP-ooyU/edit?usp=sharing"",""นราธิวาส!N215"")+IMPORTRANGE(""https://docs.google.com/spreadsheets/d/1SDNX3JhDdYRuIOsj0Wh2M-Qa_eaXl0NbWmh"&amp;"AOTbfQAs/edit?usp=sharing"",""ปัตตานี!N215"")+IMPORTRANGE(""https://docs.google.com/spreadsheets/d/16JDLGguT8s5DsGCND1KcwHP_AWR_zDMTqLHPLJUKhaU/edit?usp=sharing"",""พังงา!N215"")+IMPORTRANGE(""https://docs.google.com/spreadsheets/d/17ht0gPKzzT3PObBL1XJkeR"&amp;"mntBXI7wGjpLV7QorqlTk/edit?usp=sharing"",""พัทลุง!N215"")+IMPORTRANGE(""https://docs.google.com/spreadsheets/d/1rd4qoM1q_hsgaolqNGfrim9gbsoLxQsda4-vOz5x_BM/edit?usp=sharing"",""ภูเก็ต!N215"")+IMPORTRANGE(""https://docs.google.com/spreadsheets/d/1woKwKjgoL"&amp;"ssDvPcPeVyezB5izizAn4X1JDrys69n6xI/edit?usp=sharing"",""ยะลา!N215"")+IMPORTRANGE(""https://docs.google.com/spreadsheets/d/1qfrKjzMhm2HJfxQ-qVlJlJQ25Hne1d0khsySbZyGtPA/edit?usp=sharing"",""ระนอง!N215"")+IMPORTRANGE(""https://docs.google.com/spreadsheets/d/"&amp;"1IbSCnFOKpZsnFogBHJnL_isstZVaOMnFiIN0fGTPZZw/edit?usp=sharing"",""สงขลา!N215"")+IMPORTRANGE(""https://docs.google.com/spreadsheets/d/1q9nWasZJ-K8bFGvbE9n0qSRuKGA4Toe3Y89cKCiVtCU/edit?usp=sharing"",""สตูล!N215"")+IMPORTRANGE(""https://docs.google.com/sprea"&amp;"dsheets/d/18T20gbkS_WBjdscyTOV05cvq_JqvqQ17C81mpxf7Ncs/edit?usp=sharing"",""สุราษฎร์ธานี!N215"")"),0)</f>
        <v>0</v>
      </c>
      <c r="O215" s="136"/>
      <c r="P215" s="46"/>
      <c r="Q215" s="47">
        <f ca="1">IFERROR(__xludf.DUMMYFUNCTION("IMPORTRANGE(""https://docs.google.com/spreadsheets/d/1kKUcYdkIfrgTSj8iHHHB2MD2FAtwyyocFgqGQn6ADyI/edit?usp=sharing"",""กระบี่!Q215"")+IMPORTRANGE(""https://docs.google.com/spreadsheets/d/1GwtLaSlNZkLk7iDqcyZz22giiy40b_usZZBXYciEN1U/edit?usp=sharing"",""ชุ"&amp;"มพร!Q215"")+IMPORTRANGE(""https://docs.google.com/spreadsheets/d/16pAz3pOhQEZBhvFNMa5KGgZS6iKWpsKX0pg6tQmwFpo/edit?usp=sharing"",""ตรัง!Q215"")+IMPORTRANGE(""https://docs.google.com/spreadsheets/d/1Dj4jcHCTV9JXKCaMoheSXS52JE63kDKyG7bPXnFogHk/edit?usp=shar"&amp;"ing"",""นครศรีธรรมราช!Q215"")+IMPORTRANGE(""https://docs.google.com/spreadsheets/d/1iodCdmuK2GR3jzUwk8tpccY2JHQQA-87DLOtJP-ooyU/edit?usp=sharing"",""นราธิวาส!Q215"")+IMPORTRANGE(""https://docs.google.com/spreadsheets/d/1SDNX3JhDdYRuIOsj0Wh2M-Qa_eaXl0NbWmh"&amp;"AOTbfQAs/edit?usp=sharing"",""ปัตตานี!Q215"")+IMPORTRANGE(""https://docs.google.com/spreadsheets/d/16JDLGguT8s5DsGCND1KcwHP_AWR_zDMTqLHPLJUKhaU/edit?usp=sharing"",""พังงา!Q215"")+IMPORTRANGE(""https://docs.google.com/spreadsheets/d/17ht0gPKzzT3PObBL1XJkeR"&amp;"mntBXI7wGjpLV7QorqlTk/edit?usp=sharing"",""พัทลุง!Q215"")+IMPORTRANGE(""https://docs.google.com/spreadsheets/d/1rd4qoM1q_hsgaolqNGfrim9gbsoLxQsda4-vOz5x_BM/edit?usp=sharing"",""ภูเก็ต!Q215"")+IMPORTRANGE(""https://docs.google.com/spreadsheets/d/1woKwKjgoL"&amp;"ssDvPcPeVyezB5izizAn4X1JDrys69n6xI/edit?usp=sharing"",""ยะลา!Q215"")+IMPORTRANGE(""https://docs.google.com/spreadsheets/d/1qfrKjzMhm2HJfxQ-qVlJlJQ25Hne1d0khsySbZyGtPA/edit?usp=sharing"",""ระนอง!Q215"")+IMPORTRANGE(""https://docs.google.com/spreadsheets/d/"&amp;"1IbSCnFOKpZsnFogBHJnL_isstZVaOMnFiIN0fGTPZZw/edit?usp=sharing"",""สงขลา!Q215"")+IMPORTRANGE(""https://docs.google.com/spreadsheets/d/1q9nWasZJ-K8bFGvbE9n0qSRuKGA4Toe3Y89cKCiVtCU/edit?usp=sharing"",""สตูล!Q215"")+IMPORTRANGE(""https://docs.google.com/sprea"&amp;"dsheets/d/18T20gbkS_WBjdscyTOV05cvq_JqvqQ17C81mpxf7Ncs/edit?usp=sharing"",""สุราษฎร์ธานี!Q215"")"),0)</f>
        <v>0</v>
      </c>
      <c r="R215" s="47">
        <f ca="1">IFERROR(__xludf.DUMMYFUNCTION("IMPORTRANGE(""https://docs.google.com/spreadsheets/d/1kKUcYdkIfrgTSj8iHHHB2MD2FAtwyyocFgqGQn6ADyI/edit?usp=sharing"",""กระบี่!R215"")+IMPORTRANGE(""https://docs.google.com/spreadsheets/d/1GwtLaSlNZkLk7iDqcyZz22giiy40b_usZZBXYciEN1U/edit?usp=sharing"",""ชุ"&amp;"มพร!R215"")+IMPORTRANGE(""https://docs.google.com/spreadsheets/d/16pAz3pOhQEZBhvFNMa5KGgZS6iKWpsKX0pg6tQmwFpo/edit?usp=sharing"",""ตรัง!R215"")+IMPORTRANGE(""https://docs.google.com/spreadsheets/d/1Dj4jcHCTV9JXKCaMoheSXS52JE63kDKyG7bPXnFogHk/edit?usp=shar"&amp;"ing"",""นครศรีธรรมราช!R215"")+IMPORTRANGE(""https://docs.google.com/spreadsheets/d/1iodCdmuK2GR3jzUwk8tpccY2JHQQA-87DLOtJP-ooyU/edit?usp=sharing"",""นราธิวาส!R215"")+IMPORTRANGE(""https://docs.google.com/spreadsheets/d/1SDNX3JhDdYRuIOsj0Wh2M-Qa_eaXl0NbWmh"&amp;"AOTbfQAs/edit?usp=sharing"",""ปัตตานี!R215"")+IMPORTRANGE(""https://docs.google.com/spreadsheets/d/16JDLGguT8s5DsGCND1KcwHP_AWR_zDMTqLHPLJUKhaU/edit?usp=sharing"",""พังงา!R215"")+IMPORTRANGE(""https://docs.google.com/spreadsheets/d/17ht0gPKzzT3PObBL1XJkeR"&amp;"mntBXI7wGjpLV7QorqlTk/edit?usp=sharing"",""พัทลุง!R215"")+IMPORTRANGE(""https://docs.google.com/spreadsheets/d/1rd4qoM1q_hsgaolqNGfrim9gbsoLxQsda4-vOz5x_BM/edit?usp=sharing"",""ภูเก็ต!R215"")+IMPORTRANGE(""https://docs.google.com/spreadsheets/d/1woKwKjgoL"&amp;"ssDvPcPeVyezB5izizAn4X1JDrys69n6xI/edit?usp=sharing"",""ยะลา!R215"")+IMPORTRANGE(""https://docs.google.com/spreadsheets/d/1qfrKjzMhm2HJfxQ-qVlJlJQ25Hne1d0khsySbZyGtPA/edit?usp=sharing"",""ระนอง!R215"")+IMPORTRANGE(""https://docs.google.com/spreadsheets/d/"&amp;"1IbSCnFOKpZsnFogBHJnL_isstZVaOMnFiIN0fGTPZZw/edit?usp=sharing"",""สงขลา!R215"")+IMPORTRANGE(""https://docs.google.com/spreadsheets/d/1q9nWasZJ-K8bFGvbE9n0qSRuKGA4Toe3Y89cKCiVtCU/edit?usp=sharing"",""สตูล!R215"")+IMPORTRANGE(""https://docs.google.com/sprea"&amp;"dsheets/d/18T20gbkS_WBjdscyTOV05cvq_JqvqQ17C81mpxf7Ncs/edit?usp=sharing"",""สุราษฎร์ธานี!R215"")"),0)</f>
        <v>0</v>
      </c>
      <c r="S215" s="47">
        <f ca="1">IFERROR(__xludf.DUMMYFUNCTION("IMPORTRANGE(""https://docs.google.com/spreadsheets/d/1kKUcYdkIfrgTSj8iHHHB2MD2FAtwyyocFgqGQn6ADyI/edit?usp=sharing"",""กระบี่!S215"")+IMPORTRANGE(""https://docs.google.com/spreadsheets/d/1GwtLaSlNZkLk7iDqcyZz22giiy40b_usZZBXYciEN1U/edit?usp=sharing"",""ชุ"&amp;"มพร!S215"")+IMPORTRANGE(""https://docs.google.com/spreadsheets/d/16pAz3pOhQEZBhvFNMa5KGgZS6iKWpsKX0pg6tQmwFpo/edit?usp=sharing"",""ตรัง!S215"")+IMPORTRANGE(""https://docs.google.com/spreadsheets/d/1Dj4jcHCTV9JXKCaMoheSXS52JE63kDKyG7bPXnFogHk/edit?usp=shar"&amp;"ing"",""นครศรีธรรมราช!S215"")+IMPORTRANGE(""https://docs.google.com/spreadsheets/d/1iodCdmuK2GR3jzUwk8tpccY2JHQQA-87DLOtJP-ooyU/edit?usp=sharing"",""นราธิวาส!S215"")+IMPORTRANGE(""https://docs.google.com/spreadsheets/d/1SDNX3JhDdYRuIOsj0Wh2M-Qa_eaXl0NbWmh"&amp;"AOTbfQAs/edit?usp=sharing"",""ปัตตานี!S215"")+IMPORTRANGE(""https://docs.google.com/spreadsheets/d/16JDLGguT8s5DsGCND1KcwHP_AWR_zDMTqLHPLJUKhaU/edit?usp=sharing"",""พังงา!S215"")+IMPORTRANGE(""https://docs.google.com/spreadsheets/d/17ht0gPKzzT3PObBL1XJkeR"&amp;"mntBXI7wGjpLV7QorqlTk/edit?usp=sharing"",""พัทลุง!S215"")+IMPORTRANGE(""https://docs.google.com/spreadsheets/d/1rd4qoM1q_hsgaolqNGfrim9gbsoLxQsda4-vOz5x_BM/edit?usp=sharing"",""ภูเก็ต!S215"")+IMPORTRANGE(""https://docs.google.com/spreadsheets/d/1woKwKjgoL"&amp;"ssDvPcPeVyezB5izizAn4X1JDrys69n6xI/edit?usp=sharing"",""ยะลา!S215"")+IMPORTRANGE(""https://docs.google.com/spreadsheets/d/1qfrKjzMhm2HJfxQ-qVlJlJQ25Hne1d0khsySbZyGtPA/edit?usp=sharing"",""ระนอง!S215"")+IMPORTRANGE(""https://docs.google.com/spreadsheets/d/"&amp;"1IbSCnFOKpZsnFogBHJnL_isstZVaOMnFiIN0fGTPZZw/edit?usp=sharing"",""สงขลา!S215"")+IMPORTRANGE(""https://docs.google.com/spreadsheets/d/1q9nWasZJ-K8bFGvbE9n0qSRuKGA4Toe3Y89cKCiVtCU/edit?usp=sharing"",""สตูล!S215"")+IMPORTRANGE(""https://docs.google.com/sprea"&amp;"dsheets/d/18T20gbkS_WBjdscyTOV05cvq_JqvqQ17C81mpxf7Ncs/edit?usp=sharing"",""สุราษฎร์ธานี!S215"")"),0)</f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7">
        <f ca="1">IFERROR(__xludf.DUMMYFUNCTION("IMPORTRANGE(""https://docs.google.com/spreadsheets/d/1kKUcYdkIfrgTSj8iHHHB2MD2FAtwyyocFgqGQn6ADyI/edit?usp=sharing"",""กระบี่!L216"")+IMPORTRANGE(""https://docs.google.com/spreadsheets/d/1GwtLaSlNZkLk7iDqcyZz22giiy40b_usZZBXYciEN1U/edit?usp=sharing"",""ชุ"&amp;"มพร!L216"")+IMPORTRANGE(""https://docs.google.com/spreadsheets/d/16pAz3pOhQEZBhvFNMa5KGgZS6iKWpsKX0pg6tQmwFpo/edit?usp=sharing"",""ตรัง!L216"")+IMPORTRANGE(""https://docs.google.com/spreadsheets/d/1Dj4jcHCTV9JXKCaMoheSXS52JE63kDKyG7bPXnFogHk/edit?usp=shar"&amp;"ing"",""นครศรีธรรมราช!L216"")+IMPORTRANGE(""https://docs.google.com/spreadsheets/d/1iodCdmuK2GR3jzUwk8tpccY2JHQQA-87DLOtJP-ooyU/edit?usp=sharing"",""นราธิวาส!L216"")+IMPORTRANGE(""https://docs.google.com/spreadsheets/d/1SDNX3JhDdYRuIOsj0Wh2M-Qa_eaXl0NbWmh"&amp;"AOTbfQAs/edit?usp=sharing"",""ปัตตานี!L216"")+IMPORTRANGE(""https://docs.google.com/spreadsheets/d/16JDLGguT8s5DsGCND1KcwHP_AWR_zDMTqLHPLJUKhaU/edit?usp=sharing"",""พังงา!L216"")+IMPORTRANGE(""https://docs.google.com/spreadsheets/d/17ht0gPKzzT3PObBL1XJkeR"&amp;"mntBXI7wGjpLV7QorqlTk/edit?usp=sharing"",""พัทลุง!L216"")+IMPORTRANGE(""https://docs.google.com/spreadsheets/d/1rd4qoM1q_hsgaolqNGfrim9gbsoLxQsda4-vOz5x_BM/edit?usp=sharing"",""ภูเก็ต!L216"")+IMPORTRANGE(""https://docs.google.com/spreadsheets/d/1woKwKjgoL"&amp;"ssDvPcPeVyezB5izizAn4X1JDrys69n6xI/edit?usp=sharing"",""ยะลา!L216"")+IMPORTRANGE(""https://docs.google.com/spreadsheets/d/1qfrKjzMhm2HJfxQ-qVlJlJQ25Hne1d0khsySbZyGtPA/edit?usp=sharing"",""ระนอง!L216"")+IMPORTRANGE(""https://docs.google.com/spreadsheets/d/"&amp;"1IbSCnFOKpZsnFogBHJnL_isstZVaOMnFiIN0fGTPZZw/edit?usp=sharing"",""สงขลา!L216"")+IMPORTRANGE(""https://docs.google.com/spreadsheets/d/1q9nWasZJ-K8bFGvbE9n0qSRuKGA4Toe3Y89cKCiVtCU/edit?usp=sharing"",""สตูล!L216"")+IMPORTRANGE(""https://docs.google.com/sprea"&amp;"dsheets/d/18T20gbkS_WBjdscyTOV05cvq_JqvqQ17C81mpxf7Ncs/edit?usp=sharing"",""สุราษฎร์ธานี!L216"")"),50000)</f>
        <v>50000</v>
      </c>
      <c r="M216" s="47">
        <f ca="1">IFERROR(__xludf.DUMMYFUNCTION("IMPORTRANGE(""https://docs.google.com/spreadsheets/d/1kKUcYdkIfrgTSj8iHHHB2MD2FAtwyyocFgqGQn6ADyI/edit?usp=sharing"",""กระบี่!M216"")+IMPORTRANGE(""https://docs.google.com/spreadsheets/d/1GwtLaSlNZkLk7iDqcyZz22giiy40b_usZZBXYciEN1U/edit?usp=sharing"",""ชุ"&amp;"มพร!M216"")+IMPORTRANGE(""https://docs.google.com/spreadsheets/d/16pAz3pOhQEZBhvFNMa5KGgZS6iKWpsKX0pg6tQmwFpo/edit?usp=sharing"",""ตรัง!M216"")+IMPORTRANGE(""https://docs.google.com/spreadsheets/d/1Dj4jcHCTV9JXKCaMoheSXS52JE63kDKyG7bPXnFogHk/edit?usp=shar"&amp;"ing"",""นครศรีธรรมราช!M216"")+IMPORTRANGE(""https://docs.google.com/spreadsheets/d/1iodCdmuK2GR3jzUwk8tpccY2JHQQA-87DLOtJP-ooyU/edit?usp=sharing"",""นราธิวาส!M216"")+IMPORTRANGE(""https://docs.google.com/spreadsheets/d/1SDNX3JhDdYRuIOsj0Wh2M-Qa_eaXl0NbWmh"&amp;"AOTbfQAs/edit?usp=sharing"",""ปัตตานี!M216"")+IMPORTRANGE(""https://docs.google.com/spreadsheets/d/16JDLGguT8s5DsGCND1KcwHP_AWR_zDMTqLHPLJUKhaU/edit?usp=sharing"",""พังงา!M216"")+IMPORTRANGE(""https://docs.google.com/spreadsheets/d/17ht0gPKzzT3PObBL1XJkeR"&amp;"mntBXI7wGjpLV7QorqlTk/edit?usp=sharing"",""พัทลุง!M216"")+IMPORTRANGE(""https://docs.google.com/spreadsheets/d/1rd4qoM1q_hsgaolqNGfrim9gbsoLxQsda4-vOz5x_BM/edit?usp=sharing"",""ภูเก็ต!M216"")+IMPORTRANGE(""https://docs.google.com/spreadsheets/d/1woKwKjgoL"&amp;"ssDvPcPeVyezB5izizAn4X1JDrys69n6xI/edit?usp=sharing"",""ยะลา!M216"")+IMPORTRANGE(""https://docs.google.com/spreadsheets/d/1qfrKjzMhm2HJfxQ-qVlJlJQ25Hne1d0khsySbZyGtPA/edit?usp=sharing"",""ระนอง!M216"")+IMPORTRANGE(""https://docs.google.com/spreadsheets/d/"&amp;"1IbSCnFOKpZsnFogBHJnL_isstZVaOMnFiIN0fGTPZZw/edit?usp=sharing"",""สงขลา!M216"")+IMPORTRANGE(""https://docs.google.com/spreadsheets/d/1q9nWasZJ-K8bFGvbE9n0qSRuKGA4Toe3Y89cKCiVtCU/edit?usp=sharing"",""สตูล!M216"")+IMPORTRANGE(""https://docs.google.com/sprea"&amp;"dsheets/d/18T20gbkS_WBjdscyTOV05cvq_JqvqQ17C81mpxf7Ncs/edit?usp=sharing"",""สุราษฎร์ธานี!M216"")"),0)</f>
        <v>0</v>
      </c>
      <c r="N216" s="47">
        <f ca="1">IFERROR(__xludf.DUMMYFUNCTION("IMPORTRANGE(""https://docs.google.com/spreadsheets/d/1kKUcYdkIfrgTSj8iHHHB2MD2FAtwyyocFgqGQn6ADyI/edit?usp=sharing"",""กระบี่!N216"")+IMPORTRANGE(""https://docs.google.com/spreadsheets/d/1GwtLaSlNZkLk7iDqcyZz22giiy40b_usZZBXYciEN1U/edit?usp=sharing"",""ชุ"&amp;"มพร!N216"")+IMPORTRANGE(""https://docs.google.com/spreadsheets/d/16pAz3pOhQEZBhvFNMa5KGgZS6iKWpsKX0pg6tQmwFpo/edit?usp=sharing"",""ตรัง!N216"")+IMPORTRANGE(""https://docs.google.com/spreadsheets/d/1Dj4jcHCTV9JXKCaMoheSXS52JE63kDKyG7bPXnFogHk/edit?usp=shar"&amp;"ing"",""นครศรีธรรมราช!N216"")+IMPORTRANGE(""https://docs.google.com/spreadsheets/d/1iodCdmuK2GR3jzUwk8tpccY2JHQQA-87DLOtJP-ooyU/edit?usp=sharing"",""นราธิวาส!N216"")+IMPORTRANGE(""https://docs.google.com/spreadsheets/d/1SDNX3JhDdYRuIOsj0Wh2M-Qa_eaXl0NbWmh"&amp;"AOTbfQAs/edit?usp=sharing"",""ปัตตานี!N216"")+IMPORTRANGE(""https://docs.google.com/spreadsheets/d/16JDLGguT8s5DsGCND1KcwHP_AWR_zDMTqLHPLJUKhaU/edit?usp=sharing"",""พังงา!N216"")+IMPORTRANGE(""https://docs.google.com/spreadsheets/d/17ht0gPKzzT3PObBL1XJkeR"&amp;"mntBXI7wGjpLV7QorqlTk/edit?usp=sharing"",""พัทลุง!N216"")+IMPORTRANGE(""https://docs.google.com/spreadsheets/d/1rd4qoM1q_hsgaolqNGfrim9gbsoLxQsda4-vOz5x_BM/edit?usp=sharing"",""ภูเก็ต!N216"")+IMPORTRANGE(""https://docs.google.com/spreadsheets/d/1woKwKjgoL"&amp;"ssDvPcPeVyezB5izizAn4X1JDrys69n6xI/edit?usp=sharing"",""ยะลา!N216"")+IMPORTRANGE(""https://docs.google.com/spreadsheets/d/1qfrKjzMhm2HJfxQ-qVlJlJQ25Hne1d0khsySbZyGtPA/edit?usp=sharing"",""ระนอง!N216"")+IMPORTRANGE(""https://docs.google.com/spreadsheets/d/"&amp;"1IbSCnFOKpZsnFogBHJnL_isstZVaOMnFiIN0fGTPZZw/edit?usp=sharing"",""สงขลา!N216"")+IMPORTRANGE(""https://docs.google.com/spreadsheets/d/1q9nWasZJ-K8bFGvbE9n0qSRuKGA4Toe3Y89cKCiVtCU/edit?usp=sharing"",""สตูล!N216"")+IMPORTRANGE(""https://docs.google.com/sprea"&amp;"dsheets/d/18T20gbkS_WBjdscyTOV05cvq_JqvqQ17C81mpxf7Ncs/edit?usp=sharing"",""สุราษฎร์ธานี!N216"")"),0)</f>
        <v>0</v>
      </c>
      <c r="O216" s="136"/>
      <c r="P216" s="46"/>
      <c r="Q216" s="47">
        <f ca="1">IFERROR(__xludf.DUMMYFUNCTION("IMPORTRANGE(""https://docs.google.com/spreadsheets/d/1kKUcYdkIfrgTSj8iHHHB2MD2FAtwyyocFgqGQn6ADyI/edit?usp=sharing"",""กระบี่!Q216"")+IMPORTRANGE(""https://docs.google.com/spreadsheets/d/1GwtLaSlNZkLk7iDqcyZz22giiy40b_usZZBXYciEN1U/edit?usp=sharing"",""ชุ"&amp;"มพร!Q216"")+IMPORTRANGE(""https://docs.google.com/spreadsheets/d/16pAz3pOhQEZBhvFNMa5KGgZS6iKWpsKX0pg6tQmwFpo/edit?usp=sharing"",""ตรัง!Q216"")+IMPORTRANGE(""https://docs.google.com/spreadsheets/d/1Dj4jcHCTV9JXKCaMoheSXS52JE63kDKyG7bPXnFogHk/edit?usp=shar"&amp;"ing"",""นครศรีธรรมราช!Q216"")+IMPORTRANGE(""https://docs.google.com/spreadsheets/d/1iodCdmuK2GR3jzUwk8tpccY2JHQQA-87DLOtJP-ooyU/edit?usp=sharing"",""นราธิวาส!Q216"")+IMPORTRANGE(""https://docs.google.com/spreadsheets/d/1SDNX3JhDdYRuIOsj0Wh2M-Qa_eaXl0NbWmh"&amp;"AOTbfQAs/edit?usp=sharing"",""ปัตตานี!Q216"")+IMPORTRANGE(""https://docs.google.com/spreadsheets/d/16JDLGguT8s5DsGCND1KcwHP_AWR_zDMTqLHPLJUKhaU/edit?usp=sharing"",""พังงา!Q216"")+IMPORTRANGE(""https://docs.google.com/spreadsheets/d/17ht0gPKzzT3PObBL1XJkeR"&amp;"mntBXI7wGjpLV7QorqlTk/edit?usp=sharing"",""พัทลุง!Q216"")+IMPORTRANGE(""https://docs.google.com/spreadsheets/d/1rd4qoM1q_hsgaolqNGfrim9gbsoLxQsda4-vOz5x_BM/edit?usp=sharing"",""ภูเก็ต!Q216"")+IMPORTRANGE(""https://docs.google.com/spreadsheets/d/1woKwKjgoL"&amp;"ssDvPcPeVyezB5izizAn4X1JDrys69n6xI/edit?usp=sharing"",""ยะลา!Q216"")+IMPORTRANGE(""https://docs.google.com/spreadsheets/d/1qfrKjzMhm2HJfxQ-qVlJlJQ25Hne1d0khsySbZyGtPA/edit?usp=sharing"",""ระนอง!Q216"")+IMPORTRANGE(""https://docs.google.com/spreadsheets/d/"&amp;"1IbSCnFOKpZsnFogBHJnL_isstZVaOMnFiIN0fGTPZZw/edit?usp=sharing"",""สงขลา!Q216"")+IMPORTRANGE(""https://docs.google.com/spreadsheets/d/1q9nWasZJ-K8bFGvbE9n0qSRuKGA4Toe3Y89cKCiVtCU/edit?usp=sharing"",""สตูล!Q216"")+IMPORTRANGE(""https://docs.google.com/sprea"&amp;"dsheets/d/18T20gbkS_WBjdscyTOV05cvq_JqvqQ17C81mpxf7Ncs/edit?usp=sharing"",""สุราษฎร์ธานี!Q216"")"),0)</f>
        <v>0</v>
      </c>
      <c r="R216" s="47">
        <f ca="1">IFERROR(__xludf.DUMMYFUNCTION("IMPORTRANGE(""https://docs.google.com/spreadsheets/d/1kKUcYdkIfrgTSj8iHHHB2MD2FAtwyyocFgqGQn6ADyI/edit?usp=sharing"",""กระบี่!R216"")+IMPORTRANGE(""https://docs.google.com/spreadsheets/d/1GwtLaSlNZkLk7iDqcyZz22giiy40b_usZZBXYciEN1U/edit?usp=sharing"",""ชุ"&amp;"มพร!R216"")+IMPORTRANGE(""https://docs.google.com/spreadsheets/d/16pAz3pOhQEZBhvFNMa5KGgZS6iKWpsKX0pg6tQmwFpo/edit?usp=sharing"",""ตรัง!R216"")+IMPORTRANGE(""https://docs.google.com/spreadsheets/d/1Dj4jcHCTV9JXKCaMoheSXS52JE63kDKyG7bPXnFogHk/edit?usp=shar"&amp;"ing"",""นครศรีธรรมราช!R216"")+IMPORTRANGE(""https://docs.google.com/spreadsheets/d/1iodCdmuK2GR3jzUwk8tpccY2JHQQA-87DLOtJP-ooyU/edit?usp=sharing"",""นราธิวาส!R216"")+IMPORTRANGE(""https://docs.google.com/spreadsheets/d/1SDNX3JhDdYRuIOsj0Wh2M-Qa_eaXl0NbWmh"&amp;"AOTbfQAs/edit?usp=sharing"",""ปัตตานี!R216"")+IMPORTRANGE(""https://docs.google.com/spreadsheets/d/16JDLGguT8s5DsGCND1KcwHP_AWR_zDMTqLHPLJUKhaU/edit?usp=sharing"",""พังงา!R216"")+IMPORTRANGE(""https://docs.google.com/spreadsheets/d/17ht0gPKzzT3PObBL1XJkeR"&amp;"mntBXI7wGjpLV7QorqlTk/edit?usp=sharing"",""พัทลุง!R216"")+IMPORTRANGE(""https://docs.google.com/spreadsheets/d/1rd4qoM1q_hsgaolqNGfrim9gbsoLxQsda4-vOz5x_BM/edit?usp=sharing"",""ภูเก็ต!R216"")+IMPORTRANGE(""https://docs.google.com/spreadsheets/d/1woKwKjgoL"&amp;"ssDvPcPeVyezB5izizAn4X1JDrys69n6xI/edit?usp=sharing"",""ยะลา!R216"")+IMPORTRANGE(""https://docs.google.com/spreadsheets/d/1qfrKjzMhm2HJfxQ-qVlJlJQ25Hne1d0khsySbZyGtPA/edit?usp=sharing"",""ระนอง!R216"")+IMPORTRANGE(""https://docs.google.com/spreadsheets/d/"&amp;"1IbSCnFOKpZsnFogBHJnL_isstZVaOMnFiIN0fGTPZZw/edit?usp=sharing"",""สงขลา!R216"")+IMPORTRANGE(""https://docs.google.com/spreadsheets/d/1q9nWasZJ-K8bFGvbE9n0qSRuKGA4Toe3Y89cKCiVtCU/edit?usp=sharing"",""สตูล!R216"")+IMPORTRANGE(""https://docs.google.com/sprea"&amp;"dsheets/d/18T20gbkS_WBjdscyTOV05cvq_JqvqQ17C81mpxf7Ncs/edit?usp=sharing"",""สุราษฎร์ธานี!R216"")"),0)</f>
        <v>0</v>
      </c>
      <c r="S216" s="47">
        <f ca="1">IFERROR(__xludf.DUMMYFUNCTION("IMPORTRANGE(""https://docs.google.com/spreadsheets/d/1kKUcYdkIfrgTSj8iHHHB2MD2FAtwyyocFgqGQn6ADyI/edit?usp=sharing"",""กระบี่!S216"")+IMPORTRANGE(""https://docs.google.com/spreadsheets/d/1GwtLaSlNZkLk7iDqcyZz22giiy40b_usZZBXYciEN1U/edit?usp=sharing"",""ชุ"&amp;"มพร!S216"")+IMPORTRANGE(""https://docs.google.com/spreadsheets/d/16pAz3pOhQEZBhvFNMa5KGgZS6iKWpsKX0pg6tQmwFpo/edit?usp=sharing"",""ตรัง!S216"")+IMPORTRANGE(""https://docs.google.com/spreadsheets/d/1Dj4jcHCTV9JXKCaMoheSXS52JE63kDKyG7bPXnFogHk/edit?usp=shar"&amp;"ing"",""นครศรีธรรมราช!S216"")+IMPORTRANGE(""https://docs.google.com/spreadsheets/d/1iodCdmuK2GR3jzUwk8tpccY2JHQQA-87DLOtJP-ooyU/edit?usp=sharing"",""นราธิวาส!S216"")+IMPORTRANGE(""https://docs.google.com/spreadsheets/d/1SDNX3JhDdYRuIOsj0Wh2M-Qa_eaXl0NbWmh"&amp;"AOTbfQAs/edit?usp=sharing"",""ปัตตานี!S216"")+IMPORTRANGE(""https://docs.google.com/spreadsheets/d/16JDLGguT8s5DsGCND1KcwHP_AWR_zDMTqLHPLJUKhaU/edit?usp=sharing"",""พังงา!S216"")+IMPORTRANGE(""https://docs.google.com/spreadsheets/d/17ht0gPKzzT3PObBL1XJkeR"&amp;"mntBXI7wGjpLV7QorqlTk/edit?usp=sharing"",""พัทลุง!S216"")+IMPORTRANGE(""https://docs.google.com/spreadsheets/d/1rd4qoM1q_hsgaolqNGfrim9gbsoLxQsda4-vOz5x_BM/edit?usp=sharing"",""ภูเก็ต!S216"")+IMPORTRANGE(""https://docs.google.com/spreadsheets/d/1woKwKjgoL"&amp;"ssDvPcPeVyezB5izizAn4X1JDrys69n6xI/edit?usp=sharing"",""ยะลา!S216"")+IMPORTRANGE(""https://docs.google.com/spreadsheets/d/1qfrKjzMhm2HJfxQ-qVlJlJQ25Hne1d0khsySbZyGtPA/edit?usp=sharing"",""ระนอง!S216"")+IMPORTRANGE(""https://docs.google.com/spreadsheets/d/"&amp;"1IbSCnFOKpZsnFogBHJnL_isstZVaOMnFiIN0fGTPZZw/edit?usp=sharing"",""สงขลา!S216"")+IMPORTRANGE(""https://docs.google.com/spreadsheets/d/1q9nWasZJ-K8bFGvbE9n0qSRuKGA4Toe3Y89cKCiVtCU/edit?usp=sharing"",""สตูล!S216"")+IMPORTRANGE(""https://docs.google.com/sprea"&amp;"dsheets/d/18T20gbkS_WBjdscyTOV05cvq_JqvqQ17C81mpxf7Ncs/edit?usp=sharing"",""สุราษฎร์ธานี!S216"")"),0)</f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7">
        <f ca="1">IFERROR(__xludf.DUMMYFUNCTION("IMPORTRANGE(""https://docs.google.com/spreadsheets/d/1kKUcYdkIfrgTSj8iHHHB2MD2FAtwyyocFgqGQn6ADyI/edit?usp=sharing"",""กระบี่!L217"")+IMPORTRANGE(""https://docs.google.com/spreadsheets/d/1GwtLaSlNZkLk7iDqcyZz22giiy40b_usZZBXYciEN1U/edit?usp=sharing"",""ชุ"&amp;"มพร!L217"")+IMPORTRANGE(""https://docs.google.com/spreadsheets/d/16pAz3pOhQEZBhvFNMa5KGgZS6iKWpsKX0pg6tQmwFpo/edit?usp=sharing"",""ตรัง!L217"")+IMPORTRANGE(""https://docs.google.com/spreadsheets/d/1Dj4jcHCTV9JXKCaMoheSXS52JE63kDKyG7bPXnFogHk/edit?usp=shar"&amp;"ing"",""นครศรีธรรมราช!L217"")+IMPORTRANGE(""https://docs.google.com/spreadsheets/d/1iodCdmuK2GR3jzUwk8tpccY2JHQQA-87DLOtJP-ooyU/edit?usp=sharing"",""นราธิวาส!L217"")+IMPORTRANGE(""https://docs.google.com/spreadsheets/d/1SDNX3JhDdYRuIOsj0Wh2M-Qa_eaXl0NbWmh"&amp;"AOTbfQAs/edit?usp=sharing"",""ปัตตานี!L217"")+IMPORTRANGE(""https://docs.google.com/spreadsheets/d/16JDLGguT8s5DsGCND1KcwHP_AWR_zDMTqLHPLJUKhaU/edit?usp=sharing"",""พังงา!L217"")+IMPORTRANGE(""https://docs.google.com/spreadsheets/d/17ht0gPKzzT3PObBL1XJkeR"&amp;"mntBXI7wGjpLV7QorqlTk/edit?usp=sharing"",""พัทลุง!L217"")+IMPORTRANGE(""https://docs.google.com/spreadsheets/d/1rd4qoM1q_hsgaolqNGfrim9gbsoLxQsda4-vOz5x_BM/edit?usp=sharing"",""ภูเก็ต!L217"")+IMPORTRANGE(""https://docs.google.com/spreadsheets/d/1woKwKjgoL"&amp;"ssDvPcPeVyezB5izizAn4X1JDrys69n6xI/edit?usp=sharing"",""ยะลา!L217"")+IMPORTRANGE(""https://docs.google.com/spreadsheets/d/1qfrKjzMhm2HJfxQ-qVlJlJQ25Hne1d0khsySbZyGtPA/edit?usp=sharing"",""ระนอง!L217"")+IMPORTRANGE(""https://docs.google.com/spreadsheets/d/"&amp;"1IbSCnFOKpZsnFogBHJnL_isstZVaOMnFiIN0fGTPZZw/edit?usp=sharing"",""สงขลา!L217"")+IMPORTRANGE(""https://docs.google.com/spreadsheets/d/1q9nWasZJ-K8bFGvbE9n0qSRuKGA4Toe3Y89cKCiVtCU/edit?usp=sharing"",""สตูล!L217"")+IMPORTRANGE(""https://docs.google.com/sprea"&amp;"dsheets/d/18T20gbkS_WBjdscyTOV05cvq_JqvqQ17C81mpxf7Ncs/edit?usp=sharing"",""สุราษฎร์ธานี!L217"")"),0)</f>
        <v>0</v>
      </c>
      <c r="M217" s="47">
        <f ca="1">IFERROR(__xludf.DUMMYFUNCTION("IMPORTRANGE(""https://docs.google.com/spreadsheets/d/1kKUcYdkIfrgTSj8iHHHB2MD2FAtwyyocFgqGQn6ADyI/edit?usp=sharing"",""กระบี่!M217"")+IMPORTRANGE(""https://docs.google.com/spreadsheets/d/1GwtLaSlNZkLk7iDqcyZz22giiy40b_usZZBXYciEN1U/edit?usp=sharing"",""ชุ"&amp;"มพร!M217"")+IMPORTRANGE(""https://docs.google.com/spreadsheets/d/16pAz3pOhQEZBhvFNMa5KGgZS6iKWpsKX0pg6tQmwFpo/edit?usp=sharing"",""ตรัง!M217"")+IMPORTRANGE(""https://docs.google.com/spreadsheets/d/1Dj4jcHCTV9JXKCaMoheSXS52JE63kDKyG7bPXnFogHk/edit?usp=shar"&amp;"ing"",""นครศรีธรรมราช!M217"")+IMPORTRANGE(""https://docs.google.com/spreadsheets/d/1iodCdmuK2GR3jzUwk8tpccY2JHQQA-87DLOtJP-ooyU/edit?usp=sharing"",""นราธิวาส!M217"")+IMPORTRANGE(""https://docs.google.com/spreadsheets/d/1SDNX3JhDdYRuIOsj0Wh2M-Qa_eaXl0NbWmh"&amp;"AOTbfQAs/edit?usp=sharing"",""ปัตตานี!M217"")+IMPORTRANGE(""https://docs.google.com/spreadsheets/d/16JDLGguT8s5DsGCND1KcwHP_AWR_zDMTqLHPLJUKhaU/edit?usp=sharing"",""พังงา!M217"")+IMPORTRANGE(""https://docs.google.com/spreadsheets/d/17ht0gPKzzT3PObBL1XJkeR"&amp;"mntBXI7wGjpLV7QorqlTk/edit?usp=sharing"",""พัทลุง!M217"")+IMPORTRANGE(""https://docs.google.com/spreadsheets/d/1rd4qoM1q_hsgaolqNGfrim9gbsoLxQsda4-vOz5x_BM/edit?usp=sharing"",""ภูเก็ต!M217"")+IMPORTRANGE(""https://docs.google.com/spreadsheets/d/1woKwKjgoL"&amp;"ssDvPcPeVyezB5izizAn4X1JDrys69n6xI/edit?usp=sharing"",""ยะลา!M217"")+IMPORTRANGE(""https://docs.google.com/spreadsheets/d/1qfrKjzMhm2HJfxQ-qVlJlJQ25Hne1d0khsySbZyGtPA/edit?usp=sharing"",""ระนอง!M217"")+IMPORTRANGE(""https://docs.google.com/spreadsheets/d/"&amp;"1IbSCnFOKpZsnFogBHJnL_isstZVaOMnFiIN0fGTPZZw/edit?usp=sharing"",""สงขลา!M217"")+IMPORTRANGE(""https://docs.google.com/spreadsheets/d/1q9nWasZJ-K8bFGvbE9n0qSRuKGA4Toe3Y89cKCiVtCU/edit?usp=sharing"",""สตูล!M217"")+IMPORTRANGE(""https://docs.google.com/sprea"&amp;"dsheets/d/18T20gbkS_WBjdscyTOV05cvq_JqvqQ17C81mpxf7Ncs/edit?usp=sharing"",""สุราษฎร์ธานี!M217"")"),0)</f>
        <v>0</v>
      </c>
      <c r="N217" s="47">
        <f ca="1">IFERROR(__xludf.DUMMYFUNCTION("IMPORTRANGE(""https://docs.google.com/spreadsheets/d/1kKUcYdkIfrgTSj8iHHHB2MD2FAtwyyocFgqGQn6ADyI/edit?usp=sharing"",""กระบี่!N217"")+IMPORTRANGE(""https://docs.google.com/spreadsheets/d/1GwtLaSlNZkLk7iDqcyZz22giiy40b_usZZBXYciEN1U/edit?usp=sharing"",""ชุ"&amp;"มพร!N217"")+IMPORTRANGE(""https://docs.google.com/spreadsheets/d/16pAz3pOhQEZBhvFNMa5KGgZS6iKWpsKX0pg6tQmwFpo/edit?usp=sharing"",""ตรัง!N217"")+IMPORTRANGE(""https://docs.google.com/spreadsheets/d/1Dj4jcHCTV9JXKCaMoheSXS52JE63kDKyG7bPXnFogHk/edit?usp=shar"&amp;"ing"",""นครศรีธรรมราช!N217"")+IMPORTRANGE(""https://docs.google.com/spreadsheets/d/1iodCdmuK2GR3jzUwk8tpccY2JHQQA-87DLOtJP-ooyU/edit?usp=sharing"",""นราธิวาส!N217"")+IMPORTRANGE(""https://docs.google.com/spreadsheets/d/1SDNX3JhDdYRuIOsj0Wh2M-Qa_eaXl0NbWmh"&amp;"AOTbfQAs/edit?usp=sharing"",""ปัตตานี!N217"")+IMPORTRANGE(""https://docs.google.com/spreadsheets/d/16JDLGguT8s5DsGCND1KcwHP_AWR_zDMTqLHPLJUKhaU/edit?usp=sharing"",""พังงา!N217"")+IMPORTRANGE(""https://docs.google.com/spreadsheets/d/17ht0gPKzzT3PObBL1XJkeR"&amp;"mntBXI7wGjpLV7QorqlTk/edit?usp=sharing"",""พัทลุง!N217"")+IMPORTRANGE(""https://docs.google.com/spreadsheets/d/1rd4qoM1q_hsgaolqNGfrim9gbsoLxQsda4-vOz5x_BM/edit?usp=sharing"",""ภูเก็ต!N217"")+IMPORTRANGE(""https://docs.google.com/spreadsheets/d/1woKwKjgoL"&amp;"ssDvPcPeVyezB5izizAn4X1JDrys69n6xI/edit?usp=sharing"",""ยะลา!N217"")+IMPORTRANGE(""https://docs.google.com/spreadsheets/d/1qfrKjzMhm2HJfxQ-qVlJlJQ25Hne1d0khsySbZyGtPA/edit?usp=sharing"",""ระนอง!N217"")+IMPORTRANGE(""https://docs.google.com/spreadsheets/d/"&amp;"1IbSCnFOKpZsnFogBHJnL_isstZVaOMnFiIN0fGTPZZw/edit?usp=sharing"",""สงขลา!N217"")+IMPORTRANGE(""https://docs.google.com/spreadsheets/d/1q9nWasZJ-K8bFGvbE9n0qSRuKGA4Toe3Y89cKCiVtCU/edit?usp=sharing"",""สตูล!N217"")+IMPORTRANGE(""https://docs.google.com/sprea"&amp;"dsheets/d/18T20gbkS_WBjdscyTOV05cvq_JqvqQ17C81mpxf7Ncs/edit?usp=sharing"",""สุราษฎร์ธานี!N217"")"),0)</f>
        <v>0</v>
      </c>
      <c r="O217" s="136"/>
      <c r="P217" s="46"/>
      <c r="Q217" s="47">
        <f ca="1">IFERROR(__xludf.DUMMYFUNCTION("IMPORTRANGE(""https://docs.google.com/spreadsheets/d/1kKUcYdkIfrgTSj8iHHHB2MD2FAtwyyocFgqGQn6ADyI/edit?usp=sharing"",""กระบี่!Q217"")+IMPORTRANGE(""https://docs.google.com/spreadsheets/d/1GwtLaSlNZkLk7iDqcyZz22giiy40b_usZZBXYciEN1U/edit?usp=sharing"",""ชุ"&amp;"มพร!Q217"")+IMPORTRANGE(""https://docs.google.com/spreadsheets/d/16pAz3pOhQEZBhvFNMa5KGgZS6iKWpsKX0pg6tQmwFpo/edit?usp=sharing"",""ตรัง!Q217"")+IMPORTRANGE(""https://docs.google.com/spreadsheets/d/1Dj4jcHCTV9JXKCaMoheSXS52JE63kDKyG7bPXnFogHk/edit?usp=shar"&amp;"ing"",""นครศรีธรรมราช!Q217"")+IMPORTRANGE(""https://docs.google.com/spreadsheets/d/1iodCdmuK2GR3jzUwk8tpccY2JHQQA-87DLOtJP-ooyU/edit?usp=sharing"",""นราธิวาส!Q217"")+IMPORTRANGE(""https://docs.google.com/spreadsheets/d/1SDNX3JhDdYRuIOsj0Wh2M-Qa_eaXl0NbWmh"&amp;"AOTbfQAs/edit?usp=sharing"",""ปัตตานี!Q217"")+IMPORTRANGE(""https://docs.google.com/spreadsheets/d/16JDLGguT8s5DsGCND1KcwHP_AWR_zDMTqLHPLJUKhaU/edit?usp=sharing"",""พังงา!Q217"")+IMPORTRANGE(""https://docs.google.com/spreadsheets/d/17ht0gPKzzT3PObBL1XJkeR"&amp;"mntBXI7wGjpLV7QorqlTk/edit?usp=sharing"",""พัทลุง!Q217"")+IMPORTRANGE(""https://docs.google.com/spreadsheets/d/1rd4qoM1q_hsgaolqNGfrim9gbsoLxQsda4-vOz5x_BM/edit?usp=sharing"",""ภูเก็ต!Q217"")+IMPORTRANGE(""https://docs.google.com/spreadsheets/d/1woKwKjgoL"&amp;"ssDvPcPeVyezB5izizAn4X1JDrys69n6xI/edit?usp=sharing"",""ยะลา!Q217"")+IMPORTRANGE(""https://docs.google.com/spreadsheets/d/1qfrKjzMhm2HJfxQ-qVlJlJQ25Hne1d0khsySbZyGtPA/edit?usp=sharing"",""ระนอง!Q217"")+IMPORTRANGE(""https://docs.google.com/spreadsheets/d/"&amp;"1IbSCnFOKpZsnFogBHJnL_isstZVaOMnFiIN0fGTPZZw/edit?usp=sharing"",""สงขลา!Q217"")+IMPORTRANGE(""https://docs.google.com/spreadsheets/d/1q9nWasZJ-K8bFGvbE9n0qSRuKGA4Toe3Y89cKCiVtCU/edit?usp=sharing"",""สตูล!Q217"")+IMPORTRANGE(""https://docs.google.com/sprea"&amp;"dsheets/d/18T20gbkS_WBjdscyTOV05cvq_JqvqQ17C81mpxf7Ncs/edit?usp=sharing"",""สุราษฎร์ธานี!Q217"")"),497000)</f>
        <v>497000</v>
      </c>
      <c r="R217" s="47">
        <f ca="1">IFERROR(__xludf.DUMMYFUNCTION("IMPORTRANGE(""https://docs.google.com/spreadsheets/d/1kKUcYdkIfrgTSj8iHHHB2MD2FAtwyyocFgqGQn6ADyI/edit?usp=sharing"",""กระบี่!R217"")+IMPORTRANGE(""https://docs.google.com/spreadsheets/d/1GwtLaSlNZkLk7iDqcyZz22giiy40b_usZZBXYciEN1U/edit?usp=sharing"",""ชุ"&amp;"มพร!R217"")+IMPORTRANGE(""https://docs.google.com/spreadsheets/d/16pAz3pOhQEZBhvFNMa5KGgZS6iKWpsKX0pg6tQmwFpo/edit?usp=sharing"",""ตรัง!R217"")+IMPORTRANGE(""https://docs.google.com/spreadsheets/d/1Dj4jcHCTV9JXKCaMoheSXS52JE63kDKyG7bPXnFogHk/edit?usp=shar"&amp;"ing"",""นครศรีธรรมราช!R217"")+IMPORTRANGE(""https://docs.google.com/spreadsheets/d/1iodCdmuK2GR3jzUwk8tpccY2JHQQA-87DLOtJP-ooyU/edit?usp=sharing"",""นราธิวาส!R217"")+IMPORTRANGE(""https://docs.google.com/spreadsheets/d/1SDNX3JhDdYRuIOsj0Wh2M-Qa_eaXl0NbWmh"&amp;"AOTbfQAs/edit?usp=sharing"",""ปัตตานี!R217"")+IMPORTRANGE(""https://docs.google.com/spreadsheets/d/16JDLGguT8s5DsGCND1KcwHP_AWR_zDMTqLHPLJUKhaU/edit?usp=sharing"",""พังงา!R217"")+IMPORTRANGE(""https://docs.google.com/spreadsheets/d/17ht0gPKzzT3PObBL1XJkeR"&amp;"mntBXI7wGjpLV7QorqlTk/edit?usp=sharing"",""พัทลุง!R217"")+IMPORTRANGE(""https://docs.google.com/spreadsheets/d/1rd4qoM1q_hsgaolqNGfrim9gbsoLxQsda4-vOz5x_BM/edit?usp=sharing"",""ภูเก็ต!R217"")+IMPORTRANGE(""https://docs.google.com/spreadsheets/d/1woKwKjgoL"&amp;"ssDvPcPeVyezB5izizAn4X1JDrys69n6xI/edit?usp=sharing"",""ยะลา!R217"")+IMPORTRANGE(""https://docs.google.com/spreadsheets/d/1qfrKjzMhm2HJfxQ-qVlJlJQ25Hne1d0khsySbZyGtPA/edit?usp=sharing"",""ระนอง!R217"")+IMPORTRANGE(""https://docs.google.com/spreadsheets/d/"&amp;"1IbSCnFOKpZsnFogBHJnL_isstZVaOMnFiIN0fGTPZZw/edit?usp=sharing"",""สงขลา!R217"")+IMPORTRANGE(""https://docs.google.com/spreadsheets/d/1q9nWasZJ-K8bFGvbE9n0qSRuKGA4Toe3Y89cKCiVtCU/edit?usp=sharing"",""สตูล!R217"")+IMPORTRANGE(""https://docs.google.com/sprea"&amp;"dsheets/d/18T20gbkS_WBjdscyTOV05cvq_JqvqQ17C81mpxf7Ncs/edit?usp=sharing"",""สุราษฎร์ธานี!R217"")"),0)</f>
        <v>0</v>
      </c>
      <c r="S217" s="47">
        <f ca="1">IFERROR(__xludf.DUMMYFUNCTION("IMPORTRANGE(""https://docs.google.com/spreadsheets/d/1kKUcYdkIfrgTSj8iHHHB2MD2FAtwyyocFgqGQn6ADyI/edit?usp=sharing"",""กระบี่!S217"")+IMPORTRANGE(""https://docs.google.com/spreadsheets/d/1GwtLaSlNZkLk7iDqcyZz22giiy40b_usZZBXYciEN1U/edit?usp=sharing"",""ชุ"&amp;"มพร!S217"")+IMPORTRANGE(""https://docs.google.com/spreadsheets/d/16pAz3pOhQEZBhvFNMa5KGgZS6iKWpsKX0pg6tQmwFpo/edit?usp=sharing"",""ตรัง!S217"")+IMPORTRANGE(""https://docs.google.com/spreadsheets/d/1Dj4jcHCTV9JXKCaMoheSXS52JE63kDKyG7bPXnFogHk/edit?usp=shar"&amp;"ing"",""นครศรีธรรมราช!S217"")+IMPORTRANGE(""https://docs.google.com/spreadsheets/d/1iodCdmuK2GR3jzUwk8tpccY2JHQQA-87DLOtJP-ooyU/edit?usp=sharing"",""นราธิวาส!S217"")+IMPORTRANGE(""https://docs.google.com/spreadsheets/d/1SDNX3JhDdYRuIOsj0Wh2M-Qa_eaXl0NbWmh"&amp;"AOTbfQAs/edit?usp=sharing"",""ปัตตานี!S217"")+IMPORTRANGE(""https://docs.google.com/spreadsheets/d/16JDLGguT8s5DsGCND1KcwHP_AWR_zDMTqLHPLJUKhaU/edit?usp=sharing"",""พังงา!S217"")+IMPORTRANGE(""https://docs.google.com/spreadsheets/d/17ht0gPKzzT3PObBL1XJkeR"&amp;"mntBXI7wGjpLV7QorqlTk/edit?usp=sharing"",""พัทลุง!S217"")+IMPORTRANGE(""https://docs.google.com/spreadsheets/d/1rd4qoM1q_hsgaolqNGfrim9gbsoLxQsda4-vOz5x_BM/edit?usp=sharing"",""ภูเก็ต!S217"")+IMPORTRANGE(""https://docs.google.com/spreadsheets/d/1woKwKjgoL"&amp;"ssDvPcPeVyezB5izizAn4X1JDrys69n6xI/edit?usp=sharing"",""ยะลา!S217"")+IMPORTRANGE(""https://docs.google.com/spreadsheets/d/1qfrKjzMhm2HJfxQ-qVlJlJQ25Hne1d0khsySbZyGtPA/edit?usp=sharing"",""ระนอง!S217"")+IMPORTRANGE(""https://docs.google.com/spreadsheets/d/"&amp;"1IbSCnFOKpZsnFogBHJnL_isstZVaOMnFiIN0fGTPZZw/edit?usp=sharing"",""สงขลา!S217"")+IMPORTRANGE(""https://docs.google.com/spreadsheets/d/1q9nWasZJ-K8bFGvbE9n0qSRuKGA4Toe3Y89cKCiVtCU/edit?usp=sharing"",""สตูล!S217"")+IMPORTRANGE(""https://docs.google.com/sprea"&amp;"dsheets/d/18T20gbkS_WBjdscyTOV05cvq_JqvqQ17C81mpxf7Ncs/edit?usp=sharing"",""สุราษฎร์ธานี!S217"")"),0)</f>
        <v>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140" t="s">
        <v>38</v>
      </c>
      <c r="E218" s="141"/>
      <c r="F218" s="141"/>
      <c r="G218" s="142"/>
      <c r="H218" s="143"/>
      <c r="I218" s="135"/>
      <c r="J218" s="45"/>
      <c r="K218" s="46"/>
      <c r="L218" s="46"/>
      <c r="M218" s="46"/>
      <c r="N218" s="46"/>
      <c r="O218" s="136"/>
      <c r="P218" s="136"/>
      <c r="Q218" s="46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238">
        <f ca="1">IFERROR(__xludf.DUMMYFUNCTION("IMPORTRANGE(""https://docs.google.com/spreadsheets/d/1kKUcYdkIfrgTSj8iHHHB2MD2FAtwyyocFgqGQn6ADyI/edit?usp=sharing"",""กระบี่!I219"")+IMPORTRANGE(""https://docs.google.com/spreadsheets/d/1GwtLaSlNZkLk7iDqcyZz22giiy40b_usZZBXYciEN1U/edit?usp=sharing"",""ชุ"&amp;"มพร!I219"")+IMPORTRANGE(""https://docs.google.com/spreadsheets/d/16pAz3pOhQEZBhvFNMa5KGgZS6iKWpsKX0pg6tQmwFpo/edit?usp=sharing"",""ตรัง!I219"")+IMPORTRANGE(""https://docs.google.com/spreadsheets/d/1Dj4jcHCTV9JXKCaMoheSXS52JE63kDKyG7bPXnFogHk/edit?usp=shar"&amp;"ing"",""นครศรีธรรมราช!I219"")+IMPORTRANGE(""https://docs.google.com/spreadsheets/d/1iodCdmuK2GR3jzUwk8tpccY2JHQQA-87DLOtJP-ooyU/edit?usp=sharing"",""นราธิวาส!I219"")+IMPORTRANGE(""https://docs.google.com/spreadsheets/d/1SDNX3JhDdYRuIOsj0Wh2M-Qa_eaXl0NbWmh"&amp;"AOTbfQAs/edit?usp=sharing"",""ปัตตานี!I219"")+IMPORTRANGE(""https://docs.google.com/spreadsheets/d/16JDLGguT8s5DsGCND1KcwHP_AWR_zDMTqLHPLJUKhaU/edit?usp=sharing"",""พังงา!I219"")+IMPORTRANGE(""https://docs.google.com/spreadsheets/d/17ht0gPKzzT3PObBL1XJkeR"&amp;"mntBXI7wGjpLV7QorqlTk/edit?usp=sharing"",""พัทลุง!I219"")+IMPORTRANGE(""https://docs.google.com/spreadsheets/d/1rd4qoM1q_hsgaolqNGfrim9gbsoLxQsda4-vOz5x_BM/edit?usp=sharing"",""ภูเก็ต!I219"")+IMPORTRANGE(""https://docs.google.com/spreadsheets/d/1woKwKjgoL"&amp;"ssDvPcPeVyezB5izizAn4X1JDrys69n6xI/edit?usp=sharing"",""ยะลา!I219"")+IMPORTRANGE(""https://docs.google.com/spreadsheets/d/1qfrKjzMhm2HJfxQ-qVlJlJQ25Hne1d0khsySbZyGtPA/edit?usp=sharing"",""ระนอง!I219"")+IMPORTRANGE(""https://docs.google.com/spreadsheets/d/"&amp;"1IbSCnFOKpZsnFogBHJnL_isstZVaOMnFiIN0fGTPZZw/edit?usp=sharing"",""สงขลา!I219"")+IMPORTRANGE(""https://docs.google.com/spreadsheets/d/1q9nWasZJ-K8bFGvbE9n0qSRuKGA4Toe3Y89cKCiVtCU/edit?usp=sharing"",""สตูล!I219"")+IMPORTRANGE(""https://docs.google.com/sprea"&amp;"dsheets/d/18T20gbkS_WBjdscyTOV05cvq_JqvqQ17C81mpxf7Ncs/edit?usp=sharing"",""สุราษฎร์ธานี!I219"")"),10)</f>
        <v>10</v>
      </c>
      <c r="J219" s="238">
        <f ca="1">IFERROR(__xludf.DUMMYFUNCTION("IMPORTRANGE(""https://docs.google.com/spreadsheets/d/1kKUcYdkIfrgTSj8iHHHB2MD2FAtwyyocFgqGQn6ADyI/edit?usp=sharing"",""กระบี่!J219"")+IMPORTRANGE(""https://docs.google.com/spreadsheets/d/1GwtLaSlNZkLk7iDqcyZz22giiy40b_usZZBXYciEN1U/edit?usp=sharing"",""ชุ"&amp;"มพร!J219"")+IMPORTRANGE(""https://docs.google.com/spreadsheets/d/16pAz3pOhQEZBhvFNMa5KGgZS6iKWpsKX0pg6tQmwFpo/edit?usp=sharing"",""ตรัง!J219"")+IMPORTRANGE(""https://docs.google.com/spreadsheets/d/1Dj4jcHCTV9JXKCaMoheSXS52JE63kDKyG7bPXnFogHk/edit?usp=shar"&amp;"ing"",""นครศรีธรรมราช!J219"")+IMPORTRANGE(""https://docs.google.com/spreadsheets/d/1iodCdmuK2GR3jzUwk8tpccY2JHQQA-87DLOtJP-ooyU/edit?usp=sharing"",""นราธิวาส!J219"")+IMPORTRANGE(""https://docs.google.com/spreadsheets/d/1SDNX3JhDdYRuIOsj0Wh2M-Qa_eaXl0NbWmh"&amp;"AOTbfQAs/edit?usp=sharing"",""ปัตตานี!J219"")+IMPORTRANGE(""https://docs.google.com/spreadsheets/d/16JDLGguT8s5DsGCND1KcwHP_AWR_zDMTqLHPLJUKhaU/edit?usp=sharing"",""พังงา!J219"")+IMPORTRANGE(""https://docs.google.com/spreadsheets/d/17ht0gPKzzT3PObBL1XJkeR"&amp;"mntBXI7wGjpLV7QorqlTk/edit?usp=sharing"",""พัทลุง!J219"")+IMPORTRANGE(""https://docs.google.com/spreadsheets/d/1rd4qoM1q_hsgaolqNGfrim9gbsoLxQsda4-vOz5x_BM/edit?usp=sharing"",""ภูเก็ต!J219"")+IMPORTRANGE(""https://docs.google.com/spreadsheets/d/1woKwKjgoL"&amp;"ssDvPcPeVyezB5izizAn4X1JDrys69n6xI/edit?usp=sharing"",""ยะลา!J219"")+IMPORTRANGE(""https://docs.google.com/spreadsheets/d/1qfrKjzMhm2HJfxQ-qVlJlJQ25Hne1d0khsySbZyGtPA/edit?usp=sharing"",""ระนอง!J219"")+IMPORTRANGE(""https://docs.google.com/spreadsheets/d/"&amp;"1IbSCnFOKpZsnFogBHJnL_isstZVaOMnFiIN0fGTPZZw/edit?usp=sharing"",""สงขลา!J219"")+IMPORTRANGE(""https://docs.google.com/spreadsheets/d/1q9nWasZJ-K8bFGvbE9n0qSRuKGA4Toe3Y89cKCiVtCU/edit?usp=sharing"",""สตูล!J219"")+IMPORTRANGE(""https://docs.google.com/sprea"&amp;"dsheets/d/18T20gbkS_WBjdscyTOV05cvq_JqvqQ17C81mpxf7Ncs/edit?usp=sharing"",""สุราษฎร์ธานี!J219"")"),0)</f>
        <v>0</v>
      </c>
      <c r="K219" s="240">
        <f t="shared" ref="K219:K221" ca="1" si="179">IF(I219&gt;0,J219*100/I219,0)</f>
        <v>0</v>
      </c>
      <c r="L219" s="46"/>
      <c r="M219" s="46"/>
      <c r="N219" s="46"/>
      <c r="O219" s="46"/>
      <c r="P219" s="46"/>
      <c r="Q219" s="46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238">
        <f ca="1">IFERROR(__xludf.DUMMYFUNCTION("IMPORTRANGE(""https://docs.google.com/spreadsheets/d/1kKUcYdkIfrgTSj8iHHHB2MD2FAtwyyocFgqGQn6ADyI/edit?usp=sharing"",""กระบี่!I220"")+IMPORTRANGE(""https://docs.google.com/spreadsheets/d/1GwtLaSlNZkLk7iDqcyZz22giiy40b_usZZBXYciEN1U/edit?usp=sharing"",""ชุ"&amp;"มพร!I220"")+IMPORTRANGE(""https://docs.google.com/spreadsheets/d/16pAz3pOhQEZBhvFNMa5KGgZS6iKWpsKX0pg6tQmwFpo/edit?usp=sharing"",""ตรัง!I220"")+IMPORTRANGE(""https://docs.google.com/spreadsheets/d/1Dj4jcHCTV9JXKCaMoheSXS52JE63kDKyG7bPXnFogHk/edit?usp=shar"&amp;"ing"",""นครศรีธรรมราช!I220"")+IMPORTRANGE(""https://docs.google.com/spreadsheets/d/1iodCdmuK2GR3jzUwk8tpccY2JHQQA-87DLOtJP-ooyU/edit?usp=sharing"",""นราธิวาส!I220"")+IMPORTRANGE(""https://docs.google.com/spreadsheets/d/1SDNX3JhDdYRuIOsj0Wh2M-Qa_eaXl0NbWmh"&amp;"AOTbfQAs/edit?usp=sharing"",""ปัตตานี!I220"")+IMPORTRANGE(""https://docs.google.com/spreadsheets/d/16JDLGguT8s5DsGCND1KcwHP_AWR_zDMTqLHPLJUKhaU/edit?usp=sharing"",""พังงา!I220"")+IMPORTRANGE(""https://docs.google.com/spreadsheets/d/17ht0gPKzzT3PObBL1XJkeR"&amp;"mntBXI7wGjpLV7QorqlTk/edit?usp=sharing"",""พัทลุง!I220"")+IMPORTRANGE(""https://docs.google.com/spreadsheets/d/1rd4qoM1q_hsgaolqNGfrim9gbsoLxQsda4-vOz5x_BM/edit?usp=sharing"",""ภูเก็ต!I220"")+IMPORTRANGE(""https://docs.google.com/spreadsheets/d/1woKwKjgoL"&amp;"ssDvPcPeVyezB5izizAn4X1JDrys69n6xI/edit?usp=sharing"",""ยะลา!I220"")+IMPORTRANGE(""https://docs.google.com/spreadsheets/d/1qfrKjzMhm2HJfxQ-qVlJlJQ25Hne1d0khsySbZyGtPA/edit?usp=sharing"",""ระนอง!I220"")+IMPORTRANGE(""https://docs.google.com/spreadsheets/d/"&amp;"1IbSCnFOKpZsnFogBHJnL_isstZVaOMnFiIN0fGTPZZw/edit?usp=sharing"",""สงขลา!I220"")+IMPORTRANGE(""https://docs.google.com/spreadsheets/d/1q9nWasZJ-K8bFGvbE9n0qSRuKGA4Toe3Y89cKCiVtCU/edit?usp=sharing"",""สตูล!I220"")+IMPORTRANGE(""https://docs.google.com/sprea"&amp;"dsheets/d/18T20gbkS_WBjdscyTOV05cvq_JqvqQ17C81mpxf7Ncs/edit?usp=sharing"",""สุราษฎร์ธานี!I220"")"),10)</f>
        <v>10</v>
      </c>
      <c r="J220" s="238">
        <f ca="1">IFERROR(__xludf.DUMMYFUNCTION("IMPORTRANGE(""https://docs.google.com/spreadsheets/d/1kKUcYdkIfrgTSj8iHHHB2MD2FAtwyyocFgqGQn6ADyI/edit?usp=sharing"",""กระบี่!J220"")+IMPORTRANGE(""https://docs.google.com/spreadsheets/d/1GwtLaSlNZkLk7iDqcyZz22giiy40b_usZZBXYciEN1U/edit?usp=sharing"",""ชุ"&amp;"มพร!J220"")+IMPORTRANGE(""https://docs.google.com/spreadsheets/d/16pAz3pOhQEZBhvFNMa5KGgZS6iKWpsKX0pg6tQmwFpo/edit?usp=sharing"",""ตรัง!J220"")+IMPORTRANGE(""https://docs.google.com/spreadsheets/d/1Dj4jcHCTV9JXKCaMoheSXS52JE63kDKyG7bPXnFogHk/edit?usp=shar"&amp;"ing"",""นครศรีธรรมราช!J220"")+IMPORTRANGE(""https://docs.google.com/spreadsheets/d/1iodCdmuK2GR3jzUwk8tpccY2JHQQA-87DLOtJP-ooyU/edit?usp=sharing"",""นราธิวาส!J220"")+IMPORTRANGE(""https://docs.google.com/spreadsheets/d/1SDNX3JhDdYRuIOsj0Wh2M-Qa_eaXl0NbWmh"&amp;"AOTbfQAs/edit?usp=sharing"",""ปัตตานี!J220"")+IMPORTRANGE(""https://docs.google.com/spreadsheets/d/16JDLGguT8s5DsGCND1KcwHP_AWR_zDMTqLHPLJUKhaU/edit?usp=sharing"",""พังงา!J220"")+IMPORTRANGE(""https://docs.google.com/spreadsheets/d/17ht0gPKzzT3PObBL1XJkeR"&amp;"mntBXI7wGjpLV7QorqlTk/edit?usp=sharing"",""พัทลุง!J220"")+IMPORTRANGE(""https://docs.google.com/spreadsheets/d/1rd4qoM1q_hsgaolqNGfrim9gbsoLxQsda4-vOz5x_BM/edit?usp=sharing"",""ภูเก็ต!J220"")+IMPORTRANGE(""https://docs.google.com/spreadsheets/d/1woKwKjgoL"&amp;"ssDvPcPeVyezB5izizAn4X1JDrys69n6xI/edit?usp=sharing"",""ยะลา!J220"")+IMPORTRANGE(""https://docs.google.com/spreadsheets/d/1qfrKjzMhm2HJfxQ-qVlJlJQ25Hne1d0khsySbZyGtPA/edit?usp=sharing"",""ระนอง!J220"")+IMPORTRANGE(""https://docs.google.com/spreadsheets/d/"&amp;"1IbSCnFOKpZsnFogBHJnL_isstZVaOMnFiIN0fGTPZZw/edit?usp=sharing"",""สงขลา!J220"")+IMPORTRANGE(""https://docs.google.com/spreadsheets/d/1q9nWasZJ-K8bFGvbE9n0qSRuKGA4Toe3Y89cKCiVtCU/edit?usp=sharing"",""สตูล!J220"")+IMPORTRANGE(""https://docs.google.com/sprea"&amp;"dsheets/d/18T20gbkS_WBjdscyTOV05cvq_JqvqQ17C81mpxf7Ncs/edit?usp=sharing"",""สุราษฎร์ธานี!J220"")"),0)</f>
        <v>0</v>
      </c>
      <c r="K220" s="240">
        <f t="shared" ca="1" si="179"/>
        <v>0</v>
      </c>
      <c r="L220" s="46"/>
      <c r="M220" s="46"/>
      <c r="N220" s="46"/>
      <c r="O220" s="46"/>
      <c r="P220" s="46"/>
      <c r="Q220" s="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35">
        <f t="shared" ref="I221:J221" ca="1" si="180">I229</f>
        <v>239000</v>
      </c>
      <c r="J221" s="235">
        <f t="shared" ca="1" si="180"/>
        <v>0</v>
      </c>
      <c r="K221" s="236">
        <f t="shared" ca="1" si="179"/>
        <v>0</v>
      </c>
      <c r="L221" s="230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231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132">
        <f t="shared" ref="L222:N222" ca="1" si="181">L223+L224+L225</f>
        <v>66500</v>
      </c>
      <c r="M222" s="132">
        <f t="shared" ca="1" si="181"/>
        <v>0</v>
      </c>
      <c r="N222" s="132">
        <f t="shared" ca="1" si="181"/>
        <v>2000</v>
      </c>
      <c r="O222" s="132">
        <f ca="1">IF(L222&gt;0,N222*100/L222,0)</f>
        <v>3.007518796992481</v>
      </c>
      <c r="P222" s="46"/>
      <c r="Q222" s="132">
        <f t="shared" ref="Q222:S222" ca="1" si="182">Q223+Q224+Q225</f>
        <v>0</v>
      </c>
      <c r="R222" s="132">
        <f t="shared" ca="1" si="182"/>
        <v>0</v>
      </c>
      <c r="S222" s="132">
        <f t="shared" ca="1" si="182"/>
        <v>0</v>
      </c>
      <c r="T222" s="46"/>
      <c r="U222" s="46"/>
    </row>
    <row r="223" spans="1:21" ht="18.75" x14ac:dyDescent="0.25">
      <c r="A223" s="128"/>
      <c r="B223" s="159"/>
      <c r="C223" s="41"/>
      <c r="D223" s="48" t="s">
        <v>86</v>
      </c>
      <c r="E223" s="41"/>
      <c r="F223" s="41"/>
      <c r="G223" s="43"/>
      <c r="H223" s="134" t="s">
        <v>14</v>
      </c>
      <c r="I223" s="135"/>
      <c r="J223" s="135"/>
      <c r="K223" s="136"/>
      <c r="L223" s="47">
        <f ca="1">IFERROR(__xludf.DUMMYFUNCTION("IMPORTRANGE(""https://docs.google.com/spreadsheets/d/1kKUcYdkIfrgTSj8iHHHB2MD2FAtwyyocFgqGQn6ADyI/edit?usp=sharing"",""กระบี่!L223"")+IMPORTRANGE(""https://docs.google.com/spreadsheets/d/1GwtLaSlNZkLk7iDqcyZz22giiy40b_usZZBXYciEN1U/edit?usp=sharing"",""ชุ"&amp;"มพร!L223"")+IMPORTRANGE(""https://docs.google.com/spreadsheets/d/16pAz3pOhQEZBhvFNMa5KGgZS6iKWpsKX0pg6tQmwFpo/edit?usp=sharing"",""ตรัง!L223"")+IMPORTRANGE(""https://docs.google.com/spreadsheets/d/1Dj4jcHCTV9JXKCaMoheSXS52JE63kDKyG7bPXnFogHk/edit?usp=shar"&amp;"ing"",""นครศรีธรรมราช!L223"")+IMPORTRANGE(""https://docs.google.com/spreadsheets/d/1iodCdmuK2GR3jzUwk8tpccY2JHQQA-87DLOtJP-ooyU/edit?usp=sharing"",""นราธิวาส!L223"")+IMPORTRANGE(""https://docs.google.com/spreadsheets/d/1SDNX3JhDdYRuIOsj0Wh2M-Qa_eaXl0NbWmh"&amp;"AOTbfQAs/edit?usp=sharing"",""ปัตตานี!L223"")+IMPORTRANGE(""https://docs.google.com/spreadsheets/d/16JDLGguT8s5DsGCND1KcwHP_AWR_zDMTqLHPLJUKhaU/edit?usp=sharing"",""พังงา!L223"")+IMPORTRANGE(""https://docs.google.com/spreadsheets/d/17ht0gPKzzT3PObBL1XJkeR"&amp;"mntBXI7wGjpLV7QorqlTk/edit?usp=sharing"",""พัทลุง!L223"")+IMPORTRANGE(""https://docs.google.com/spreadsheets/d/1rd4qoM1q_hsgaolqNGfrim9gbsoLxQsda4-vOz5x_BM/edit?usp=sharing"",""ภูเก็ต!L223"")+IMPORTRANGE(""https://docs.google.com/spreadsheets/d/1woKwKjgoL"&amp;"ssDvPcPeVyezB5izizAn4X1JDrys69n6xI/edit?usp=sharing"",""ยะลา!L223"")+IMPORTRANGE(""https://docs.google.com/spreadsheets/d/1qfrKjzMhm2HJfxQ-qVlJlJQ25Hne1d0khsySbZyGtPA/edit?usp=sharing"",""ระนอง!L223"")+IMPORTRANGE(""https://docs.google.com/spreadsheets/d/"&amp;"1IbSCnFOKpZsnFogBHJnL_isstZVaOMnFiIN0fGTPZZw/edit?usp=sharing"",""สงขลา!L223"")+IMPORTRANGE(""https://docs.google.com/spreadsheets/d/1q9nWasZJ-K8bFGvbE9n0qSRuKGA4Toe3Y89cKCiVtCU/edit?usp=sharing"",""สตูล!L223"")+IMPORTRANGE(""https://docs.google.com/sprea"&amp;"dsheets/d/18T20gbkS_WBjdscyTOV05cvq_JqvqQ17C81mpxf7Ncs/edit?usp=sharing"",""สุราษฎร์ธานี!L223"")"),47000)</f>
        <v>47000</v>
      </c>
      <c r="M223" s="47">
        <f ca="1">IFERROR(__xludf.DUMMYFUNCTION("IMPORTRANGE(""https://docs.google.com/spreadsheets/d/1kKUcYdkIfrgTSj8iHHHB2MD2FAtwyyocFgqGQn6ADyI/edit?usp=sharing"",""กระบี่!M223"")+IMPORTRANGE(""https://docs.google.com/spreadsheets/d/1GwtLaSlNZkLk7iDqcyZz22giiy40b_usZZBXYciEN1U/edit?usp=sharing"",""ชุ"&amp;"มพร!M223"")+IMPORTRANGE(""https://docs.google.com/spreadsheets/d/16pAz3pOhQEZBhvFNMa5KGgZS6iKWpsKX0pg6tQmwFpo/edit?usp=sharing"",""ตรัง!M223"")+IMPORTRANGE(""https://docs.google.com/spreadsheets/d/1Dj4jcHCTV9JXKCaMoheSXS52JE63kDKyG7bPXnFogHk/edit?usp=shar"&amp;"ing"",""นครศรีธรรมราช!M223"")+IMPORTRANGE(""https://docs.google.com/spreadsheets/d/1iodCdmuK2GR3jzUwk8tpccY2JHQQA-87DLOtJP-ooyU/edit?usp=sharing"",""นราธิวาส!M223"")+IMPORTRANGE(""https://docs.google.com/spreadsheets/d/1SDNX3JhDdYRuIOsj0Wh2M-Qa_eaXl0NbWmh"&amp;"AOTbfQAs/edit?usp=sharing"",""ปัตตานี!M223"")+IMPORTRANGE(""https://docs.google.com/spreadsheets/d/16JDLGguT8s5DsGCND1KcwHP_AWR_zDMTqLHPLJUKhaU/edit?usp=sharing"",""พังงา!M223"")+IMPORTRANGE(""https://docs.google.com/spreadsheets/d/17ht0gPKzzT3PObBL1XJkeR"&amp;"mntBXI7wGjpLV7QorqlTk/edit?usp=sharing"",""พัทลุง!M223"")+IMPORTRANGE(""https://docs.google.com/spreadsheets/d/1rd4qoM1q_hsgaolqNGfrim9gbsoLxQsda4-vOz5x_BM/edit?usp=sharing"",""ภูเก็ต!M223"")+IMPORTRANGE(""https://docs.google.com/spreadsheets/d/1woKwKjgoL"&amp;"ssDvPcPeVyezB5izizAn4X1JDrys69n6xI/edit?usp=sharing"",""ยะลา!M223"")+IMPORTRANGE(""https://docs.google.com/spreadsheets/d/1qfrKjzMhm2HJfxQ-qVlJlJQ25Hne1d0khsySbZyGtPA/edit?usp=sharing"",""ระนอง!M223"")+IMPORTRANGE(""https://docs.google.com/spreadsheets/d/"&amp;"1IbSCnFOKpZsnFogBHJnL_isstZVaOMnFiIN0fGTPZZw/edit?usp=sharing"",""สงขลา!M223"")+IMPORTRANGE(""https://docs.google.com/spreadsheets/d/1q9nWasZJ-K8bFGvbE9n0qSRuKGA4Toe3Y89cKCiVtCU/edit?usp=sharing"",""สตูล!M223"")+IMPORTRANGE(""https://docs.google.com/sprea"&amp;"dsheets/d/18T20gbkS_WBjdscyTOV05cvq_JqvqQ17C81mpxf7Ncs/edit?usp=sharing"",""สุราษฎร์ธานี!M223"")"),0)</f>
        <v>0</v>
      </c>
      <c r="N223" s="47">
        <f ca="1">IFERROR(__xludf.DUMMYFUNCTION("IMPORTRANGE(""https://docs.google.com/spreadsheets/d/1kKUcYdkIfrgTSj8iHHHB2MD2FAtwyyocFgqGQn6ADyI/edit?usp=sharing"",""กระบี่!N223"")+IMPORTRANGE(""https://docs.google.com/spreadsheets/d/1GwtLaSlNZkLk7iDqcyZz22giiy40b_usZZBXYciEN1U/edit?usp=sharing"",""ชุ"&amp;"มพร!N223"")+IMPORTRANGE(""https://docs.google.com/spreadsheets/d/16pAz3pOhQEZBhvFNMa5KGgZS6iKWpsKX0pg6tQmwFpo/edit?usp=sharing"",""ตรัง!N223"")+IMPORTRANGE(""https://docs.google.com/spreadsheets/d/1Dj4jcHCTV9JXKCaMoheSXS52JE63kDKyG7bPXnFogHk/edit?usp=shar"&amp;"ing"",""นครศรีธรรมราช!N223"")+IMPORTRANGE(""https://docs.google.com/spreadsheets/d/1iodCdmuK2GR3jzUwk8tpccY2JHQQA-87DLOtJP-ooyU/edit?usp=sharing"",""นราธิวาส!N223"")+IMPORTRANGE(""https://docs.google.com/spreadsheets/d/1SDNX3JhDdYRuIOsj0Wh2M-Qa_eaXl0NbWmh"&amp;"AOTbfQAs/edit?usp=sharing"",""ปัตตานี!N223"")+IMPORTRANGE(""https://docs.google.com/spreadsheets/d/16JDLGguT8s5DsGCND1KcwHP_AWR_zDMTqLHPLJUKhaU/edit?usp=sharing"",""พังงา!N223"")+IMPORTRANGE(""https://docs.google.com/spreadsheets/d/17ht0gPKzzT3PObBL1XJkeR"&amp;"mntBXI7wGjpLV7QorqlTk/edit?usp=sharing"",""พัทลุง!N223"")+IMPORTRANGE(""https://docs.google.com/spreadsheets/d/1rd4qoM1q_hsgaolqNGfrim9gbsoLxQsda4-vOz5x_BM/edit?usp=sharing"",""ภูเก็ต!N223"")+IMPORTRANGE(""https://docs.google.com/spreadsheets/d/1woKwKjgoL"&amp;"ssDvPcPeVyezB5izizAn4X1JDrys69n6xI/edit?usp=sharing"",""ยะลา!N223"")+IMPORTRANGE(""https://docs.google.com/spreadsheets/d/1qfrKjzMhm2HJfxQ-qVlJlJQ25Hne1d0khsySbZyGtPA/edit?usp=sharing"",""ระนอง!N223"")+IMPORTRANGE(""https://docs.google.com/spreadsheets/d/"&amp;"1IbSCnFOKpZsnFogBHJnL_isstZVaOMnFiIN0fGTPZZw/edit?usp=sharing"",""สงขลา!N223"")+IMPORTRANGE(""https://docs.google.com/spreadsheets/d/1q9nWasZJ-K8bFGvbE9n0qSRuKGA4Toe3Y89cKCiVtCU/edit?usp=sharing"",""สตูล!N223"")+IMPORTRANGE(""https://docs.google.com/sprea"&amp;"dsheets/d/18T20gbkS_WBjdscyTOV05cvq_JqvqQ17C81mpxf7Ncs/edit?usp=sharing"",""สุราษฎร์ธานี!N223"")"),2000)</f>
        <v>2000</v>
      </c>
      <c r="O223" s="136"/>
      <c r="P223" s="46"/>
      <c r="Q223" s="47">
        <f ca="1">IFERROR(__xludf.DUMMYFUNCTION("IMPORTRANGE(""https://docs.google.com/spreadsheets/d/1kKUcYdkIfrgTSj8iHHHB2MD2FAtwyyocFgqGQn6ADyI/edit?usp=sharing"",""กระบี่!Q223"")+IMPORTRANGE(""https://docs.google.com/spreadsheets/d/1GwtLaSlNZkLk7iDqcyZz22giiy40b_usZZBXYciEN1U/edit?usp=sharing"",""ชุ"&amp;"มพร!Q223"")+IMPORTRANGE(""https://docs.google.com/spreadsheets/d/16pAz3pOhQEZBhvFNMa5KGgZS6iKWpsKX0pg6tQmwFpo/edit?usp=sharing"",""ตรัง!Q223"")+IMPORTRANGE(""https://docs.google.com/spreadsheets/d/1Dj4jcHCTV9JXKCaMoheSXS52JE63kDKyG7bPXnFogHk/edit?usp=shar"&amp;"ing"",""นครศรีธรรมราช!Q223"")+IMPORTRANGE(""https://docs.google.com/spreadsheets/d/1iodCdmuK2GR3jzUwk8tpccY2JHQQA-87DLOtJP-ooyU/edit?usp=sharing"",""นราธิวาส!Q223"")+IMPORTRANGE(""https://docs.google.com/spreadsheets/d/1SDNX3JhDdYRuIOsj0Wh2M-Qa_eaXl0NbWmh"&amp;"AOTbfQAs/edit?usp=sharing"",""ปัตตานี!Q223"")+IMPORTRANGE(""https://docs.google.com/spreadsheets/d/16JDLGguT8s5DsGCND1KcwHP_AWR_zDMTqLHPLJUKhaU/edit?usp=sharing"",""พังงา!Q223"")+IMPORTRANGE(""https://docs.google.com/spreadsheets/d/17ht0gPKzzT3PObBL1XJkeR"&amp;"mntBXI7wGjpLV7QorqlTk/edit?usp=sharing"",""พัทลุง!Q223"")+IMPORTRANGE(""https://docs.google.com/spreadsheets/d/1rd4qoM1q_hsgaolqNGfrim9gbsoLxQsda4-vOz5x_BM/edit?usp=sharing"",""ภูเก็ต!Q223"")+IMPORTRANGE(""https://docs.google.com/spreadsheets/d/1woKwKjgoL"&amp;"ssDvPcPeVyezB5izizAn4X1JDrys69n6xI/edit?usp=sharing"",""ยะลา!Q223"")+IMPORTRANGE(""https://docs.google.com/spreadsheets/d/1qfrKjzMhm2HJfxQ-qVlJlJQ25Hne1d0khsySbZyGtPA/edit?usp=sharing"",""ระนอง!Q223"")+IMPORTRANGE(""https://docs.google.com/spreadsheets/d/"&amp;"1IbSCnFOKpZsnFogBHJnL_isstZVaOMnFiIN0fGTPZZw/edit?usp=sharing"",""สงขลา!Q223"")+IMPORTRANGE(""https://docs.google.com/spreadsheets/d/1q9nWasZJ-K8bFGvbE9n0qSRuKGA4Toe3Y89cKCiVtCU/edit?usp=sharing"",""สตูล!Q223"")+IMPORTRANGE(""https://docs.google.com/sprea"&amp;"dsheets/d/18T20gbkS_WBjdscyTOV05cvq_JqvqQ17C81mpxf7Ncs/edit?usp=sharing"",""สุราษฎร์ธานี!Q223"")"),0)</f>
        <v>0</v>
      </c>
      <c r="R223" s="47">
        <f ca="1">IFERROR(__xludf.DUMMYFUNCTION("IMPORTRANGE(""https://docs.google.com/spreadsheets/d/1kKUcYdkIfrgTSj8iHHHB2MD2FAtwyyocFgqGQn6ADyI/edit?usp=sharing"",""กระบี่!R223"")+IMPORTRANGE(""https://docs.google.com/spreadsheets/d/1GwtLaSlNZkLk7iDqcyZz22giiy40b_usZZBXYciEN1U/edit?usp=sharing"",""ชุ"&amp;"มพร!R223"")+IMPORTRANGE(""https://docs.google.com/spreadsheets/d/16pAz3pOhQEZBhvFNMa5KGgZS6iKWpsKX0pg6tQmwFpo/edit?usp=sharing"",""ตรัง!R223"")+IMPORTRANGE(""https://docs.google.com/spreadsheets/d/1Dj4jcHCTV9JXKCaMoheSXS52JE63kDKyG7bPXnFogHk/edit?usp=shar"&amp;"ing"",""นครศรีธรรมราช!R223"")+IMPORTRANGE(""https://docs.google.com/spreadsheets/d/1iodCdmuK2GR3jzUwk8tpccY2JHQQA-87DLOtJP-ooyU/edit?usp=sharing"",""นราธิวาส!R223"")+IMPORTRANGE(""https://docs.google.com/spreadsheets/d/1SDNX3JhDdYRuIOsj0Wh2M-Qa_eaXl0NbWmh"&amp;"AOTbfQAs/edit?usp=sharing"",""ปัตตานี!R223"")+IMPORTRANGE(""https://docs.google.com/spreadsheets/d/16JDLGguT8s5DsGCND1KcwHP_AWR_zDMTqLHPLJUKhaU/edit?usp=sharing"",""พังงา!R223"")+IMPORTRANGE(""https://docs.google.com/spreadsheets/d/17ht0gPKzzT3PObBL1XJkeR"&amp;"mntBXI7wGjpLV7QorqlTk/edit?usp=sharing"",""พัทลุง!R223"")+IMPORTRANGE(""https://docs.google.com/spreadsheets/d/1rd4qoM1q_hsgaolqNGfrim9gbsoLxQsda4-vOz5x_BM/edit?usp=sharing"",""ภูเก็ต!R223"")+IMPORTRANGE(""https://docs.google.com/spreadsheets/d/1woKwKjgoL"&amp;"ssDvPcPeVyezB5izizAn4X1JDrys69n6xI/edit?usp=sharing"",""ยะลา!R223"")+IMPORTRANGE(""https://docs.google.com/spreadsheets/d/1qfrKjzMhm2HJfxQ-qVlJlJQ25Hne1d0khsySbZyGtPA/edit?usp=sharing"",""ระนอง!R223"")+IMPORTRANGE(""https://docs.google.com/spreadsheets/d/"&amp;"1IbSCnFOKpZsnFogBHJnL_isstZVaOMnFiIN0fGTPZZw/edit?usp=sharing"",""สงขลา!R223"")+IMPORTRANGE(""https://docs.google.com/spreadsheets/d/1q9nWasZJ-K8bFGvbE9n0qSRuKGA4Toe3Y89cKCiVtCU/edit?usp=sharing"",""สตูล!R223"")+IMPORTRANGE(""https://docs.google.com/sprea"&amp;"dsheets/d/18T20gbkS_WBjdscyTOV05cvq_JqvqQ17C81mpxf7Ncs/edit?usp=sharing"",""สุราษฎร์ธานี!R223"")"),0)</f>
        <v>0</v>
      </c>
      <c r="S223" s="47">
        <f ca="1">IFERROR(__xludf.DUMMYFUNCTION("IMPORTRANGE(""https://docs.google.com/spreadsheets/d/1kKUcYdkIfrgTSj8iHHHB2MD2FAtwyyocFgqGQn6ADyI/edit?usp=sharing"",""กระบี่!S223"")+IMPORTRANGE(""https://docs.google.com/spreadsheets/d/1GwtLaSlNZkLk7iDqcyZz22giiy40b_usZZBXYciEN1U/edit?usp=sharing"",""ชุ"&amp;"มพร!S223"")+IMPORTRANGE(""https://docs.google.com/spreadsheets/d/16pAz3pOhQEZBhvFNMa5KGgZS6iKWpsKX0pg6tQmwFpo/edit?usp=sharing"",""ตรัง!S223"")+IMPORTRANGE(""https://docs.google.com/spreadsheets/d/1Dj4jcHCTV9JXKCaMoheSXS52JE63kDKyG7bPXnFogHk/edit?usp=shar"&amp;"ing"",""นครศรีธรรมราช!S223"")+IMPORTRANGE(""https://docs.google.com/spreadsheets/d/1iodCdmuK2GR3jzUwk8tpccY2JHQQA-87DLOtJP-ooyU/edit?usp=sharing"",""นราธิวาส!S223"")+IMPORTRANGE(""https://docs.google.com/spreadsheets/d/1SDNX3JhDdYRuIOsj0Wh2M-Qa_eaXl0NbWmh"&amp;"AOTbfQAs/edit?usp=sharing"",""ปัตตานี!S223"")+IMPORTRANGE(""https://docs.google.com/spreadsheets/d/16JDLGguT8s5DsGCND1KcwHP_AWR_zDMTqLHPLJUKhaU/edit?usp=sharing"",""พังงา!S223"")+IMPORTRANGE(""https://docs.google.com/spreadsheets/d/17ht0gPKzzT3PObBL1XJkeR"&amp;"mntBXI7wGjpLV7QorqlTk/edit?usp=sharing"",""พัทลุง!S223"")+IMPORTRANGE(""https://docs.google.com/spreadsheets/d/1rd4qoM1q_hsgaolqNGfrim9gbsoLxQsda4-vOz5x_BM/edit?usp=sharing"",""ภูเก็ต!S223"")+IMPORTRANGE(""https://docs.google.com/spreadsheets/d/1woKwKjgoL"&amp;"ssDvPcPeVyezB5izizAn4X1JDrys69n6xI/edit?usp=sharing"",""ยะลา!S223"")+IMPORTRANGE(""https://docs.google.com/spreadsheets/d/1qfrKjzMhm2HJfxQ-qVlJlJQ25Hne1d0khsySbZyGtPA/edit?usp=sharing"",""ระนอง!S223"")+IMPORTRANGE(""https://docs.google.com/spreadsheets/d/"&amp;"1IbSCnFOKpZsnFogBHJnL_isstZVaOMnFiIN0fGTPZZw/edit?usp=sharing"",""สงขลา!S223"")+IMPORTRANGE(""https://docs.google.com/spreadsheets/d/1q9nWasZJ-K8bFGvbE9n0qSRuKGA4Toe3Y89cKCiVtCU/edit?usp=sharing"",""สตูล!S223"")+IMPORTRANGE(""https://docs.google.com/sprea"&amp;"dsheets/d/18T20gbkS_WBjdscyTOV05cvq_JqvqQ17C81mpxf7Ncs/edit?usp=sharing"",""สุราษฎร์ธานี!S223"")"),0)</f>
        <v>0</v>
      </c>
      <c r="T223" s="136"/>
      <c r="U223" s="46"/>
    </row>
    <row r="224" spans="1:21" ht="18.75" x14ac:dyDescent="0.25">
      <c r="A224" s="217"/>
      <c r="B224" s="159"/>
      <c r="C224" s="159"/>
      <c r="D224" s="48" t="s">
        <v>100</v>
      </c>
      <c r="E224" s="41"/>
      <c r="F224" s="41"/>
      <c r="G224" s="43"/>
      <c r="H224" s="134" t="s">
        <v>14</v>
      </c>
      <c r="I224" s="45"/>
      <c r="J224" s="45"/>
      <c r="K224" s="46"/>
      <c r="L224" s="47">
        <f ca="1">IFERROR(__xludf.DUMMYFUNCTION("IMPORTRANGE(""https://docs.google.com/spreadsheets/d/1kKUcYdkIfrgTSj8iHHHB2MD2FAtwyyocFgqGQn6ADyI/edit?usp=sharing"",""กระบี่!L224"")+IMPORTRANGE(""https://docs.google.com/spreadsheets/d/1GwtLaSlNZkLk7iDqcyZz22giiy40b_usZZBXYciEN1U/edit?usp=sharing"",""ชุ"&amp;"มพร!L224"")+IMPORTRANGE(""https://docs.google.com/spreadsheets/d/16pAz3pOhQEZBhvFNMa5KGgZS6iKWpsKX0pg6tQmwFpo/edit?usp=sharing"",""ตรัง!L224"")+IMPORTRANGE(""https://docs.google.com/spreadsheets/d/1Dj4jcHCTV9JXKCaMoheSXS52JE63kDKyG7bPXnFogHk/edit?usp=shar"&amp;"ing"",""นครศรีธรรมราช!L224"")+IMPORTRANGE(""https://docs.google.com/spreadsheets/d/1iodCdmuK2GR3jzUwk8tpccY2JHQQA-87DLOtJP-ooyU/edit?usp=sharing"",""นราธิวาส!L224"")+IMPORTRANGE(""https://docs.google.com/spreadsheets/d/1SDNX3JhDdYRuIOsj0Wh2M-Qa_eaXl0NbWmh"&amp;"AOTbfQAs/edit?usp=sharing"",""ปัตตานี!L224"")+IMPORTRANGE(""https://docs.google.com/spreadsheets/d/16JDLGguT8s5DsGCND1KcwHP_AWR_zDMTqLHPLJUKhaU/edit?usp=sharing"",""พังงา!L224"")+IMPORTRANGE(""https://docs.google.com/spreadsheets/d/17ht0gPKzzT3PObBL1XJkeR"&amp;"mntBXI7wGjpLV7QorqlTk/edit?usp=sharing"",""พัทลุง!L224"")+IMPORTRANGE(""https://docs.google.com/spreadsheets/d/1rd4qoM1q_hsgaolqNGfrim9gbsoLxQsda4-vOz5x_BM/edit?usp=sharing"",""ภูเก็ต!L224"")+IMPORTRANGE(""https://docs.google.com/spreadsheets/d/1woKwKjgoL"&amp;"ssDvPcPeVyezB5izizAn4X1JDrys69n6xI/edit?usp=sharing"",""ยะลา!L224"")+IMPORTRANGE(""https://docs.google.com/spreadsheets/d/1qfrKjzMhm2HJfxQ-qVlJlJQ25Hne1d0khsySbZyGtPA/edit?usp=sharing"",""ระนอง!L224"")+IMPORTRANGE(""https://docs.google.com/spreadsheets/d/"&amp;"1IbSCnFOKpZsnFogBHJnL_isstZVaOMnFiIN0fGTPZZw/edit?usp=sharing"",""สงขลา!L224"")+IMPORTRANGE(""https://docs.google.com/spreadsheets/d/1q9nWasZJ-K8bFGvbE9n0qSRuKGA4Toe3Y89cKCiVtCU/edit?usp=sharing"",""สตูล!L224"")+IMPORTRANGE(""https://docs.google.com/sprea"&amp;"dsheets/d/18T20gbkS_WBjdscyTOV05cvq_JqvqQ17C81mpxf7Ncs/edit?usp=sharing"",""สุราษฎร์ธานี!L224"")"),19500)</f>
        <v>19500</v>
      </c>
      <c r="M224" s="47">
        <f ca="1">IFERROR(__xludf.DUMMYFUNCTION("IMPORTRANGE(""https://docs.google.com/spreadsheets/d/1kKUcYdkIfrgTSj8iHHHB2MD2FAtwyyocFgqGQn6ADyI/edit?usp=sharing"",""กระบี่!M224"")+IMPORTRANGE(""https://docs.google.com/spreadsheets/d/1GwtLaSlNZkLk7iDqcyZz22giiy40b_usZZBXYciEN1U/edit?usp=sharing"",""ชุ"&amp;"มพร!M224"")+IMPORTRANGE(""https://docs.google.com/spreadsheets/d/16pAz3pOhQEZBhvFNMa5KGgZS6iKWpsKX0pg6tQmwFpo/edit?usp=sharing"",""ตรัง!M224"")+IMPORTRANGE(""https://docs.google.com/spreadsheets/d/1Dj4jcHCTV9JXKCaMoheSXS52JE63kDKyG7bPXnFogHk/edit?usp=shar"&amp;"ing"",""นครศรีธรรมราช!M224"")+IMPORTRANGE(""https://docs.google.com/spreadsheets/d/1iodCdmuK2GR3jzUwk8tpccY2JHQQA-87DLOtJP-ooyU/edit?usp=sharing"",""นราธิวาส!M224"")+IMPORTRANGE(""https://docs.google.com/spreadsheets/d/1SDNX3JhDdYRuIOsj0Wh2M-Qa_eaXl0NbWmh"&amp;"AOTbfQAs/edit?usp=sharing"",""ปัตตานี!M224"")+IMPORTRANGE(""https://docs.google.com/spreadsheets/d/16JDLGguT8s5DsGCND1KcwHP_AWR_zDMTqLHPLJUKhaU/edit?usp=sharing"",""พังงา!M224"")+IMPORTRANGE(""https://docs.google.com/spreadsheets/d/17ht0gPKzzT3PObBL1XJkeR"&amp;"mntBXI7wGjpLV7QorqlTk/edit?usp=sharing"",""พัทลุง!M224"")+IMPORTRANGE(""https://docs.google.com/spreadsheets/d/1rd4qoM1q_hsgaolqNGfrim9gbsoLxQsda4-vOz5x_BM/edit?usp=sharing"",""ภูเก็ต!M224"")+IMPORTRANGE(""https://docs.google.com/spreadsheets/d/1woKwKjgoL"&amp;"ssDvPcPeVyezB5izizAn4X1JDrys69n6xI/edit?usp=sharing"",""ยะลา!M224"")+IMPORTRANGE(""https://docs.google.com/spreadsheets/d/1qfrKjzMhm2HJfxQ-qVlJlJQ25Hne1d0khsySbZyGtPA/edit?usp=sharing"",""ระนอง!M224"")+IMPORTRANGE(""https://docs.google.com/spreadsheets/d/"&amp;"1IbSCnFOKpZsnFogBHJnL_isstZVaOMnFiIN0fGTPZZw/edit?usp=sharing"",""สงขลา!M224"")+IMPORTRANGE(""https://docs.google.com/spreadsheets/d/1q9nWasZJ-K8bFGvbE9n0qSRuKGA4Toe3Y89cKCiVtCU/edit?usp=sharing"",""สตูล!M224"")+IMPORTRANGE(""https://docs.google.com/sprea"&amp;"dsheets/d/18T20gbkS_WBjdscyTOV05cvq_JqvqQ17C81mpxf7Ncs/edit?usp=sharing"",""สุราษฎร์ธานี!M224"")"),0)</f>
        <v>0</v>
      </c>
      <c r="N224" s="47">
        <f ca="1">IFERROR(__xludf.DUMMYFUNCTION("IMPORTRANGE(""https://docs.google.com/spreadsheets/d/1kKUcYdkIfrgTSj8iHHHB2MD2FAtwyyocFgqGQn6ADyI/edit?usp=sharing"",""กระบี่!N224"")+IMPORTRANGE(""https://docs.google.com/spreadsheets/d/1GwtLaSlNZkLk7iDqcyZz22giiy40b_usZZBXYciEN1U/edit?usp=sharing"",""ชุ"&amp;"มพร!N224"")+IMPORTRANGE(""https://docs.google.com/spreadsheets/d/16pAz3pOhQEZBhvFNMa5KGgZS6iKWpsKX0pg6tQmwFpo/edit?usp=sharing"",""ตรัง!N224"")+IMPORTRANGE(""https://docs.google.com/spreadsheets/d/1Dj4jcHCTV9JXKCaMoheSXS52JE63kDKyG7bPXnFogHk/edit?usp=shar"&amp;"ing"",""นครศรีธรรมราช!N224"")+IMPORTRANGE(""https://docs.google.com/spreadsheets/d/1iodCdmuK2GR3jzUwk8tpccY2JHQQA-87DLOtJP-ooyU/edit?usp=sharing"",""นราธิวาส!N224"")+IMPORTRANGE(""https://docs.google.com/spreadsheets/d/1SDNX3JhDdYRuIOsj0Wh2M-Qa_eaXl0NbWmh"&amp;"AOTbfQAs/edit?usp=sharing"",""ปัตตานี!N224"")+IMPORTRANGE(""https://docs.google.com/spreadsheets/d/16JDLGguT8s5DsGCND1KcwHP_AWR_zDMTqLHPLJUKhaU/edit?usp=sharing"",""พังงา!N224"")+IMPORTRANGE(""https://docs.google.com/spreadsheets/d/17ht0gPKzzT3PObBL1XJkeR"&amp;"mntBXI7wGjpLV7QorqlTk/edit?usp=sharing"",""พัทลุง!N224"")+IMPORTRANGE(""https://docs.google.com/spreadsheets/d/1rd4qoM1q_hsgaolqNGfrim9gbsoLxQsda4-vOz5x_BM/edit?usp=sharing"",""ภูเก็ต!N224"")+IMPORTRANGE(""https://docs.google.com/spreadsheets/d/1woKwKjgoL"&amp;"ssDvPcPeVyezB5izizAn4X1JDrys69n6xI/edit?usp=sharing"",""ยะลา!N224"")+IMPORTRANGE(""https://docs.google.com/spreadsheets/d/1qfrKjzMhm2HJfxQ-qVlJlJQ25Hne1d0khsySbZyGtPA/edit?usp=sharing"",""ระนอง!N224"")+IMPORTRANGE(""https://docs.google.com/spreadsheets/d/"&amp;"1IbSCnFOKpZsnFogBHJnL_isstZVaOMnFiIN0fGTPZZw/edit?usp=sharing"",""สงขลา!N224"")+IMPORTRANGE(""https://docs.google.com/spreadsheets/d/1q9nWasZJ-K8bFGvbE9n0qSRuKGA4Toe3Y89cKCiVtCU/edit?usp=sharing"",""สตูล!N224"")+IMPORTRANGE(""https://docs.google.com/sprea"&amp;"dsheets/d/18T20gbkS_WBjdscyTOV05cvq_JqvqQ17C81mpxf7Ncs/edit?usp=sharing"",""สุราษฎร์ธานี!N224"")"),0)</f>
        <v>0</v>
      </c>
      <c r="O224" s="136"/>
      <c r="P224" s="46"/>
      <c r="Q224" s="47">
        <f ca="1">IFERROR(__xludf.DUMMYFUNCTION("IMPORTRANGE(""https://docs.google.com/spreadsheets/d/1kKUcYdkIfrgTSj8iHHHB2MD2FAtwyyocFgqGQn6ADyI/edit?usp=sharing"",""กระบี่!Q224"")+IMPORTRANGE(""https://docs.google.com/spreadsheets/d/1GwtLaSlNZkLk7iDqcyZz22giiy40b_usZZBXYciEN1U/edit?usp=sharing"",""ชุ"&amp;"มพร!Q224"")+IMPORTRANGE(""https://docs.google.com/spreadsheets/d/16pAz3pOhQEZBhvFNMa5KGgZS6iKWpsKX0pg6tQmwFpo/edit?usp=sharing"",""ตรัง!Q224"")+IMPORTRANGE(""https://docs.google.com/spreadsheets/d/1Dj4jcHCTV9JXKCaMoheSXS52JE63kDKyG7bPXnFogHk/edit?usp=shar"&amp;"ing"",""นครศรีธรรมราช!Q224"")+IMPORTRANGE(""https://docs.google.com/spreadsheets/d/1iodCdmuK2GR3jzUwk8tpccY2JHQQA-87DLOtJP-ooyU/edit?usp=sharing"",""นราธิวาส!Q224"")+IMPORTRANGE(""https://docs.google.com/spreadsheets/d/1SDNX3JhDdYRuIOsj0Wh2M-Qa_eaXl0NbWmh"&amp;"AOTbfQAs/edit?usp=sharing"",""ปัตตานี!Q224"")+IMPORTRANGE(""https://docs.google.com/spreadsheets/d/16JDLGguT8s5DsGCND1KcwHP_AWR_zDMTqLHPLJUKhaU/edit?usp=sharing"",""พังงา!Q224"")+IMPORTRANGE(""https://docs.google.com/spreadsheets/d/17ht0gPKzzT3PObBL1XJkeR"&amp;"mntBXI7wGjpLV7QorqlTk/edit?usp=sharing"",""พัทลุง!Q224"")+IMPORTRANGE(""https://docs.google.com/spreadsheets/d/1rd4qoM1q_hsgaolqNGfrim9gbsoLxQsda4-vOz5x_BM/edit?usp=sharing"",""ภูเก็ต!Q224"")+IMPORTRANGE(""https://docs.google.com/spreadsheets/d/1woKwKjgoL"&amp;"ssDvPcPeVyezB5izizAn4X1JDrys69n6xI/edit?usp=sharing"",""ยะลา!Q224"")+IMPORTRANGE(""https://docs.google.com/spreadsheets/d/1qfrKjzMhm2HJfxQ-qVlJlJQ25Hne1d0khsySbZyGtPA/edit?usp=sharing"",""ระนอง!Q224"")+IMPORTRANGE(""https://docs.google.com/spreadsheets/d/"&amp;"1IbSCnFOKpZsnFogBHJnL_isstZVaOMnFiIN0fGTPZZw/edit?usp=sharing"",""สงขลา!Q224"")+IMPORTRANGE(""https://docs.google.com/spreadsheets/d/1q9nWasZJ-K8bFGvbE9n0qSRuKGA4Toe3Y89cKCiVtCU/edit?usp=sharing"",""สตูล!Q224"")+IMPORTRANGE(""https://docs.google.com/sprea"&amp;"dsheets/d/18T20gbkS_WBjdscyTOV05cvq_JqvqQ17C81mpxf7Ncs/edit?usp=sharing"",""สุราษฎร์ธานี!Q224"")"),0)</f>
        <v>0</v>
      </c>
      <c r="R224" s="47">
        <f ca="1">IFERROR(__xludf.DUMMYFUNCTION("IMPORTRANGE(""https://docs.google.com/spreadsheets/d/1kKUcYdkIfrgTSj8iHHHB2MD2FAtwyyocFgqGQn6ADyI/edit?usp=sharing"",""กระบี่!R224"")+IMPORTRANGE(""https://docs.google.com/spreadsheets/d/1GwtLaSlNZkLk7iDqcyZz22giiy40b_usZZBXYciEN1U/edit?usp=sharing"",""ชุ"&amp;"มพร!R224"")+IMPORTRANGE(""https://docs.google.com/spreadsheets/d/16pAz3pOhQEZBhvFNMa5KGgZS6iKWpsKX0pg6tQmwFpo/edit?usp=sharing"",""ตรัง!R224"")+IMPORTRANGE(""https://docs.google.com/spreadsheets/d/1Dj4jcHCTV9JXKCaMoheSXS52JE63kDKyG7bPXnFogHk/edit?usp=shar"&amp;"ing"",""นครศรีธรรมราช!R224"")+IMPORTRANGE(""https://docs.google.com/spreadsheets/d/1iodCdmuK2GR3jzUwk8tpccY2JHQQA-87DLOtJP-ooyU/edit?usp=sharing"",""นราธิวาส!R224"")+IMPORTRANGE(""https://docs.google.com/spreadsheets/d/1SDNX3JhDdYRuIOsj0Wh2M-Qa_eaXl0NbWmh"&amp;"AOTbfQAs/edit?usp=sharing"",""ปัตตานี!R224"")+IMPORTRANGE(""https://docs.google.com/spreadsheets/d/16JDLGguT8s5DsGCND1KcwHP_AWR_zDMTqLHPLJUKhaU/edit?usp=sharing"",""พังงา!R224"")+IMPORTRANGE(""https://docs.google.com/spreadsheets/d/17ht0gPKzzT3PObBL1XJkeR"&amp;"mntBXI7wGjpLV7QorqlTk/edit?usp=sharing"",""พัทลุง!R224"")+IMPORTRANGE(""https://docs.google.com/spreadsheets/d/1rd4qoM1q_hsgaolqNGfrim9gbsoLxQsda4-vOz5x_BM/edit?usp=sharing"",""ภูเก็ต!R224"")+IMPORTRANGE(""https://docs.google.com/spreadsheets/d/1woKwKjgoL"&amp;"ssDvPcPeVyezB5izizAn4X1JDrys69n6xI/edit?usp=sharing"",""ยะลา!R224"")+IMPORTRANGE(""https://docs.google.com/spreadsheets/d/1qfrKjzMhm2HJfxQ-qVlJlJQ25Hne1d0khsySbZyGtPA/edit?usp=sharing"",""ระนอง!R224"")+IMPORTRANGE(""https://docs.google.com/spreadsheets/d/"&amp;"1IbSCnFOKpZsnFogBHJnL_isstZVaOMnFiIN0fGTPZZw/edit?usp=sharing"",""สงขลา!R224"")+IMPORTRANGE(""https://docs.google.com/spreadsheets/d/1q9nWasZJ-K8bFGvbE9n0qSRuKGA4Toe3Y89cKCiVtCU/edit?usp=sharing"",""สตูล!R224"")+IMPORTRANGE(""https://docs.google.com/sprea"&amp;"dsheets/d/18T20gbkS_WBjdscyTOV05cvq_JqvqQ17C81mpxf7Ncs/edit?usp=sharing"",""สุราษฎร์ธานี!R224"")"),0)</f>
        <v>0</v>
      </c>
      <c r="S224" s="47">
        <f ca="1">IFERROR(__xludf.DUMMYFUNCTION("IMPORTRANGE(""https://docs.google.com/spreadsheets/d/1kKUcYdkIfrgTSj8iHHHB2MD2FAtwyyocFgqGQn6ADyI/edit?usp=sharing"",""กระบี่!S224"")+IMPORTRANGE(""https://docs.google.com/spreadsheets/d/1GwtLaSlNZkLk7iDqcyZz22giiy40b_usZZBXYciEN1U/edit?usp=sharing"",""ชุ"&amp;"มพร!S224"")+IMPORTRANGE(""https://docs.google.com/spreadsheets/d/16pAz3pOhQEZBhvFNMa5KGgZS6iKWpsKX0pg6tQmwFpo/edit?usp=sharing"",""ตรัง!S224"")+IMPORTRANGE(""https://docs.google.com/spreadsheets/d/1Dj4jcHCTV9JXKCaMoheSXS52JE63kDKyG7bPXnFogHk/edit?usp=shar"&amp;"ing"",""นครศรีธรรมราช!S224"")+IMPORTRANGE(""https://docs.google.com/spreadsheets/d/1iodCdmuK2GR3jzUwk8tpccY2JHQQA-87DLOtJP-ooyU/edit?usp=sharing"",""นราธิวาส!S224"")+IMPORTRANGE(""https://docs.google.com/spreadsheets/d/1SDNX3JhDdYRuIOsj0Wh2M-Qa_eaXl0NbWmh"&amp;"AOTbfQAs/edit?usp=sharing"",""ปัตตานี!S224"")+IMPORTRANGE(""https://docs.google.com/spreadsheets/d/16JDLGguT8s5DsGCND1KcwHP_AWR_zDMTqLHPLJUKhaU/edit?usp=sharing"",""พังงา!S224"")+IMPORTRANGE(""https://docs.google.com/spreadsheets/d/17ht0gPKzzT3PObBL1XJkeR"&amp;"mntBXI7wGjpLV7QorqlTk/edit?usp=sharing"",""พัทลุง!S224"")+IMPORTRANGE(""https://docs.google.com/spreadsheets/d/1rd4qoM1q_hsgaolqNGfrim9gbsoLxQsda4-vOz5x_BM/edit?usp=sharing"",""ภูเก็ต!S224"")+IMPORTRANGE(""https://docs.google.com/spreadsheets/d/1woKwKjgoL"&amp;"ssDvPcPeVyezB5izizAn4X1JDrys69n6xI/edit?usp=sharing"",""ยะลา!S224"")+IMPORTRANGE(""https://docs.google.com/spreadsheets/d/1qfrKjzMhm2HJfxQ-qVlJlJQ25Hne1d0khsySbZyGtPA/edit?usp=sharing"",""ระนอง!S224"")+IMPORTRANGE(""https://docs.google.com/spreadsheets/d/"&amp;"1IbSCnFOKpZsnFogBHJnL_isstZVaOMnFiIN0fGTPZZw/edit?usp=sharing"",""สงขลา!S224"")+IMPORTRANGE(""https://docs.google.com/spreadsheets/d/1q9nWasZJ-K8bFGvbE9n0qSRuKGA4Toe3Y89cKCiVtCU/edit?usp=sharing"",""สตูล!S224"")+IMPORTRANGE(""https://docs.google.com/sprea"&amp;"dsheets/d/18T20gbkS_WBjdscyTOV05cvq_JqvqQ17C81mpxf7Ncs/edit?usp=sharing"",""สุราษฎร์ธานี!S224"")"),0)</f>
        <v>0</v>
      </c>
      <c r="T224" s="136"/>
      <c r="U224" s="46"/>
    </row>
    <row r="225" spans="1:21" ht="12.75" hidden="1" x14ac:dyDescent="0.2">
      <c r="A225" s="241"/>
      <c r="B225" s="242"/>
      <c r="C225" s="242"/>
      <c r="D225" s="243"/>
      <c r="E225" s="243"/>
      <c r="F225" s="243"/>
      <c r="G225" s="244"/>
      <c r="H225" s="245"/>
      <c r="I225" s="246"/>
      <c r="J225" s="246"/>
      <c r="K225" s="247"/>
      <c r="L225" s="247"/>
      <c r="M225" s="247"/>
      <c r="N225" s="247"/>
      <c r="O225" s="247"/>
      <c r="P225" s="247"/>
      <c r="Q225" s="247"/>
      <c r="R225" s="247"/>
      <c r="S225" s="247"/>
      <c r="T225" s="136"/>
      <c r="U225" s="46"/>
    </row>
    <row r="226" spans="1:21" ht="19.5" x14ac:dyDescent="0.3">
      <c r="A226" s="138"/>
      <c r="B226" s="139"/>
      <c r="C226" s="162" t="s">
        <v>18</v>
      </c>
      <c r="D226" s="140" t="s">
        <v>38</v>
      </c>
      <c r="E226" s="141"/>
      <c r="F226" s="141"/>
      <c r="G226" s="142"/>
      <c r="H226" s="143"/>
      <c r="I226" s="135"/>
      <c r="J226" s="135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238">
        <f ca="1">IFERROR(__xludf.DUMMYFUNCTION("IMPORTRANGE(""https://docs.google.com/spreadsheets/d/1kKUcYdkIfrgTSj8iHHHB2MD2FAtwyyocFgqGQn6ADyI/edit?usp=sharing"",""กระบี่!I228"")+IMPORTRANGE(""https://docs.google.com/spreadsheets/d/1GwtLaSlNZkLk7iDqcyZz22giiy40b_usZZBXYciEN1U/edit?usp=sharing"",""ชุ"&amp;"มพร!I228"")+IMPORTRANGE(""https://docs.google.com/spreadsheets/d/16pAz3pOhQEZBhvFNMa5KGgZS6iKWpsKX0pg6tQmwFpo/edit?usp=sharing"",""ตรัง!I228"")+IMPORTRANGE(""https://docs.google.com/spreadsheets/d/1Dj4jcHCTV9JXKCaMoheSXS52JE63kDKyG7bPXnFogHk/edit?usp=shar"&amp;"ing"",""นครศรีธรรมราช!I228"")+IMPORTRANGE(""https://docs.google.com/spreadsheets/d/1iodCdmuK2GR3jzUwk8tpccY2JHQQA-87DLOtJP-ooyU/edit?usp=sharing"",""นราธิวาส!I228"")+IMPORTRANGE(""https://docs.google.com/spreadsheets/d/1SDNX3JhDdYRuIOsj0Wh2M-Qa_eaXl0NbWmh"&amp;"AOTbfQAs/edit?usp=sharing"",""ปัตตานี!I228"")+IMPORTRANGE(""https://docs.google.com/spreadsheets/d/16JDLGguT8s5DsGCND1KcwHP_AWR_zDMTqLHPLJUKhaU/edit?usp=sharing"",""พังงา!I228"")+IMPORTRANGE(""https://docs.google.com/spreadsheets/d/17ht0gPKzzT3PObBL1XJkeR"&amp;"mntBXI7wGjpLV7QorqlTk/edit?usp=sharing"",""พัทลุง!I228"")+IMPORTRANGE(""https://docs.google.com/spreadsheets/d/1rd4qoM1q_hsgaolqNGfrim9gbsoLxQsda4-vOz5x_BM/edit?usp=sharing"",""ภูเก็ต!I228"")+IMPORTRANGE(""https://docs.google.com/spreadsheets/d/1woKwKjgoL"&amp;"ssDvPcPeVyezB5izizAn4X1JDrys69n6xI/edit?usp=sharing"",""ยะลา!I228"")+IMPORTRANGE(""https://docs.google.com/spreadsheets/d/1qfrKjzMhm2HJfxQ-qVlJlJQ25Hne1d0khsySbZyGtPA/edit?usp=sharing"",""ระนอง!I228"")+IMPORTRANGE(""https://docs.google.com/spreadsheets/d/"&amp;"1IbSCnFOKpZsnFogBHJnL_isstZVaOMnFiIN0fGTPZZw/edit?usp=sharing"",""สงขลา!I228"")+IMPORTRANGE(""https://docs.google.com/spreadsheets/d/1q9nWasZJ-K8bFGvbE9n0qSRuKGA4Toe3Y89cKCiVtCU/edit?usp=sharing"",""สตูล!I228"")+IMPORTRANGE(""https://docs.google.com/sprea"&amp;"dsheets/d/18T20gbkS_WBjdscyTOV05cvq_JqvqQ17C81mpxf7Ncs/edit?usp=sharing"",""สุราษฎร์ธานี!I228"")"),239000)</f>
        <v>239000</v>
      </c>
      <c r="J228" s="238">
        <f ca="1">IFERROR(__xludf.DUMMYFUNCTION("IMPORTRANGE(""https://docs.google.com/spreadsheets/d/1kKUcYdkIfrgTSj8iHHHB2MD2FAtwyyocFgqGQn6ADyI/edit?usp=sharing"",""กระบี่!J228"")+IMPORTRANGE(""https://docs.google.com/spreadsheets/d/1GwtLaSlNZkLk7iDqcyZz22giiy40b_usZZBXYciEN1U/edit?usp=sharing"",""ชุ"&amp;"มพร!J228"")+IMPORTRANGE(""https://docs.google.com/spreadsheets/d/16pAz3pOhQEZBhvFNMa5KGgZS6iKWpsKX0pg6tQmwFpo/edit?usp=sharing"",""ตรัง!J228"")+IMPORTRANGE(""https://docs.google.com/spreadsheets/d/1Dj4jcHCTV9JXKCaMoheSXS52JE63kDKyG7bPXnFogHk/edit?usp=shar"&amp;"ing"",""นครศรีธรรมราช!J228"")+IMPORTRANGE(""https://docs.google.com/spreadsheets/d/1iodCdmuK2GR3jzUwk8tpccY2JHQQA-87DLOtJP-ooyU/edit?usp=sharing"",""นราธิวาส!J228"")+IMPORTRANGE(""https://docs.google.com/spreadsheets/d/1SDNX3JhDdYRuIOsj0Wh2M-Qa_eaXl0NbWmh"&amp;"AOTbfQAs/edit?usp=sharing"",""ปัตตานี!J228"")+IMPORTRANGE(""https://docs.google.com/spreadsheets/d/16JDLGguT8s5DsGCND1KcwHP_AWR_zDMTqLHPLJUKhaU/edit?usp=sharing"",""พังงา!J228"")+IMPORTRANGE(""https://docs.google.com/spreadsheets/d/17ht0gPKzzT3PObBL1XJkeR"&amp;"mntBXI7wGjpLV7QorqlTk/edit?usp=sharing"",""พัทลุง!J228"")+IMPORTRANGE(""https://docs.google.com/spreadsheets/d/1rd4qoM1q_hsgaolqNGfrim9gbsoLxQsda4-vOz5x_BM/edit?usp=sharing"",""ภูเก็ต!J228"")+IMPORTRANGE(""https://docs.google.com/spreadsheets/d/1woKwKjgoL"&amp;"ssDvPcPeVyezB5izizAn4X1JDrys69n6xI/edit?usp=sharing"",""ยะลา!J228"")+IMPORTRANGE(""https://docs.google.com/spreadsheets/d/1qfrKjzMhm2HJfxQ-qVlJlJQ25Hne1d0khsySbZyGtPA/edit?usp=sharing"",""ระนอง!J228"")+IMPORTRANGE(""https://docs.google.com/spreadsheets/d/"&amp;"1IbSCnFOKpZsnFogBHJnL_isstZVaOMnFiIN0fGTPZZw/edit?usp=sharing"",""สงขลา!J228"")+IMPORTRANGE(""https://docs.google.com/spreadsheets/d/1q9nWasZJ-K8bFGvbE9n0qSRuKGA4Toe3Y89cKCiVtCU/edit?usp=sharing"",""สตูล!J228"")+IMPORTRANGE(""https://docs.google.com/sprea"&amp;"dsheets/d/18T20gbkS_WBjdscyTOV05cvq_JqvqQ17C81mpxf7Ncs/edit?usp=sharing"",""สุราษฎร์ธานี!J228"")"),30000)</f>
        <v>30000</v>
      </c>
      <c r="K228" s="239">
        <f t="shared" ref="K228:K231" ca="1" si="183">IF(I228&gt;0,J228*100/I228,0)</f>
        <v>12.552301255230125</v>
      </c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238">
        <f ca="1">IFERROR(__xludf.DUMMYFUNCTION("IMPORTRANGE(""https://docs.google.com/spreadsheets/d/1kKUcYdkIfrgTSj8iHHHB2MD2FAtwyyocFgqGQn6ADyI/edit?usp=sharing"",""กระบี่!I229"")+IMPORTRANGE(""https://docs.google.com/spreadsheets/d/1GwtLaSlNZkLk7iDqcyZz22giiy40b_usZZBXYciEN1U/edit?usp=sharing"",""ชุ"&amp;"มพร!I229"")+IMPORTRANGE(""https://docs.google.com/spreadsheets/d/16pAz3pOhQEZBhvFNMa5KGgZS6iKWpsKX0pg6tQmwFpo/edit?usp=sharing"",""ตรัง!I229"")+IMPORTRANGE(""https://docs.google.com/spreadsheets/d/1Dj4jcHCTV9JXKCaMoheSXS52JE63kDKyG7bPXnFogHk/edit?usp=shar"&amp;"ing"",""นครศรีธรรมราช!I229"")+IMPORTRANGE(""https://docs.google.com/spreadsheets/d/1iodCdmuK2GR3jzUwk8tpccY2JHQQA-87DLOtJP-ooyU/edit?usp=sharing"",""นราธิวาส!I229"")+IMPORTRANGE(""https://docs.google.com/spreadsheets/d/1SDNX3JhDdYRuIOsj0Wh2M-Qa_eaXl0NbWmh"&amp;"AOTbfQAs/edit?usp=sharing"",""ปัตตานี!I229"")+IMPORTRANGE(""https://docs.google.com/spreadsheets/d/16JDLGguT8s5DsGCND1KcwHP_AWR_zDMTqLHPLJUKhaU/edit?usp=sharing"",""พังงา!I229"")+IMPORTRANGE(""https://docs.google.com/spreadsheets/d/17ht0gPKzzT3PObBL1XJkeR"&amp;"mntBXI7wGjpLV7QorqlTk/edit?usp=sharing"",""พัทลุง!I229"")+IMPORTRANGE(""https://docs.google.com/spreadsheets/d/1rd4qoM1q_hsgaolqNGfrim9gbsoLxQsda4-vOz5x_BM/edit?usp=sharing"",""ภูเก็ต!I229"")+IMPORTRANGE(""https://docs.google.com/spreadsheets/d/1woKwKjgoL"&amp;"ssDvPcPeVyezB5izizAn4X1JDrys69n6xI/edit?usp=sharing"",""ยะลา!I229"")+IMPORTRANGE(""https://docs.google.com/spreadsheets/d/1qfrKjzMhm2HJfxQ-qVlJlJQ25Hne1d0khsySbZyGtPA/edit?usp=sharing"",""ระนอง!I229"")+IMPORTRANGE(""https://docs.google.com/spreadsheets/d/"&amp;"1IbSCnFOKpZsnFogBHJnL_isstZVaOMnFiIN0fGTPZZw/edit?usp=sharing"",""สงขลา!I229"")+IMPORTRANGE(""https://docs.google.com/spreadsheets/d/1q9nWasZJ-K8bFGvbE9n0qSRuKGA4Toe3Y89cKCiVtCU/edit?usp=sharing"",""สตูล!I229"")+IMPORTRANGE(""https://docs.google.com/sprea"&amp;"dsheets/d/18T20gbkS_WBjdscyTOV05cvq_JqvqQ17C81mpxf7Ncs/edit?usp=sharing"",""สุราษฎร์ธานี!I229"")"),239000)</f>
        <v>239000</v>
      </c>
      <c r="J229" s="238">
        <f ca="1">IFERROR(__xludf.DUMMYFUNCTION("IMPORTRANGE(""https://docs.google.com/spreadsheets/d/1kKUcYdkIfrgTSj8iHHHB2MD2FAtwyyocFgqGQn6ADyI/edit?usp=sharing"",""กระบี่!J229"")+IMPORTRANGE(""https://docs.google.com/spreadsheets/d/1GwtLaSlNZkLk7iDqcyZz22giiy40b_usZZBXYciEN1U/edit?usp=sharing"",""ชุ"&amp;"มพร!J229"")+IMPORTRANGE(""https://docs.google.com/spreadsheets/d/16pAz3pOhQEZBhvFNMa5KGgZS6iKWpsKX0pg6tQmwFpo/edit?usp=sharing"",""ตรัง!J229"")+IMPORTRANGE(""https://docs.google.com/spreadsheets/d/1Dj4jcHCTV9JXKCaMoheSXS52JE63kDKyG7bPXnFogHk/edit?usp=shar"&amp;"ing"",""นครศรีธรรมราช!J229"")+IMPORTRANGE(""https://docs.google.com/spreadsheets/d/1iodCdmuK2GR3jzUwk8tpccY2JHQQA-87DLOtJP-ooyU/edit?usp=sharing"",""นราธิวาส!J229"")+IMPORTRANGE(""https://docs.google.com/spreadsheets/d/1SDNX3JhDdYRuIOsj0Wh2M-Qa_eaXl0NbWmh"&amp;"AOTbfQAs/edit?usp=sharing"",""ปัตตานี!J229"")+IMPORTRANGE(""https://docs.google.com/spreadsheets/d/16JDLGguT8s5DsGCND1KcwHP_AWR_zDMTqLHPLJUKhaU/edit?usp=sharing"",""พังงา!J229"")+IMPORTRANGE(""https://docs.google.com/spreadsheets/d/17ht0gPKzzT3PObBL1XJkeR"&amp;"mntBXI7wGjpLV7QorqlTk/edit?usp=sharing"",""พัทลุง!J229"")+IMPORTRANGE(""https://docs.google.com/spreadsheets/d/1rd4qoM1q_hsgaolqNGfrim9gbsoLxQsda4-vOz5x_BM/edit?usp=sharing"",""ภูเก็ต!J229"")+IMPORTRANGE(""https://docs.google.com/spreadsheets/d/1woKwKjgoL"&amp;"ssDvPcPeVyezB5izizAn4X1JDrys69n6xI/edit?usp=sharing"",""ยะลา!J229"")+IMPORTRANGE(""https://docs.google.com/spreadsheets/d/1qfrKjzMhm2HJfxQ-qVlJlJQ25Hne1d0khsySbZyGtPA/edit?usp=sharing"",""ระนอง!J229"")+IMPORTRANGE(""https://docs.google.com/spreadsheets/d/"&amp;"1IbSCnFOKpZsnFogBHJnL_isstZVaOMnFiIN0fGTPZZw/edit?usp=sharing"",""สงขลา!J229"")+IMPORTRANGE(""https://docs.google.com/spreadsheets/d/1q9nWasZJ-K8bFGvbE9n0qSRuKGA4Toe3Y89cKCiVtCU/edit?usp=sharing"",""สตูล!J229"")+IMPORTRANGE(""https://docs.google.com/sprea"&amp;"dsheets/d/18T20gbkS_WBjdscyTOV05cvq_JqvqQ17C81mpxf7Ncs/edit?usp=sharing"",""สุราษฎร์ธานี!J229"")"),0)</f>
        <v>0</v>
      </c>
      <c r="K229" s="239">
        <f t="shared" ca="1" si="183"/>
        <v>0</v>
      </c>
      <c r="L229" s="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238">
        <f ca="1">IFERROR(__xludf.DUMMYFUNCTION("IMPORTRANGE(""https://docs.google.com/spreadsheets/d/1kKUcYdkIfrgTSj8iHHHB2MD2FAtwyyocFgqGQn6ADyI/edit?usp=sharing"",""กระบี่!I230"")+IMPORTRANGE(""https://docs.google.com/spreadsheets/d/1GwtLaSlNZkLk7iDqcyZz22giiy40b_usZZBXYciEN1U/edit?usp=sharing"",""ชุ"&amp;"มพร!I230"")+IMPORTRANGE(""https://docs.google.com/spreadsheets/d/16pAz3pOhQEZBhvFNMa5KGgZS6iKWpsKX0pg6tQmwFpo/edit?usp=sharing"",""ตรัง!I230"")+IMPORTRANGE(""https://docs.google.com/spreadsheets/d/1Dj4jcHCTV9JXKCaMoheSXS52JE63kDKyG7bPXnFogHk/edit?usp=shar"&amp;"ing"",""นครศรีธรรมราช!I230"")+IMPORTRANGE(""https://docs.google.com/spreadsheets/d/1iodCdmuK2GR3jzUwk8tpccY2JHQQA-87DLOtJP-ooyU/edit?usp=sharing"",""นราธิวาส!I230"")+IMPORTRANGE(""https://docs.google.com/spreadsheets/d/1SDNX3JhDdYRuIOsj0Wh2M-Qa_eaXl0NbWmh"&amp;"AOTbfQAs/edit?usp=sharing"",""ปัตตานี!I230"")+IMPORTRANGE(""https://docs.google.com/spreadsheets/d/16JDLGguT8s5DsGCND1KcwHP_AWR_zDMTqLHPLJUKhaU/edit?usp=sharing"",""พังงา!I230"")+IMPORTRANGE(""https://docs.google.com/spreadsheets/d/17ht0gPKzzT3PObBL1XJkeR"&amp;"mntBXI7wGjpLV7QorqlTk/edit?usp=sharing"",""พัทลุง!I230"")+IMPORTRANGE(""https://docs.google.com/spreadsheets/d/1rd4qoM1q_hsgaolqNGfrim9gbsoLxQsda4-vOz5x_BM/edit?usp=sharing"",""ภูเก็ต!I230"")+IMPORTRANGE(""https://docs.google.com/spreadsheets/d/1woKwKjgoL"&amp;"ssDvPcPeVyezB5izizAn4X1JDrys69n6xI/edit?usp=sharing"",""ยะลา!I230"")+IMPORTRANGE(""https://docs.google.com/spreadsheets/d/1qfrKjzMhm2HJfxQ-qVlJlJQ25Hne1d0khsySbZyGtPA/edit?usp=sharing"",""ระนอง!I230"")+IMPORTRANGE(""https://docs.google.com/spreadsheets/d/"&amp;"1IbSCnFOKpZsnFogBHJnL_isstZVaOMnFiIN0fGTPZZw/edit?usp=sharing"",""สงขลา!I230"")+IMPORTRANGE(""https://docs.google.com/spreadsheets/d/1q9nWasZJ-K8bFGvbE9n0qSRuKGA4Toe3Y89cKCiVtCU/edit?usp=sharing"",""สตูล!I230"")+IMPORTRANGE(""https://docs.google.com/sprea"&amp;"dsheets/d/18T20gbkS_WBjdscyTOV05cvq_JqvqQ17C81mpxf7Ncs/edit?usp=sharing"",""สุราษฎร์ธานี!I230"")"),0)</f>
        <v>0</v>
      </c>
      <c r="J230" s="238">
        <f ca="1">IFERROR(__xludf.DUMMYFUNCTION("IMPORTRANGE(""https://docs.google.com/spreadsheets/d/1kKUcYdkIfrgTSj8iHHHB2MD2FAtwyyocFgqGQn6ADyI/edit?usp=sharing"",""กระบี่!J230"")+IMPORTRANGE(""https://docs.google.com/spreadsheets/d/1GwtLaSlNZkLk7iDqcyZz22giiy40b_usZZBXYciEN1U/edit?usp=sharing"",""ชุ"&amp;"มพร!J230"")+IMPORTRANGE(""https://docs.google.com/spreadsheets/d/16pAz3pOhQEZBhvFNMa5KGgZS6iKWpsKX0pg6tQmwFpo/edit?usp=sharing"",""ตรัง!J230"")+IMPORTRANGE(""https://docs.google.com/spreadsheets/d/1Dj4jcHCTV9JXKCaMoheSXS52JE63kDKyG7bPXnFogHk/edit?usp=shar"&amp;"ing"",""นครศรีธรรมราช!J230"")+IMPORTRANGE(""https://docs.google.com/spreadsheets/d/1iodCdmuK2GR3jzUwk8tpccY2JHQQA-87DLOtJP-ooyU/edit?usp=sharing"",""นราธิวาส!J230"")+IMPORTRANGE(""https://docs.google.com/spreadsheets/d/1SDNX3JhDdYRuIOsj0Wh2M-Qa_eaXl0NbWmh"&amp;"AOTbfQAs/edit?usp=sharing"",""ปัตตานี!J230"")+IMPORTRANGE(""https://docs.google.com/spreadsheets/d/16JDLGguT8s5DsGCND1KcwHP_AWR_zDMTqLHPLJUKhaU/edit?usp=sharing"",""พังงา!J230"")+IMPORTRANGE(""https://docs.google.com/spreadsheets/d/17ht0gPKzzT3PObBL1XJkeR"&amp;"mntBXI7wGjpLV7QorqlTk/edit?usp=sharing"",""พัทลุง!J230"")+IMPORTRANGE(""https://docs.google.com/spreadsheets/d/1rd4qoM1q_hsgaolqNGfrim9gbsoLxQsda4-vOz5x_BM/edit?usp=sharing"",""ภูเก็ต!J230"")+IMPORTRANGE(""https://docs.google.com/spreadsheets/d/1woKwKjgoL"&amp;"ssDvPcPeVyezB5izizAn4X1JDrys69n6xI/edit?usp=sharing"",""ยะลา!J230"")+IMPORTRANGE(""https://docs.google.com/spreadsheets/d/1qfrKjzMhm2HJfxQ-qVlJlJQ25Hne1d0khsySbZyGtPA/edit?usp=sharing"",""ระนอง!J230"")+IMPORTRANGE(""https://docs.google.com/spreadsheets/d/"&amp;"1IbSCnFOKpZsnFogBHJnL_isstZVaOMnFiIN0fGTPZZw/edit?usp=sharing"",""สงขลา!J230"")+IMPORTRANGE(""https://docs.google.com/spreadsheets/d/1q9nWasZJ-K8bFGvbE9n0qSRuKGA4Toe3Y89cKCiVtCU/edit?usp=sharing"",""สตูล!J230"")+IMPORTRANGE(""https://docs.google.com/sprea"&amp;"dsheets/d/18T20gbkS_WBjdscyTOV05cvq_JqvqQ17C81mpxf7Ncs/edit?usp=sharing"",""สุราษฎร์ธานี!J230"")"),0)</f>
        <v>0</v>
      </c>
      <c r="K230" s="239">
        <f t="shared" ca="1" si="183"/>
        <v>0</v>
      </c>
      <c r="L230" s="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x14ac:dyDescent="0.3">
      <c r="A231" s="222"/>
      <c r="B231" s="223"/>
      <c r="C231" s="224" t="s">
        <v>105</v>
      </c>
      <c r="D231" s="225"/>
      <c r="E231" s="225"/>
      <c r="F231" s="225"/>
      <c r="G231" s="226"/>
      <c r="H231" s="227" t="s">
        <v>35</v>
      </c>
      <c r="I231" s="228">
        <f t="shared" ref="I231:J231" si="184">I242+I253</f>
        <v>0</v>
      </c>
      <c r="J231" s="228">
        <f t="shared" si="184"/>
        <v>0</v>
      </c>
      <c r="K231" s="229">
        <f t="shared" si="183"/>
        <v>0</v>
      </c>
      <c r="L231" s="230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x14ac:dyDescent="0.3">
      <c r="A232" s="128"/>
      <c r="B232" s="41"/>
      <c r="C232" s="129" t="s">
        <v>18</v>
      </c>
      <c r="D232" s="130" t="s">
        <v>19</v>
      </c>
      <c r="E232" s="41"/>
      <c r="F232" s="41"/>
      <c r="G232" s="43"/>
      <c r="H232" s="232" t="s">
        <v>14</v>
      </c>
      <c r="I232" s="135"/>
      <c r="J232" s="135"/>
      <c r="K232" s="136"/>
      <c r="L232" s="132">
        <f t="shared" ref="L232:N232" ca="1" si="185">L233+L234+L235+L236</f>
        <v>409600</v>
      </c>
      <c r="M232" s="132">
        <f t="shared" ca="1" si="185"/>
        <v>0</v>
      </c>
      <c r="N232" s="132">
        <f t="shared" ca="1" si="185"/>
        <v>170699.40999999997</v>
      </c>
      <c r="O232" s="132">
        <f ca="1">IF(L232&gt;0,N232*100/L232,0)</f>
        <v>41.674660644531244</v>
      </c>
      <c r="P232" s="46"/>
      <c r="Q232" s="132">
        <f t="shared" ref="Q232:S232" ca="1" si="186">Q233+Q234+Q235+Q236</f>
        <v>0</v>
      </c>
      <c r="R232" s="132">
        <f t="shared" ca="1" si="186"/>
        <v>0</v>
      </c>
      <c r="S232" s="132">
        <f t="shared" ca="1" si="186"/>
        <v>0</v>
      </c>
      <c r="T232" s="46"/>
      <c r="U232" s="46"/>
    </row>
    <row r="233" spans="1:21" ht="18.75" x14ac:dyDescent="0.25">
      <c r="A233" s="128"/>
      <c r="B233" s="159"/>
      <c r="C233" s="41"/>
      <c r="D233" s="48" t="s">
        <v>86</v>
      </c>
      <c r="E233" s="41"/>
      <c r="F233" s="41"/>
      <c r="G233" s="43"/>
      <c r="H233" s="134" t="s">
        <v>14</v>
      </c>
      <c r="I233" s="135"/>
      <c r="J233" s="135"/>
      <c r="K233" s="136"/>
      <c r="L233" s="47">
        <f ca="1">IFERROR(__xludf.DUMMYFUNCTION("IMPORTRANGE(""https://docs.google.com/spreadsheets/d/1kKUcYdkIfrgTSj8iHHHB2MD2FAtwyyocFgqGQn6ADyI/edit?usp=sharing"",""กระบี่!L233"")+IMPORTRANGE(""https://docs.google.com/spreadsheets/d/1GwtLaSlNZkLk7iDqcyZz22giiy40b_usZZBXYciEN1U/edit?usp=sharing"",""ชุ"&amp;"มพร!L233"")+IMPORTRANGE(""https://docs.google.com/spreadsheets/d/16pAz3pOhQEZBhvFNMa5KGgZS6iKWpsKX0pg6tQmwFpo/edit?usp=sharing"",""ตรัง!L233"")+IMPORTRANGE(""https://docs.google.com/spreadsheets/d/1Dj4jcHCTV9JXKCaMoheSXS52JE63kDKyG7bPXnFogHk/edit?usp=shar"&amp;"ing"",""นครศรีธรรมราช!L233"")+IMPORTRANGE(""https://docs.google.com/spreadsheets/d/1iodCdmuK2GR3jzUwk8tpccY2JHQQA-87DLOtJP-ooyU/edit?usp=sharing"",""นราธิวาส!L233"")+IMPORTRANGE(""https://docs.google.com/spreadsheets/d/1SDNX3JhDdYRuIOsj0Wh2M-Qa_eaXl0NbWmh"&amp;"AOTbfQAs/edit?usp=sharing"",""ปัตตานี!L233"")+IMPORTRANGE(""https://docs.google.com/spreadsheets/d/16JDLGguT8s5DsGCND1KcwHP_AWR_zDMTqLHPLJUKhaU/edit?usp=sharing"",""พังงา!L233"")+IMPORTRANGE(""https://docs.google.com/spreadsheets/d/17ht0gPKzzT3PObBL1XJkeR"&amp;"mntBXI7wGjpLV7QorqlTk/edit?usp=sharing"",""พัทลุง!L233"")+IMPORTRANGE(""https://docs.google.com/spreadsheets/d/1rd4qoM1q_hsgaolqNGfrim9gbsoLxQsda4-vOz5x_BM/edit?usp=sharing"",""ภูเก็ต!L233"")+IMPORTRANGE(""https://docs.google.com/spreadsheets/d/1woKwKjgoL"&amp;"ssDvPcPeVyezB5izizAn4X1JDrys69n6xI/edit?usp=sharing"",""ยะลา!L233"")+IMPORTRANGE(""https://docs.google.com/spreadsheets/d/1qfrKjzMhm2HJfxQ-qVlJlJQ25Hne1d0khsySbZyGtPA/edit?usp=sharing"",""ระนอง!L233"")+IMPORTRANGE(""https://docs.google.com/spreadsheets/d/"&amp;"1IbSCnFOKpZsnFogBHJnL_isstZVaOMnFiIN0fGTPZZw/edit?usp=sharing"",""สงขลา!L233"")+IMPORTRANGE(""https://docs.google.com/spreadsheets/d/1q9nWasZJ-K8bFGvbE9n0qSRuKGA4Toe3Y89cKCiVtCU/edit?usp=sharing"",""สตูล!L233"")+IMPORTRANGE(""https://docs.google.com/sprea"&amp;"dsheets/d/18T20gbkS_WBjdscyTOV05cvq_JqvqQ17C81mpxf7Ncs/edit?usp=sharing"",""สุราษฎร์ธานี!L233"")"),167000)</f>
        <v>167000</v>
      </c>
      <c r="M233" s="47">
        <f ca="1">IFERROR(__xludf.DUMMYFUNCTION("IMPORTRANGE(""https://docs.google.com/spreadsheets/d/1kKUcYdkIfrgTSj8iHHHB2MD2FAtwyyocFgqGQn6ADyI/edit?usp=sharing"",""กระบี่!M233"")+IMPORTRANGE(""https://docs.google.com/spreadsheets/d/1GwtLaSlNZkLk7iDqcyZz22giiy40b_usZZBXYciEN1U/edit?usp=sharing"",""ชุ"&amp;"มพร!M233"")+IMPORTRANGE(""https://docs.google.com/spreadsheets/d/16pAz3pOhQEZBhvFNMa5KGgZS6iKWpsKX0pg6tQmwFpo/edit?usp=sharing"",""ตรัง!M233"")+IMPORTRANGE(""https://docs.google.com/spreadsheets/d/1Dj4jcHCTV9JXKCaMoheSXS52JE63kDKyG7bPXnFogHk/edit?usp=shar"&amp;"ing"",""นครศรีธรรมราช!M233"")+IMPORTRANGE(""https://docs.google.com/spreadsheets/d/1iodCdmuK2GR3jzUwk8tpccY2JHQQA-87DLOtJP-ooyU/edit?usp=sharing"",""นราธิวาส!M233"")+IMPORTRANGE(""https://docs.google.com/spreadsheets/d/1SDNX3JhDdYRuIOsj0Wh2M-Qa_eaXl0NbWmh"&amp;"AOTbfQAs/edit?usp=sharing"",""ปัตตานี!M233"")+IMPORTRANGE(""https://docs.google.com/spreadsheets/d/16JDLGguT8s5DsGCND1KcwHP_AWR_zDMTqLHPLJUKhaU/edit?usp=sharing"",""พังงา!M233"")+IMPORTRANGE(""https://docs.google.com/spreadsheets/d/17ht0gPKzzT3PObBL1XJkeR"&amp;"mntBXI7wGjpLV7QorqlTk/edit?usp=sharing"",""พัทลุง!M233"")+IMPORTRANGE(""https://docs.google.com/spreadsheets/d/1rd4qoM1q_hsgaolqNGfrim9gbsoLxQsda4-vOz5x_BM/edit?usp=sharing"",""ภูเก็ต!M233"")+IMPORTRANGE(""https://docs.google.com/spreadsheets/d/1woKwKjgoL"&amp;"ssDvPcPeVyezB5izizAn4X1JDrys69n6xI/edit?usp=sharing"",""ยะลา!M233"")+IMPORTRANGE(""https://docs.google.com/spreadsheets/d/1qfrKjzMhm2HJfxQ-qVlJlJQ25Hne1d0khsySbZyGtPA/edit?usp=sharing"",""ระนอง!M233"")+IMPORTRANGE(""https://docs.google.com/spreadsheets/d/"&amp;"1IbSCnFOKpZsnFogBHJnL_isstZVaOMnFiIN0fGTPZZw/edit?usp=sharing"",""สงขลา!M233"")+IMPORTRANGE(""https://docs.google.com/spreadsheets/d/1q9nWasZJ-K8bFGvbE9n0qSRuKGA4Toe3Y89cKCiVtCU/edit?usp=sharing"",""สตูล!M233"")+IMPORTRANGE(""https://docs.google.com/sprea"&amp;"dsheets/d/18T20gbkS_WBjdscyTOV05cvq_JqvqQ17C81mpxf7Ncs/edit?usp=sharing"",""สุราษฎร์ธานี!M233"")"),0)</f>
        <v>0</v>
      </c>
      <c r="N233" s="47">
        <f ca="1">IFERROR(__xludf.DUMMYFUNCTION("IMPORTRANGE(""https://docs.google.com/spreadsheets/d/1kKUcYdkIfrgTSj8iHHHB2MD2FAtwyyocFgqGQn6ADyI/edit?usp=sharing"",""กระบี่!N233"")+IMPORTRANGE(""https://docs.google.com/spreadsheets/d/1GwtLaSlNZkLk7iDqcyZz22giiy40b_usZZBXYciEN1U/edit?usp=sharing"",""ชุ"&amp;"มพร!N233"")+IMPORTRANGE(""https://docs.google.com/spreadsheets/d/16pAz3pOhQEZBhvFNMa5KGgZS6iKWpsKX0pg6tQmwFpo/edit?usp=sharing"",""ตรัง!N233"")+IMPORTRANGE(""https://docs.google.com/spreadsheets/d/1Dj4jcHCTV9JXKCaMoheSXS52JE63kDKyG7bPXnFogHk/edit?usp=shar"&amp;"ing"",""นครศรีธรรมราช!N233"")+IMPORTRANGE(""https://docs.google.com/spreadsheets/d/1iodCdmuK2GR3jzUwk8tpccY2JHQQA-87DLOtJP-ooyU/edit?usp=sharing"",""นราธิวาส!N233"")+IMPORTRANGE(""https://docs.google.com/spreadsheets/d/1SDNX3JhDdYRuIOsj0Wh2M-Qa_eaXl0NbWmh"&amp;"AOTbfQAs/edit?usp=sharing"",""ปัตตานี!N233"")+IMPORTRANGE(""https://docs.google.com/spreadsheets/d/16JDLGguT8s5DsGCND1KcwHP_AWR_zDMTqLHPLJUKhaU/edit?usp=sharing"",""พังงา!N233"")+IMPORTRANGE(""https://docs.google.com/spreadsheets/d/17ht0gPKzzT3PObBL1XJkeR"&amp;"mntBXI7wGjpLV7QorqlTk/edit?usp=sharing"",""พัทลุง!N233"")+IMPORTRANGE(""https://docs.google.com/spreadsheets/d/1rd4qoM1q_hsgaolqNGfrim9gbsoLxQsda4-vOz5x_BM/edit?usp=sharing"",""ภูเก็ต!N233"")+IMPORTRANGE(""https://docs.google.com/spreadsheets/d/1woKwKjgoL"&amp;"ssDvPcPeVyezB5izizAn4X1JDrys69n6xI/edit?usp=sharing"",""ยะลา!N233"")+IMPORTRANGE(""https://docs.google.com/spreadsheets/d/1qfrKjzMhm2HJfxQ-qVlJlJQ25Hne1d0khsySbZyGtPA/edit?usp=sharing"",""ระนอง!N233"")+IMPORTRANGE(""https://docs.google.com/spreadsheets/d/"&amp;"1IbSCnFOKpZsnFogBHJnL_isstZVaOMnFiIN0fGTPZZw/edit?usp=sharing"",""สงขลา!N233"")+IMPORTRANGE(""https://docs.google.com/spreadsheets/d/1q9nWasZJ-K8bFGvbE9n0qSRuKGA4Toe3Y89cKCiVtCU/edit?usp=sharing"",""สตูล!N233"")+IMPORTRANGE(""https://docs.google.com/sprea"&amp;"dsheets/d/18T20gbkS_WBjdscyTOV05cvq_JqvqQ17C81mpxf7Ncs/edit?usp=sharing"",""สุราษฎร์ธานี!N233"")"),12138.4)</f>
        <v>12138.4</v>
      </c>
      <c r="O233" s="46"/>
      <c r="P233" s="46"/>
      <c r="Q233" s="47">
        <f ca="1">IFERROR(__xludf.DUMMYFUNCTION("IMPORTRANGE(""https://docs.google.com/spreadsheets/d/1kKUcYdkIfrgTSj8iHHHB2MD2FAtwyyocFgqGQn6ADyI/edit?usp=sharing"",""กระบี่!Q233"")+IMPORTRANGE(""https://docs.google.com/spreadsheets/d/1GwtLaSlNZkLk7iDqcyZz22giiy40b_usZZBXYciEN1U/edit?usp=sharing"",""ชุ"&amp;"มพร!Q233"")+IMPORTRANGE(""https://docs.google.com/spreadsheets/d/16pAz3pOhQEZBhvFNMa5KGgZS6iKWpsKX0pg6tQmwFpo/edit?usp=sharing"",""ตรัง!Q233"")+IMPORTRANGE(""https://docs.google.com/spreadsheets/d/1Dj4jcHCTV9JXKCaMoheSXS52JE63kDKyG7bPXnFogHk/edit?usp=shar"&amp;"ing"",""นครศรีธรรมราช!Q233"")+IMPORTRANGE(""https://docs.google.com/spreadsheets/d/1iodCdmuK2GR3jzUwk8tpccY2JHQQA-87DLOtJP-ooyU/edit?usp=sharing"",""นราธิวาส!Q233"")+IMPORTRANGE(""https://docs.google.com/spreadsheets/d/1SDNX3JhDdYRuIOsj0Wh2M-Qa_eaXl0NbWmh"&amp;"AOTbfQAs/edit?usp=sharing"",""ปัตตานี!Q233"")+IMPORTRANGE(""https://docs.google.com/spreadsheets/d/16JDLGguT8s5DsGCND1KcwHP_AWR_zDMTqLHPLJUKhaU/edit?usp=sharing"",""พังงา!Q233"")+IMPORTRANGE(""https://docs.google.com/spreadsheets/d/17ht0gPKzzT3PObBL1XJkeR"&amp;"mntBXI7wGjpLV7QorqlTk/edit?usp=sharing"",""พัทลุง!Q233"")+IMPORTRANGE(""https://docs.google.com/spreadsheets/d/1rd4qoM1q_hsgaolqNGfrim9gbsoLxQsda4-vOz5x_BM/edit?usp=sharing"",""ภูเก็ต!Q233"")+IMPORTRANGE(""https://docs.google.com/spreadsheets/d/1woKwKjgoL"&amp;"ssDvPcPeVyezB5izizAn4X1JDrys69n6xI/edit?usp=sharing"",""ยะลา!Q233"")+IMPORTRANGE(""https://docs.google.com/spreadsheets/d/1qfrKjzMhm2HJfxQ-qVlJlJQ25Hne1d0khsySbZyGtPA/edit?usp=sharing"",""ระนอง!Q233"")+IMPORTRANGE(""https://docs.google.com/spreadsheets/d/"&amp;"1IbSCnFOKpZsnFogBHJnL_isstZVaOMnFiIN0fGTPZZw/edit?usp=sharing"",""สงขลา!Q233"")+IMPORTRANGE(""https://docs.google.com/spreadsheets/d/1q9nWasZJ-K8bFGvbE9n0qSRuKGA4Toe3Y89cKCiVtCU/edit?usp=sharing"",""สตูล!Q233"")+IMPORTRANGE(""https://docs.google.com/sprea"&amp;"dsheets/d/18T20gbkS_WBjdscyTOV05cvq_JqvqQ17C81mpxf7Ncs/edit?usp=sharing"",""สุราษฎร์ธานี!Q233"")"),0)</f>
        <v>0</v>
      </c>
      <c r="R233" s="47">
        <f ca="1">IFERROR(__xludf.DUMMYFUNCTION("IMPORTRANGE(""https://docs.google.com/spreadsheets/d/1kKUcYdkIfrgTSj8iHHHB2MD2FAtwyyocFgqGQn6ADyI/edit?usp=sharing"",""กระบี่!R233"")+IMPORTRANGE(""https://docs.google.com/spreadsheets/d/1GwtLaSlNZkLk7iDqcyZz22giiy40b_usZZBXYciEN1U/edit?usp=sharing"",""ชุ"&amp;"มพร!R233"")+IMPORTRANGE(""https://docs.google.com/spreadsheets/d/16pAz3pOhQEZBhvFNMa5KGgZS6iKWpsKX0pg6tQmwFpo/edit?usp=sharing"",""ตรัง!R233"")+IMPORTRANGE(""https://docs.google.com/spreadsheets/d/1Dj4jcHCTV9JXKCaMoheSXS52JE63kDKyG7bPXnFogHk/edit?usp=shar"&amp;"ing"",""นครศรีธรรมราช!R233"")+IMPORTRANGE(""https://docs.google.com/spreadsheets/d/1iodCdmuK2GR3jzUwk8tpccY2JHQQA-87DLOtJP-ooyU/edit?usp=sharing"",""นราธิวาส!R233"")+IMPORTRANGE(""https://docs.google.com/spreadsheets/d/1SDNX3JhDdYRuIOsj0Wh2M-Qa_eaXl0NbWmh"&amp;"AOTbfQAs/edit?usp=sharing"",""ปัตตานี!R233"")+IMPORTRANGE(""https://docs.google.com/spreadsheets/d/16JDLGguT8s5DsGCND1KcwHP_AWR_zDMTqLHPLJUKhaU/edit?usp=sharing"",""พังงา!R233"")+IMPORTRANGE(""https://docs.google.com/spreadsheets/d/17ht0gPKzzT3PObBL1XJkeR"&amp;"mntBXI7wGjpLV7QorqlTk/edit?usp=sharing"",""พัทลุง!R233"")+IMPORTRANGE(""https://docs.google.com/spreadsheets/d/1rd4qoM1q_hsgaolqNGfrim9gbsoLxQsda4-vOz5x_BM/edit?usp=sharing"",""ภูเก็ต!R233"")+IMPORTRANGE(""https://docs.google.com/spreadsheets/d/1woKwKjgoL"&amp;"ssDvPcPeVyezB5izizAn4X1JDrys69n6xI/edit?usp=sharing"",""ยะลา!R233"")+IMPORTRANGE(""https://docs.google.com/spreadsheets/d/1qfrKjzMhm2HJfxQ-qVlJlJQ25Hne1d0khsySbZyGtPA/edit?usp=sharing"",""ระนอง!R233"")+IMPORTRANGE(""https://docs.google.com/spreadsheets/d/"&amp;"1IbSCnFOKpZsnFogBHJnL_isstZVaOMnFiIN0fGTPZZw/edit?usp=sharing"",""สงขลา!R233"")+IMPORTRANGE(""https://docs.google.com/spreadsheets/d/1q9nWasZJ-K8bFGvbE9n0qSRuKGA4Toe3Y89cKCiVtCU/edit?usp=sharing"",""สตูล!R233"")+IMPORTRANGE(""https://docs.google.com/sprea"&amp;"dsheets/d/18T20gbkS_WBjdscyTOV05cvq_JqvqQ17C81mpxf7Ncs/edit?usp=sharing"",""สุราษฎร์ธานี!R233"")"),0)</f>
        <v>0</v>
      </c>
      <c r="S233" s="47">
        <f ca="1">IFERROR(__xludf.DUMMYFUNCTION("IMPORTRANGE(""https://docs.google.com/spreadsheets/d/1kKUcYdkIfrgTSj8iHHHB2MD2FAtwyyocFgqGQn6ADyI/edit?usp=sharing"",""กระบี่!S233"")+IMPORTRANGE(""https://docs.google.com/spreadsheets/d/1GwtLaSlNZkLk7iDqcyZz22giiy40b_usZZBXYciEN1U/edit?usp=sharing"",""ชุ"&amp;"มพร!S233"")+IMPORTRANGE(""https://docs.google.com/spreadsheets/d/16pAz3pOhQEZBhvFNMa5KGgZS6iKWpsKX0pg6tQmwFpo/edit?usp=sharing"",""ตรัง!S233"")+IMPORTRANGE(""https://docs.google.com/spreadsheets/d/1Dj4jcHCTV9JXKCaMoheSXS52JE63kDKyG7bPXnFogHk/edit?usp=shar"&amp;"ing"",""นครศรีธรรมราช!S233"")+IMPORTRANGE(""https://docs.google.com/spreadsheets/d/1iodCdmuK2GR3jzUwk8tpccY2JHQQA-87DLOtJP-ooyU/edit?usp=sharing"",""นราธิวาส!S233"")+IMPORTRANGE(""https://docs.google.com/spreadsheets/d/1SDNX3JhDdYRuIOsj0Wh2M-Qa_eaXl0NbWmh"&amp;"AOTbfQAs/edit?usp=sharing"",""ปัตตานี!S233"")+IMPORTRANGE(""https://docs.google.com/spreadsheets/d/16JDLGguT8s5DsGCND1KcwHP_AWR_zDMTqLHPLJUKhaU/edit?usp=sharing"",""พังงา!S233"")+IMPORTRANGE(""https://docs.google.com/spreadsheets/d/17ht0gPKzzT3PObBL1XJkeR"&amp;"mntBXI7wGjpLV7QorqlTk/edit?usp=sharing"",""พัทลุง!S233"")+IMPORTRANGE(""https://docs.google.com/spreadsheets/d/1rd4qoM1q_hsgaolqNGfrim9gbsoLxQsda4-vOz5x_BM/edit?usp=sharing"",""ภูเก็ต!S233"")+IMPORTRANGE(""https://docs.google.com/spreadsheets/d/1woKwKjgoL"&amp;"ssDvPcPeVyezB5izizAn4X1JDrys69n6xI/edit?usp=sharing"",""ยะลา!S233"")+IMPORTRANGE(""https://docs.google.com/spreadsheets/d/1qfrKjzMhm2HJfxQ-qVlJlJQ25Hne1d0khsySbZyGtPA/edit?usp=sharing"",""ระนอง!S233"")+IMPORTRANGE(""https://docs.google.com/spreadsheets/d/"&amp;"1IbSCnFOKpZsnFogBHJnL_isstZVaOMnFiIN0fGTPZZw/edit?usp=sharing"",""สงขลา!S233"")+IMPORTRANGE(""https://docs.google.com/spreadsheets/d/1q9nWasZJ-K8bFGvbE9n0qSRuKGA4Toe3Y89cKCiVtCU/edit?usp=sharing"",""สตูล!S233"")+IMPORTRANGE(""https://docs.google.com/sprea"&amp;"dsheets/d/18T20gbkS_WBjdscyTOV05cvq_JqvqQ17C81mpxf7Ncs/edit?usp=sharing"",""สุราษฎร์ธานี!S233"")"),0)</f>
        <v>0</v>
      </c>
      <c r="T233" s="46"/>
      <c r="U233" s="46"/>
    </row>
    <row r="234" spans="1:21" ht="18.75" x14ac:dyDescent="0.25">
      <c r="A234" s="217"/>
      <c r="B234" s="159"/>
      <c r="C234" s="159"/>
      <c r="D234" s="48" t="s">
        <v>88</v>
      </c>
      <c r="E234" s="41"/>
      <c r="F234" s="41"/>
      <c r="G234" s="43"/>
      <c r="H234" s="134" t="s">
        <v>14</v>
      </c>
      <c r="I234" s="45"/>
      <c r="J234" s="45"/>
      <c r="K234" s="46"/>
      <c r="L234" s="47">
        <f ca="1">IFERROR(__xludf.DUMMYFUNCTION("IMPORTRANGE(""https://docs.google.com/spreadsheets/d/1kKUcYdkIfrgTSj8iHHHB2MD2FAtwyyocFgqGQn6ADyI/edit?usp=sharing"",""กระบี่!L234"")+IMPORTRANGE(""https://docs.google.com/spreadsheets/d/1GwtLaSlNZkLk7iDqcyZz22giiy40b_usZZBXYciEN1U/edit?usp=sharing"",""ชุ"&amp;"มพร!L234"")+IMPORTRANGE(""https://docs.google.com/spreadsheets/d/16pAz3pOhQEZBhvFNMa5KGgZS6iKWpsKX0pg6tQmwFpo/edit?usp=sharing"",""ตรัง!L234"")+IMPORTRANGE(""https://docs.google.com/spreadsheets/d/1Dj4jcHCTV9JXKCaMoheSXS52JE63kDKyG7bPXnFogHk/edit?usp=shar"&amp;"ing"",""นครศรีธรรมราช!L234"")+IMPORTRANGE(""https://docs.google.com/spreadsheets/d/1iodCdmuK2GR3jzUwk8tpccY2JHQQA-87DLOtJP-ooyU/edit?usp=sharing"",""นราธิวาส!L234"")+IMPORTRANGE(""https://docs.google.com/spreadsheets/d/1SDNX3JhDdYRuIOsj0Wh2M-Qa_eaXl0NbWmh"&amp;"AOTbfQAs/edit?usp=sharing"",""ปัตตานี!L234"")+IMPORTRANGE(""https://docs.google.com/spreadsheets/d/16JDLGguT8s5DsGCND1KcwHP_AWR_zDMTqLHPLJUKhaU/edit?usp=sharing"",""พังงา!L234"")+IMPORTRANGE(""https://docs.google.com/spreadsheets/d/17ht0gPKzzT3PObBL1XJkeR"&amp;"mntBXI7wGjpLV7QorqlTk/edit?usp=sharing"",""พัทลุง!L234"")+IMPORTRANGE(""https://docs.google.com/spreadsheets/d/1rd4qoM1q_hsgaolqNGfrim9gbsoLxQsda4-vOz5x_BM/edit?usp=sharing"",""ภูเก็ต!L234"")+IMPORTRANGE(""https://docs.google.com/spreadsheets/d/1woKwKjgoL"&amp;"ssDvPcPeVyezB5izizAn4X1JDrys69n6xI/edit?usp=sharing"",""ยะลา!L234"")+IMPORTRANGE(""https://docs.google.com/spreadsheets/d/1qfrKjzMhm2HJfxQ-qVlJlJQ25Hne1d0khsySbZyGtPA/edit?usp=sharing"",""ระนอง!L234"")+IMPORTRANGE(""https://docs.google.com/spreadsheets/d/"&amp;"1IbSCnFOKpZsnFogBHJnL_isstZVaOMnFiIN0fGTPZZw/edit?usp=sharing"",""สงขลา!L234"")+IMPORTRANGE(""https://docs.google.com/spreadsheets/d/1q9nWasZJ-K8bFGvbE9n0qSRuKGA4Toe3Y89cKCiVtCU/edit?usp=sharing"",""สตูล!L234"")+IMPORTRANGE(""https://docs.google.com/sprea"&amp;"dsheets/d/18T20gbkS_WBjdscyTOV05cvq_JqvqQ17C81mpxf7Ncs/edit?usp=sharing"",""สุราษฎร์ธานี!L234"")"),10000)</f>
        <v>10000</v>
      </c>
      <c r="M234" s="47">
        <f ca="1">IFERROR(__xludf.DUMMYFUNCTION("IMPORTRANGE(""https://docs.google.com/spreadsheets/d/1kKUcYdkIfrgTSj8iHHHB2MD2FAtwyyocFgqGQn6ADyI/edit?usp=sharing"",""กระบี่!M234"")+IMPORTRANGE(""https://docs.google.com/spreadsheets/d/1GwtLaSlNZkLk7iDqcyZz22giiy40b_usZZBXYciEN1U/edit?usp=sharing"",""ชุ"&amp;"มพร!M234"")+IMPORTRANGE(""https://docs.google.com/spreadsheets/d/16pAz3pOhQEZBhvFNMa5KGgZS6iKWpsKX0pg6tQmwFpo/edit?usp=sharing"",""ตรัง!M234"")+IMPORTRANGE(""https://docs.google.com/spreadsheets/d/1Dj4jcHCTV9JXKCaMoheSXS52JE63kDKyG7bPXnFogHk/edit?usp=shar"&amp;"ing"",""นครศรีธรรมราช!M234"")+IMPORTRANGE(""https://docs.google.com/spreadsheets/d/1iodCdmuK2GR3jzUwk8tpccY2JHQQA-87DLOtJP-ooyU/edit?usp=sharing"",""นราธิวาส!M234"")+IMPORTRANGE(""https://docs.google.com/spreadsheets/d/1SDNX3JhDdYRuIOsj0Wh2M-Qa_eaXl0NbWmh"&amp;"AOTbfQAs/edit?usp=sharing"",""ปัตตานี!M234"")+IMPORTRANGE(""https://docs.google.com/spreadsheets/d/16JDLGguT8s5DsGCND1KcwHP_AWR_zDMTqLHPLJUKhaU/edit?usp=sharing"",""พังงา!M234"")+IMPORTRANGE(""https://docs.google.com/spreadsheets/d/17ht0gPKzzT3PObBL1XJkeR"&amp;"mntBXI7wGjpLV7QorqlTk/edit?usp=sharing"",""พัทลุง!M234"")+IMPORTRANGE(""https://docs.google.com/spreadsheets/d/1rd4qoM1q_hsgaolqNGfrim9gbsoLxQsda4-vOz5x_BM/edit?usp=sharing"",""ภูเก็ต!M234"")+IMPORTRANGE(""https://docs.google.com/spreadsheets/d/1woKwKjgoL"&amp;"ssDvPcPeVyezB5izizAn4X1JDrys69n6xI/edit?usp=sharing"",""ยะลา!M234"")+IMPORTRANGE(""https://docs.google.com/spreadsheets/d/1qfrKjzMhm2HJfxQ-qVlJlJQ25Hne1d0khsySbZyGtPA/edit?usp=sharing"",""ระนอง!M234"")+IMPORTRANGE(""https://docs.google.com/spreadsheets/d/"&amp;"1IbSCnFOKpZsnFogBHJnL_isstZVaOMnFiIN0fGTPZZw/edit?usp=sharing"",""สงขลา!M234"")+IMPORTRANGE(""https://docs.google.com/spreadsheets/d/1q9nWasZJ-K8bFGvbE9n0qSRuKGA4Toe3Y89cKCiVtCU/edit?usp=sharing"",""สตูล!M234"")+IMPORTRANGE(""https://docs.google.com/sprea"&amp;"dsheets/d/18T20gbkS_WBjdscyTOV05cvq_JqvqQ17C81mpxf7Ncs/edit?usp=sharing"",""สุราษฎร์ธานี!M234"")"),0)</f>
        <v>0</v>
      </c>
      <c r="N234" s="47">
        <f ca="1">IFERROR(__xludf.DUMMYFUNCTION("IMPORTRANGE(""https://docs.google.com/spreadsheets/d/1kKUcYdkIfrgTSj8iHHHB2MD2FAtwyyocFgqGQn6ADyI/edit?usp=sharing"",""กระบี่!N234"")+IMPORTRANGE(""https://docs.google.com/spreadsheets/d/1GwtLaSlNZkLk7iDqcyZz22giiy40b_usZZBXYciEN1U/edit?usp=sharing"",""ชุ"&amp;"มพร!N234"")+IMPORTRANGE(""https://docs.google.com/spreadsheets/d/16pAz3pOhQEZBhvFNMa5KGgZS6iKWpsKX0pg6tQmwFpo/edit?usp=sharing"",""ตรัง!N234"")+IMPORTRANGE(""https://docs.google.com/spreadsheets/d/1Dj4jcHCTV9JXKCaMoheSXS52JE63kDKyG7bPXnFogHk/edit?usp=shar"&amp;"ing"",""นครศรีธรรมราช!N234"")+IMPORTRANGE(""https://docs.google.com/spreadsheets/d/1iodCdmuK2GR3jzUwk8tpccY2JHQQA-87DLOtJP-ooyU/edit?usp=sharing"",""นราธิวาส!N234"")+IMPORTRANGE(""https://docs.google.com/spreadsheets/d/1SDNX3JhDdYRuIOsj0Wh2M-Qa_eaXl0NbWmh"&amp;"AOTbfQAs/edit?usp=sharing"",""ปัตตานี!N234"")+IMPORTRANGE(""https://docs.google.com/spreadsheets/d/16JDLGguT8s5DsGCND1KcwHP_AWR_zDMTqLHPLJUKhaU/edit?usp=sharing"",""พังงา!N234"")+IMPORTRANGE(""https://docs.google.com/spreadsheets/d/17ht0gPKzzT3PObBL1XJkeR"&amp;"mntBXI7wGjpLV7QorqlTk/edit?usp=sharing"",""พัทลุง!N234"")+IMPORTRANGE(""https://docs.google.com/spreadsheets/d/1rd4qoM1q_hsgaolqNGfrim9gbsoLxQsda4-vOz5x_BM/edit?usp=sharing"",""ภูเก็ต!N234"")+IMPORTRANGE(""https://docs.google.com/spreadsheets/d/1woKwKjgoL"&amp;"ssDvPcPeVyezB5izizAn4X1JDrys69n6xI/edit?usp=sharing"",""ยะลา!N234"")+IMPORTRANGE(""https://docs.google.com/spreadsheets/d/1qfrKjzMhm2HJfxQ-qVlJlJQ25Hne1d0khsySbZyGtPA/edit?usp=sharing"",""ระนอง!N234"")+IMPORTRANGE(""https://docs.google.com/spreadsheets/d/"&amp;"1IbSCnFOKpZsnFogBHJnL_isstZVaOMnFiIN0fGTPZZw/edit?usp=sharing"",""สงขลา!N234"")+IMPORTRANGE(""https://docs.google.com/spreadsheets/d/1q9nWasZJ-K8bFGvbE9n0qSRuKGA4Toe3Y89cKCiVtCU/edit?usp=sharing"",""สตูล!N234"")+IMPORTRANGE(""https://docs.google.com/sprea"&amp;"dsheets/d/18T20gbkS_WBjdscyTOV05cvq_JqvqQ17C81mpxf7Ncs/edit?usp=sharing"",""สุราษฎร์ธานี!N234"")"),76700.01)</f>
        <v>76700.009999999995</v>
      </c>
      <c r="O234" s="46"/>
      <c r="P234" s="46"/>
      <c r="Q234" s="47">
        <f ca="1">IFERROR(__xludf.DUMMYFUNCTION("IMPORTRANGE(""https://docs.google.com/spreadsheets/d/1kKUcYdkIfrgTSj8iHHHB2MD2FAtwyyocFgqGQn6ADyI/edit?usp=sharing"",""กระบี่!Q234"")+IMPORTRANGE(""https://docs.google.com/spreadsheets/d/1GwtLaSlNZkLk7iDqcyZz22giiy40b_usZZBXYciEN1U/edit?usp=sharing"",""ชุ"&amp;"มพร!Q234"")+IMPORTRANGE(""https://docs.google.com/spreadsheets/d/16pAz3pOhQEZBhvFNMa5KGgZS6iKWpsKX0pg6tQmwFpo/edit?usp=sharing"",""ตรัง!Q234"")+IMPORTRANGE(""https://docs.google.com/spreadsheets/d/1Dj4jcHCTV9JXKCaMoheSXS52JE63kDKyG7bPXnFogHk/edit?usp=shar"&amp;"ing"",""นครศรีธรรมราช!Q234"")+IMPORTRANGE(""https://docs.google.com/spreadsheets/d/1iodCdmuK2GR3jzUwk8tpccY2JHQQA-87DLOtJP-ooyU/edit?usp=sharing"",""นราธิวาส!Q234"")+IMPORTRANGE(""https://docs.google.com/spreadsheets/d/1SDNX3JhDdYRuIOsj0Wh2M-Qa_eaXl0NbWmh"&amp;"AOTbfQAs/edit?usp=sharing"",""ปัตตานี!Q234"")+IMPORTRANGE(""https://docs.google.com/spreadsheets/d/16JDLGguT8s5DsGCND1KcwHP_AWR_zDMTqLHPLJUKhaU/edit?usp=sharing"",""พังงา!Q234"")+IMPORTRANGE(""https://docs.google.com/spreadsheets/d/17ht0gPKzzT3PObBL1XJkeR"&amp;"mntBXI7wGjpLV7QorqlTk/edit?usp=sharing"",""พัทลุง!Q234"")+IMPORTRANGE(""https://docs.google.com/spreadsheets/d/1rd4qoM1q_hsgaolqNGfrim9gbsoLxQsda4-vOz5x_BM/edit?usp=sharing"",""ภูเก็ต!Q234"")+IMPORTRANGE(""https://docs.google.com/spreadsheets/d/1woKwKjgoL"&amp;"ssDvPcPeVyezB5izizAn4X1JDrys69n6xI/edit?usp=sharing"",""ยะลา!Q234"")+IMPORTRANGE(""https://docs.google.com/spreadsheets/d/1qfrKjzMhm2HJfxQ-qVlJlJQ25Hne1d0khsySbZyGtPA/edit?usp=sharing"",""ระนอง!Q234"")+IMPORTRANGE(""https://docs.google.com/spreadsheets/d/"&amp;"1IbSCnFOKpZsnFogBHJnL_isstZVaOMnFiIN0fGTPZZw/edit?usp=sharing"",""สงขลา!Q234"")+IMPORTRANGE(""https://docs.google.com/spreadsheets/d/1q9nWasZJ-K8bFGvbE9n0qSRuKGA4Toe3Y89cKCiVtCU/edit?usp=sharing"",""สตูล!Q234"")+IMPORTRANGE(""https://docs.google.com/sprea"&amp;"dsheets/d/18T20gbkS_WBjdscyTOV05cvq_JqvqQ17C81mpxf7Ncs/edit?usp=sharing"",""สุราษฎร์ธานี!Q234"")"),0)</f>
        <v>0</v>
      </c>
      <c r="R234" s="47">
        <f ca="1">IFERROR(__xludf.DUMMYFUNCTION("IMPORTRANGE(""https://docs.google.com/spreadsheets/d/1kKUcYdkIfrgTSj8iHHHB2MD2FAtwyyocFgqGQn6ADyI/edit?usp=sharing"",""กระบี่!R234"")+IMPORTRANGE(""https://docs.google.com/spreadsheets/d/1GwtLaSlNZkLk7iDqcyZz22giiy40b_usZZBXYciEN1U/edit?usp=sharing"",""ชุ"&amp;"มพร!R234"")+IMPORTRANGE(""https://docs.google.com/spreadsheets/d/16pAz3pOhQEZBhvFNMa5KGgZS6iKWpsKX0pg6tQmwFpo/edit?usp=sharing"",""ตรัง!R234"")+IMPORTRANGE(""https://docs.google.com/spreadsheets/d/1Dj4jcHCTV9JXKCaMoheSXS52JE63kDKyG7bPXnFogHk/edit?usp=shar"&amp;"ing"",""นครศรีธรรมราช!R234"")+IMPORTRANGE(""https://docs.google.com/spreadsheets/d/1iodCdmuK2GR3jzUwk8tpccY2JHQQA-87DLOtJP-ooyU/edit?usp=sharing"",""นราธิวาส!R234"")+IMPORTRANGE(""https://docs.google.com/spreadsheets/d/1SDNX3JhDdYRuIOsj0Wh2M-Qa_eaXl0NbWmh"&amp;"AOTbfQAs/edit?usp=sharing"",""ปัตตานี!R234"")+IMPORTRANGE(""https://docs.google.com/spreadsheets/d/16JDLGguT8s5DsGCND1KcwHP_AWR_zDMTqLHPLJUKhaU/edit?usp=sharing"",""พังงา!R234"")+IMPORTRANGE(""https://docs.google.com/spreadsheets/d/17ht0gPKzzT3PObBL1XJkeR"&amp;"mntBXI7wGjpLV7QorqlTk/edit?usp=sharing"",""พัทลุง!R234"")+IMPORTRANGE(""https://docs.google.com/spreadsheets/d/1rd4qoM1q_hsgaolqNGfrim9gbsoLxQsda4-vOz5x_BM/edit?usp=sharing"",""ภูเก็ต!R234"")+IMPORTRANGE(""https://docs.google.com/spreadsheets/d/1woKwKjgoL"&amp;"ssDvPcPeVyezB5izizAn4X1JDrys69n6xI/edit?usp=sharing"",""ยะลา!R234"")+IMPORTRANGE(""https://docs.google.com/spreadsheets/d/1qfrKjzMhm2HJfxQ-qVlJlJQ25Hne1d0khsySbZyGtPA/edit?usp=sharing"",""ระนอง!R234"")+IMPORTRANGE(""https://docs.google.com/spreadsheets/d/"&amp;"1IbSCnFOKpZsnFogBHJnL_isstZVaOMnFiIN0fGTPZZw/edit?usp=sharing"",""สงขลา!R234"")+IMPORTRANGE(""https://docs.google.com/spreadsheets/d/1q9nWasZJ-K8bFGvbE9n0qSRuKGA4Toe3Y89cKCiVtCU/edit?usp=sharing"",""สตูล!R234"")+IMPORTRANGE(""https://docs.google.com/sprea"&amp;"dsheets/d/18T20gbkS_WBjdscyTOV05cvq_JqvqQ17C81mpxf7Ncs/edit?usp=sharing"",""สุราษฎร์ธานี!R234"")"),0)</f>
        <v>0</v>
      </c>
      <c r="S234" s="47">
        <f ca="1">IFERROR(__xludf.DUMMYFUNCTION("IMPORTRANGE(""https://docs.google.com/spreadsheets/d/1kKUcYdkIfrgTSj8iHHHB2MD2FAtwyyocFgqGQn6ADyI/edit?usp=sharing"",""กระบี่!S234"")+IMPORTRANGE(""https://docs.google.com/spreadsheets/d/1GwtLaSlNZkLk7iDqcyZz22giiy40b_usZZBXYciEN1U/edit?usp=sharing"",""ชุ"&amp;"มพร!S234"")+IMPORTRANGE(""https://docs.google.com/spreadsheets/d/16pAz3pOhQEZBhvFNMa5KGgZS6iKWpsKX0pg6tQmwFpo/edit?usp=sharing"",""ตรัง!S234"")+IMPORTRANGE(""https://docs.google.com/spreadsheets/d/1Dj4jcHCTV9JXKCaMoheSXS52JE63kDKyG7bPXnFogHk/edit?usp=shar"&amp;"ing"",""นครศรีธรรมราช!S234"")+IMPORTRANGE(""https://docs.google.com/spreadsheets/d/1iodCdmuK2GR3jzUwk8tpccY2JHQQA-87DLOtJP-ooyU/edit?usp=sharing"",""นราธิวาส!S234"")+IMPORTRANGE(""https://docs.google.com/spreadsheets/d/1SDNX3JhDdYRuIOsj0Wh2M-Qa_eaXl0NbWmh"&amp;"AOTbfQAs/edit?usp=sharing"",""ปัตตานี!S234"")+IMPORTRANGE(""https://docs.google.com/spreadsheets/d/16JDLGguT8s5DsGCND1KcwHP_AWR_zDMTqLHPLJUKhaU/edit?usp=sharing"",""พังงา!S234"")+IMPORTRANGE(""https://docs.google.com/spreadsheets/d/17ht0gPKzzT3PObBL1XJkeR"&amp;"mntBXI7wGjpLV7QorqlTk/edit?usp=sharing"",""พัทลุง!S234"")+IMPORTRANGE(""https://docs.google.com/spreadsheets/d/1rd4qoM1q_hsgaolqNGfrim9gbsoLxQsda4-vOz5x_BM/edit?usp=sharing"",""ภูเก็ต!S234"")+IMPORTRANGE(""https://docs.google.com/spreadsheets/d/1woKwKjgoL"&amp;"ssDvPcPeVyezB5izizAn4X1JDrys69n6xI/edit?usp=sharing"",""ยะลา!S234"")+IMPORTRANGE(""https://docs.google.com/spreadsheets/d/1qfrKjzMhm2HJfxQ-qVlJlJQ25Hne1d0khsySbZyGtPA/edit?usp=sharing"",""ระนอง!S234"")+IMPORTRANGE(""https://docs.google.com/spreadsheets/d/"&amp;"1IbSCnFOKpZsnFogBHJnL_isstZVaOMnFiIN0fGTPZZw/edit?usp=sharing"",""สงขลา!S234"")+IMPORTRANGE(""https://docs.google.com/spreadsheets/d/1q9nWasZJ-K8bFGvbE9n0qSRuKGA4Toe3Y89cKCiVtCU/edit?usp=sharing"",""สตูล!S234"")+IMPORTRANGE(""https://docs.google.com/sprea"&amp;"dsheets/d/18T20gbkS_WBjdscyTOV05cvq_JqvqQ17C81mpxf7Ncs/edit?usp=sharing"",""สุราษฎร์ธานี!S234"")"),0)</f>
        <v>0</v>
      </c>
      <c r="T234" s="46"/>
      <c r="U234" s="46"/>
    </row>
    <row r="235" spans="1:21" ht="18.75" x14ac:dyDescent="0.25">
      <c r="A235" s="217"/>
      <c r="B235" s="159"/>
      <c r="C235" s="159"/>
      <c r="D235" s="48" t="s">
        <v>106</v>
      </c>
      <c r="E235" s="41"/>
      <c r="F235" s="41"/>
      <c r="G235" s="43"/>
      <c r="H235" s="134" t="s">
        <v>14</v>
      </c>
      <c r="I235" s="45"/>
      <c r="J235" s="45"/>
      <c r="K235" s="46"/>
      <c r="L235" s="47">
        <f ca="1">IFERROR(__xludf.DUMMYFUNCTION("IMPORTRANGE(""https://docs.google.com/spreadsheets/d/1kKUcYdkIfrgTSj8iHHHB2MD2FAtwyyocFgqGQn6ADyI/edit?usp=sharing"",""กระบี่!L235"")+IMPORTRANGE(""https://docs.google.com/spreadsheets/d/1GwtLaSlNZkLk7iDqcyZz22giiy40b_usZZBXYciEN1U/edit?usp=sharing"",""ชุ"&amp;"มพร!L235"")+IMPORTRANGE(""https://docs.google.com/spreadsheets/d/16pAz3pOhQEZBhvFNMa5KGgZS6iKWpsKX0pg6tQmwFpo/edit?usp=sharing"",""ตรัง!L235"")+IMPORTRANGE(""https://docs.google.com/spreadsheets/d/1Dj4jcHCTV9JXKCaMoheSXS52JE63kDKyG7bPXnFogHk/edit?usp=shar"&amp;"ing"",""นครศรีธรรมราช!L235"")+IMPORTRANGE(""https://docs.google.com/spreadsheets/d/1iodCdmuK2GR3jzUwk8tpccY2JHQQA-87DLOtJP-ooyU/edit?usp=sharing"",""นราธิวาส!L235"")+IMPORTRANGE(""https://docs.google.com/spreadsheets/d/1SDNX3JhDdYRuIOsj0Wh2M-Qa_eaXl0NbWmh"&amp;"AOTbfQAs/edit?usp=sharing"",""ปัตตานี!L235"")+IMPORTRANGE(""https://docs.google.com/spreadsheets/d/16JDLGguT8s5DsGCND1KcwHP_AWR_zDMTqLHPLJUKhaU/edit?usp=sharing"",""พังงา!L235"")+IMPORTRANGE(""https://docs.google.com/spreadsheets/d/17ht0gPKzzT3PObBL1XJkeR"&amp;"mntBXI7wGjpLV7QorqlTk/edit?usp=sharing"",""พัทลุง!L235"")+IMPORTRANGE(""https://docs.google.com/spreadsheets/d/1rd4qoM1q_hsgaolqNGfrim9gbsoLxQsda4-vOz5x_BM/edit?usp=sharing"",""ภูเก็ต!L235"")+IMPORTRANGE(""https://docs.google.com/spreadsheets/d/1woKwKjgoL"&amp;"ssDvPcPeVyezB5izizAn4X1JDrys69n6xI/edit?usp=sharing"",""ยะลา!L235"")+IMPORTRANGE(""https://docs.google.com/spreadsheets/d/1qfrKjzMhm2HJfxQ-qVlJlJQ25Hne1d0khsySbZyGtPA/edit?usp=sharing"",""ระนอง!L235"")+IMPORTRANGE(""https://docs.google.com/spreadsheets/d/"&amp;"1IbSCnFOKpZsnFogBHJnL_isstZVaOMnFiIN0fGTPZZw/edit?usp=sharing"",""สงขลา!L235"")+IMPORTRANGE(""https://docs.google.com/spreadsheets/d/1q9nWasZJ-K8bFGvbE9n0qSRuKGA4Toe3Y89cKCiVtCU/edit?usp=sharing"",""สตูล!L235"")+IMPORTRANGE(""https://docs.google.com/sprea"&amp;"dsheets/d/18T20gbkS_WBjdscyTOV05cvq_JqvqQ17C81mpxf7Ncs/edit?usp=sharing"",""สุราษฎร์ธานี!L235"")"),92600)</f>
        <v>92600</v>
      </c>
      <c r="M235" s="47">
        <f ca="1">IFERROR(__xludf.DUMMYFUNCTION("IMPORTRANGE(""https://docs.google.com/spreadsheets/d/1kKUcYdkIfrgTSj8iHHHB2MD2FAtwyyocFgqGQn6ADyI/edit?usp=sharing"",""กระบี่!M235"")+IMPORTRANGE(""https://docs.google.com/spreadsheets/d/1GwtLaSlNZkLk7iDqcyZz22giiy40b_usZZBXYciEN1U/edit?usp=sharing"",""ชุ"&amp;"มพร!M235"")+IMPORTRANGE(""https://docs.google.com/spreadsheets/d/16pAz3pOhQEZBhvFNMa5KGgZS6iKWpsKX0pg6tQmwFpo/edit?usp=sharing"",""ตรัง!M235"")+IMPORTRANGE(""https://docs.google.com/spreadsheets/d/1Dj4jcHCTV9JXKCaMoheSXS52JE63kDKyG7bPXnFogHk/edit?usp=shar"&amp;"ing"",""นครศรีธรรมราช!M235"")+IMPORTRANGE(""https://docs.google.com/spreadsheets/d/1iodCdmuK2GR3jzUwk8tpccY2JHQQA-87DLOtJP-ooyU/edit?usp=sharing"",""นราธิวาส!M235"")+IMPORTRANGE(""https://docs.google.com/spreadsheets/d/1SDNX3JhDdYRuIOsj0Wh2M-Qa_eaXl0NbWmh"&amp;"AOTbfQAs/edit?usp=sharing"",""ปัตตานี!M235"")+IMPORTRANGE(""https://docs.google.com/spreadsheets/d/16JDLGguT8s5DsGCND1KcwHP_AWR_zDMTqLHPLJUKhaU/edit?usp=sharing"",""พังงา!M235"")+IMPORTRANGE(""https://docs.google.com/spreadsheets/d/17ht0gPKzzT3PObBL1XJkeR"&amp;"mntBXI7wGjpLV7QorqlTk/edit?usp=sharing"",""พัทลุง!M235"")+IMPORTRANGE(""https://docs.google.com/spreadsheets/d/1rd4qoM1q_hsgaolqNGfrim9gbsoLxQsda4-vOz5x_BM/edit?usp=sharing"",""ภูเก็ต!M235"")+IMPORTRANGE(""https://docs.google.com/spreadsheets/d/1woKwKjgoL"&amp;"ssDvPcPeVyezB5izizAn4X1JDrys69n6xI/edit?usp=sharing"",""ยะลา!M235"")+IMPORTRANGE(""https://docs.google.com/spreadsheets/d/1qfrKjzMhm2HJfxQ-qVlJlJQ25Hne1d0khsySbZyGtPA/edit?usp=sharing"",""ระนอง!M235"")+IMPORTRANGE(""https://docs.google.com/spreadsheets/d/"&amp;"1IbSCnFOKpZsnFogBHJnL_isstZVaOMnFiIN0fGTPZZw/edit?usp=sharing"",""สงขลา!M235"")+IMPORTRANGE(""https://docs.google.com/spreadsheets/d/1q9nWasZJ-K8bFGvbE9n0qSRuKGA4Toe3Y89cKCiVtCU/edit?usp=sharing"",""สตูล!M235"")+IMPORTRANGE(""https://docs.google.com/sprea"&amp;"dsheets/d/18T20gbkS_WBjdscyTOV05cvq_JqvqQ17C81mpxf7Ncs/edit?usp=sharing"",""สุราษฎร์ธานี!M235"")"),0)</f>
        <v>0</v>
      </c>
      <c r="N235" s="47">
        <f ca="1">IFERROR(__xludf.DUMMYFUNCTION("IMPORTRANGE(""https://docs.google.com/spreadsheets/d/1kKUcYdkIfrgTSj8iHHHB2MD2FAtwyyocFgqGQn6ADyI/edit?usp=sharing"",""กระบี่!N235"")+IMPORTRANGE(""https://docs.google.com/spreadsheets/d/1GwtLaSlNZkLk7iDqcyZz22giiy40b_usZZBXYciEN1U/edit?usp=sharing"",""ชุ"&amp;"มพร!N235"")+IMPORTRANGE(""https://docs.google.com/spreadsheets/d/16pAz3pOhQEZBhvFNMa5KGgZS6iKWpsKX0pg6tQmwFpo/edit?usp=sharing"",""ตรัง!N235"")+IMPORTRANGE(""https://docs.google.com/spreadsheets/d/1Dj4jcHCTV9JXKCaMoheSXS52JE63kDKyG7bPXnFogHk/edit?usp=shar"&amp;"ing"",""นครศรีธรรมราช!N235"")+IMPORTRANGE(""https://docs.google.com/spreadsheets/d/1iodCdmuK2GR3jzUwk8tpccY2JHQQA-87DLOtJP-ooyU/edit?usp=sharing"",""นราธิวาส!N235"")+IMPORTRANGE(""https://docs.google.com/spreadsheets/d/1SDNX3JhDdYRuIOsj0Wh2M-Qa_eaXl0NbWmh"&amp;"AOTbfQAs/edit?usp=sharing"",""ปัตตานี!N235"")+IMPORTRANGE(""https://docs.google.com/spreadsheets/d/16JDLGguT8s5DsGCND1KcwHP_AWR_zDMTqLHPLJUKhaU/edit?usp=sharing"",""พังงา!N235"")+IMPORTRANGE(""https://docs.google.com/spreadsheets/d/17ht0gPKzzT3PObBL1XJkeR"&amp;"mntBXI7wGjpLV7QorqlTk/edit?usp=sharing"",""พัทลุง!N235"")+IMPORTRANGE(""https://docs.google.com/spreadsheets/d/1rd4qoM1q_hsgaolqNGfrim9gbsoLxQsda4-vOz5x_BM/edit?usp=sharing"",""ภูเก็ต!N235"")+IMPORTRANGE(""https://docs.google.com/spreadsheets/d/1woKwKjgoL"&amp;"ssDvPcPeVyezB5izizAn4X1JDrys69n6xI/edit?usp=sharing"",""ยะลา!N235"")+IMPORTRANGE(""https://docs.google.com/spreadsheets/d/1qfrKjzMhm2HJfxQ-qVlJlJQ25Hne1d0khsySbZyGtPA/edit?usp=sharing"",""ระนอง!N235"")+IMPORTRANGE(""https://docs.google.com/spreadsheets/d/"&amp;"1IbSCnFOKpZsnFogBHJnL_isstZVaOMnFiIN0fGTPZZw/edit?usp=sharing"",""สงขลา!N235"")+IMPORTRANGE(""https://docs.google.com/spreadsheets/d/1q9nWasZJ-K8bFGvbE9n0qSRuKGA4Toe3Y89cKCiVtCU/edit?usp=sharing"",""สตูล!N235"")+IMPORTRANGE(""https://docs.google.com/sprea"&amp;"dsheets/d/18T20gbkS_WBjdscyTOV05cvq_JqvqQ17C81mpxf7Ncs/edit?usp=sharing"",""สุราษฎร์ธานี!N235"")"),39166)</f>
        <v>39166</v>
      </c>
      <c r="O235" s="46"/>
      <c r="P235" s="46"/>
      <c r="Q235" s="47">
        <f ca="1">IFERROR(__xludf.DUMMYFUNCTION("IMPORTRANGE(""https://docs.google.com/spreadsheets/d/1kKUcYdkIfrgTSj8iHHHB2MD2FAtwyyocFgqGQn6ADyI/edit?usp=sharing"",""กระบี่!Q235"")+IMPORTRANGE(""https://docs.google.com/spreadsheets/d/1GwtLaSlNZkLk7iDqcyZz22giiy40b_usZZBXYciEN1U/edit?usp=sharing"",""ชุ"&amp;"มพร!Q235"")+IMPORTRANGE(""https://docs.google.com/spreadsheets/d/16pAz3pOhQEZBhvFNMa5KGgZS6iKWpsKX0pg6tQmwFpo/edit?usp=sharing"",""ตรัง!Q235"")+IMPORTRANGE(""https://docs.google.com/spreadsheets/d/1Dj4jcHCTV9JXKCaMoheSXS52JE63kDKyG7bPXnFogHk/edit?usp=shar"&amp;"ing"",""นครศรีธรรมราช!Q235"")+IMPORTRANGE(""https://docs.google.com/spreadsheets/d/1iodCdmuK2GR3jzUwk8tpccY2JHQQA-87DLOtJP-ooyU/edit?usp=sharing"",""นราธิวาส!Q235"")+IMPORTRANGE(""https://docs.google.com/spreadsheets/d/1SDNX3JhDdYRuIOsj0Wh2M-Qa_eaXl0NbWmh"&amp;"AOTbfQAs/edit?usp=sharing"",""ปัตตานี!Q235"")+IMPORTRANGE(""https://docs.google.com/spreadsheets/d/16JDLGguT8s5DsGCND1KcwHP_AWR_zDMTqLHPLJUKhaU/edit?usp=sharing"",""พังงา!Q235"")+IMPORTRANGE(""https://docs.google.com/spreadsheets/d/17ht0gPKzzT3PObBL1XJkeR"&amp;"mntBXI7wGjpLV7QorqlTk/edit?usp=sharing"",""พัทลุง!Q235"")+IMPORTRANGE(""https://docs.google.com/spreadsheets/d/1rd4qoM1q_hsgaolqNGfrim9gbsoLxQsda4-vOz5x_BM/edit?usp=sharing"",""ภูเก็ต!Q235"")+IMPORTRANGE(""https://docs.google.com/spreadsheets/d/1woKwKjgoL"&amp;"ssDvPcPeVyezB5izizAn4X1JDrys69n6xI/edit?usp=sharing"",""ยะลา!Q235"")+IMPORTRANGE(""https://docs.google.com/spreadsheets/d/1qfrKjzMhm2HJfxQ-qVlJlJQ25Hne1d0khsySbZyGtPA/edit?usp=sharing"",""ระนอง!Q235"")+IMPORTRANGE(""https://docs.google.com/spreadsheets/d/"&amp;"1IbSCnFOKpZsnFogBHJnL_isstZVaOMnFiIN0fGTPZZw/edit?usp=sharing"",""สงขลา!Q235"")+IMPORTRANGE(""https://docs.google.com/spreadsheets/d/1q9nWasZJ-K8bFGvbE9n0qSRuKGA4Toe3Y89cKCiVtCU/edit?usp=sharing"",""สตูล!Q235"")+IMPORTRANGE(""https://docs.google.com/sprea"&amp;"dsheets/d/18T20gbkS_WBjdscyTOV05cvq_JqvqQ17C81mpxf7Ncs/edit?usp=sharing"",""สุราษฎร์ธานี!Q235"")"),0)</f>
        <v>0</v>
      </c>
      <c r="R235" s="47">
        <f ca="1">IFERROR(__xludf.DUMMYFUNCTION("IMPORTRANGE(""https://docs.google.com/spreadsheets/d/1kKUcYdkIfrgTSj8iHHHB2MD2FAtwyyocFgqGQn6ADyI/edit?usp=sharing"",""กระบี่!R235"")+IMPORTRANGE(""https://docs.google.com/spreadsheets/d/1GwtLaSlNZkLk7iDqcyZz22giiy40b_usZZBXYciEN1U/edit?usp=sharing"",""ชุ"&amp;"มพร!R235"")+IMPORTRANGE(""https://docs.google.com/spreadsheets/d/16pAz3pOhQEZBhvFNMa5KGgZS6iKWpsKX0pg6tQmwFpo/edit?usp=sharing"",""ตรัง!R235"")+IMPORTRANGE(""https://docs.google.com/spreadsheets/d/1Dj4jcHCTV9JXKCaMoheSXS52JE63kDKyG7bPXnFogHk/edit?usp=shar"&amp;"ing"",""นครศรีธรรมราช!R235"")+IMPORTRANGE(""https://docs.google.com/spreadsheets/d/1iodCdmuK2GR3jzUwk8tpccY2JHQQA-87DLOtJP-ooyU/edit?usp=sharing"",""นราธิวาส!R235"")+IMPORTRANGE(""https://docs.google.com/spreadsheets/d/1SDNX3JhDdYRuIOsj0Wh2M-Qa_eaXl0NbWmh"&amp;"AOTbfQAs/edit?usp=sharing"",""ปัตตานี!R235"")+IMPORTRANGE(""https://docs.google.com/spreadsheets/d/16JDLGguT8s5DsGCND1KcwHP_AWR_zDMTqLHPLJUKhaU/edit?usp=sharing"",""พังงา!R235"")+IMPORTRANGE(""https://docs.google.com/spreadsheets/d/17ht0gPKzzT3PObBL1XJkeR"&amp;"mntBXI7wGjpLV7QorqlTk/edit?usp=sharing"",""พัทลุง!R235"")+IMPORTRANGE(""https://docs.google.com/spreadsheets/d/1rd4qoM1q_hsgaolqNGfrim9gbsoLxQsda4-vOz5x_BM/edit?usp=sharing"",""ภูเก็ต!R235"")+IMPORTRANGE(""https://docs.google.com/spreadsheets/d/1woKwKjgoL"&amp;"ssDvPcPeVyezB5izizAn4X1JDrys69n6xI/edit?usp=sharing"",""ยะลา!R235"")+IMPORTRANGE(""https://docs.google.com/spreadsheets/d/1qfrKjzMhm2HJfxQ-qVlJlJQ25Hne1d0khsySbZyGtPA/edit?usp=sharing"",""ระนอง!R235"")+IMPORTRANGE(""https://docs.google.com/spreadsheets/d/"&amp;"1IbSCnFOKpZsnFogBHJnL_isstZVaOMnFiIN0fGTPZZw/edit?usp=sharing"",""สงขลา!R235"")+IMPORTRANGE(""https://docs.google.com/spreadsheets/d/1q9nWasZJ-K8bFGvbE9n0qSRuKGA4Toe3Y89cKCiVtCU/edit?usp=sharing"",""สตูล!R235"")+IMPORTRANGE(""https://docs.google.com/sprea"&amp;"dsheets/d/18T20gbkS_WBjdscyTOV05cvq_JqvqQ17C81mpxf7Ncs/edit?usp=sharing"",""สุราษฎร์ธานี!R235"")"),0)</f>
        <v>0</v>
      </c>
      <c r="S235" s="47">
        <f ca="1">IFERROR(__xludf.DUMMYFUNCTION("IMPORTRANGE(""https://docs.google.com/spreadsheets/d/1kKUcYdkIfrgTSj8iHHHB2MD2FAtwyyocFgqGQn6ADyI/edit?usp=sharing"",""กระบี่!S235"")+IMPORTRANGE(""https://docs.google.com/spreadsheets/d/1GwtLaSlNZkLk7iDqcyZz22giiy40b_usZZBXYciEN1U/edit?usp=sharing"",""ชุ"&amp;"มพร!S235"")+IMPORTRANGE(""https://docs.google.com/spreadsheets/d/16pAz3pOhQEZBhvFNMa5KGgZS6iKWpsKX0pg6tQmwFpo/edit?usp=sharing"",""ตรัง!S235"")+IMPORTRANGE(""https://docs.google.com/spreadsheets/d/1Dj4jcHCTV9JXKCaMoheSXS52JE63kDKyG7bPXnFogHk/edit?usp=shar"&amp;"ing"",""นครศรีธรรมราช!S235"")+IMPORTRANGE(""https://docs.google.com/spreadsheets/d/1iodCdmuK2GR3jzUwk8tpccY2JHQQA-87DLOtJP-ooyU/edit?usp=sharing"",""นราธิวาส!S235"")+IMPORTRANGE(""https://docs.google.com/spreadsheets/d/1SDNX3JhDdYRuIOsj0Wh2M-Qa_eaXl0NbWmh"&amp;"AOTbfQAs/edit?usp=sharing"",""ปัตตานี!S235"")+IMPORTRANGE(""https://docs.google.com/spreadsheets/d/16JDLGguT8s5DsGCND1KcwHP_AWR_zDMTqLHPLJUKhaU/edit?usp=sharing"",""พังงา!S235"")+IMPORTRANGE(""https://docs.google.com/spreadsheets/d/17ht0gPKzzT3PObBL1XJkeR"&amp;"mntBXI7wGjpLV7QorqlTk/edit?usp=sharing"",""พัทลุง!S235"")+IMPORTRANGE(""https://docs.google.com/spreadsheets/d/1rd4qoM1q_hsgaolqNGfrim9gbsoLxQsda4-vOz5x_BM/edit?usp=sharing"",""ภูเก็ต!S235"")+IMPORTRANGE(""https://docs.google.com/spreadsheets/d/1woKwKjgoL"&amp;"ssDvPcPeVyezB5izizAn4X1JDrys69n6xI/edit?usp=sharing"",""ยะลา!S235"")+IMPORTRANGE(""https://docs.google.com/spreadsheets/d/1qfrKjzMhm2HJfxQ-qVlJlJQ25Hne1d0khsySbZyGtPA/edit?usp=sharing"",""ระนอง!S235"")+IMPORTRANGE(""https://docs.google.com/spreadsheets/d/"&amp;"1IbSCnFOKpZsnFogBHJnL_isstZVaOMnFiIN0fGTPZZw/edit?usp=sharing"",""สงขลา!S235"")+IMPORTRANGE(""https://docs.google.com/spreadsheets/d/1q9nWasZJ-K8bFGvbE9n0qSRuKGA4Toe3Y89cKCiVtCU/edit?usp=sharing"",""สตูล!S235"")+IMPORTRANGE(""https://docs.google.com/sprea"&amp;"dsheets/d/18T20gbkS_WBjdscyTOV05cvq_JqvqQ17C81mpxf7Ncs/edit?usp=sharing"",""สุราษฎร์ธานี!S235"")"),0)</f>
        <v>0</v>
      </c>
      <c r="T235" s="46"/>
      <c r="U235" s="46"/>
    </row>
    <row r="236" spans="1:21" ht="18.75" x14ac:dyDescent="0.25">
      <c r="A236" s="217"/>
      <c r="B236" s="159"/>
      <c r="C236" s="159"/>
      <c r="D236" s="48" t="s">
        <v>107</v>
      </c>
      <c r="E236" s="41"/>
      <c r="F236" s="41"/>
      <c r="G236" s="43"/>
      <c r="H236" s="134" t="s">
        <v>14</v>
      </c>
      <c r="I236" s="45"/>
      <c r="J236" s="45"/>
      <c r="K236" s="46"/>
      <c r="L236" s="47">
        <f ca="1">IFERROR(__xludf.DUMMYFUNCTION("IMPORTRANGE(""https://docs.google.com/spreadsheets/d/1kKUcYdkIfrgTSj8iHHHB2MD2FAtwyyocFgqGQn6ADyI/edit?usp=sharing"",""กระบี่!L236"")+IMPORTRANGE(""https://docs.google.com/spreadsheets/d/1GwtLaSlNZkLk7iDqcyZz22giiy40b_usZZBXYciEN1U/edit?usp=sharing"",""ชุ"&amp;"มพร!L236"")+IMPORTRANGE(""https://docs.google.com/spreadsheets/d/16pAz3pOhQEZBhvFNMa5KGgZS6iKWpsKX0pg6tQmwFpo/edit?usp=sharing"",""ตรัง!L236"")+IMPORTRANGE(""https://docs.google.com/spreadsheets/d/1Dj4jcHCTV9JXKCaMoheSXS52JE63kDKyG7bPXnFogHk/edit?usp=shar"&amp;"ing"",""นครศรีธรรมราช!L236"")+IMPORTRANGE(""https://docs.google.com/spreadsheets/d/1iodCdmuK2GR3jzUwk8tpccY2JHQQA-87DLOtJP-ooyU/edit?usp=sharing"",""นราธิวาส!L236"")+IMPORTRANGE(""https://docs.google.com/spreadsheets/d/1SDNX3JhDdYRuIOsj0Wh2M-Qa_eaXl0NbWmh"&amp;"AOTbfQAs/edit?usp=sharing"",""ปัตตานี!L236"")+IMPORTRANGE(""https://docs.google.com/spreadsheets/d/16JDLGguT8s5DsGCND1KcwHP_AWR_zDMTqLHPLJUKhaU/edit?usp=sharing"",""พังงา!L236"")+IMPORTRANGE(""https://docs.google.com/spreadsheets/d/17ht0gPKzzT3PObBL1XJkeR"&amp;"mntBXI7wGjpLV7QorqlTk/edit?usp=sharing"",""พัทลุง!L236"")+IMPORTRANGE(""https://docs.google.com/spreadsheets/d/1rd4qoM1q_hsgaolqNGfrim9gbsoLxQsda4-vOz5x_BM/edit?usp=sharing"",""ภูเก็ต!L236"")+IMPORTRANGE(""https://docs.google.com/spreadsheets/d/1woKwKjgoL"&amp;"ssDvPcPeVyezB5izizAn4X1JDrys69n6xI/edit?usp=sharing"",""ยะลา!L236"")+IMPORTRANGE(""https://docs.google.com/spreadsheets/d/1qfrKjzMhm2HJfxQ-qVlJlJQ25Hne1d0khsySbZyGtPA/edit?usp=sharing"",""ระนอง!L236"")+IMPORTRANGE(""https://docs.google.com/spreadsheets/d/"&amp;"1IbSCnFOKpZsnFogBHJnL_isstZVaOMnFiIN0fGTPZZw/edit?usp=sharing"",""สงขลา!L236"")+IMPORTRANGE(""https://docs.google.com/spreadsheets/d/1q9nWasZJ-K8bFGvbE9n0qSRuKGA4Toe3Y89cKCiVtCU/edit?usp=sharing"",""สตูล!L236"")+IMPORTRANGE(""https://docs.google.com/sprea"&amp;"dsheets/d/18T20gbkS_WBjdscyTOV05cvq_JqvqQ17C81mpxf7Ncs/edit?usp=sharing"",""สุราษฎร์ธานี!L236"")"),140000)</f>
        <v>140000</v>
      </c>
      <c r="M236" s="47">
        <f ca="1">IFERROR(__xludf.DUMMYFUNCTION("IMPORTRANGE(""https://docs.google.com/spreadsheets/d/1kKUcYdkIfrgTSj8iHHHB2MD2FAtwyyocFgqGQn6ADyI/edit?usp=sharing"",""กระบี่!M236"")+IMPORTRANGE(""https://docs.google.com/spreadsheets/d/1GwtLaSlNZkLk7iDqcyZz22giiy40b_usZZBXYciEN1U/edit?usp=sharing"",""ชุ"&amp;"มพร!M236"")+IMPORTRANGE(""https://docs.google.com/spreadsheets/d/16pAz3pOhQEZBhvFNMa5KGgZS6iKWpsKX0pg6tQmwFpo/edit?usp=sharing"",""ตรัง!M236"")+IMPORTRANGE(""https://docs.google.com/spreadsheets/d/1Dj4jcHCTV9JXKCaMoheSXS52JE63kDKyG7bPXnFogHk/edit?usp=shar"&amp;"ing"",""นครศรีธรรมราช!M236"")+IMPORTRANGE(""https://docs.google.com/spreadsheets/d/1iodCdmuK2GR3jzUwk8tpccY2JHQQA-87DLOtJP-ooyU/edit?usp=sharing"",""นราธิวาส!M236"")+IMPORTRANGE(""https://docs.google.com/spreadsheets/d/1SDNX3JhDdYRuIOsj0Wh2M-Qa_eaXl0NbWmh"&amp;"AOTbfQAs/edit?usp=sharing"",""ปัตตานี!M236"")+IMPORTRANGE(""https://docs.google.com/spreadsheets/d/16JDLGguT8s5DsGCND1KcwHP_AWR_zDMTqLHPLJUKhaU/edit?usp=sharing"",""พังงา!M236"")+IMPORTRANGE(""https://docs.google.com/spreadsheets/d/17ht0gPKzzT3PObBL1XJkeR"&amp;"mntBXI7wGjpLV7QorqlTk/edit?usp=sharing"",""พัทลุง!M236"")+IMPORTRANGE(""https://docs.google.com/spreadsheets/d/1rd4qoM1q_hsgaolqNGfrim9gbsoLxQsda4-vOz5x_BM/edit?usp=sharing"",""ภูเก็ต!M236"")+IMPORTRANGE(""https://docs.google.com/spreadsheets/d/1woKwKjgoL"&amp;"ssDvPcPeVyezB5izizAn4X1JDrys69n6xI/edit?usp=sharing"",""ยะลา!M236"")+IMPORTRANGE(""https://docs.google.com/spreadsheets/d/1qfrKjzMhm2HJfxQ-qVlJlJQ25Hne1d0khsySbZyGtPA/edit?usp=sharing"",""ระนอง!M236"")+IMPORTRANGE(""https://docs.google.com/spreadsheets/d/"&amp;"1IbSCnFOKpZsnFogBHJnL_isstZVaOMnFiIN0fGTPZZw/edit?usp=sharing"",""สงขลา!M236"")+IMPORTRANGE(""https://docs.google.com/spreadsheets/d/1q9nWasZJ-K8bFGvbE9n0qSRuKGA4Toe3Y89cKCiVtCU/edit?usp=sharing"",""สตูล!M236"")+IMPORTRANGE(""https://docs.google.com/sprea"&amp;"dsheets/d/18T20gbkS_WBjdscyTOV05cvq_JqvqQ17C81mpxf7Ncs/edit?usp=sharing"",""สุราษฎร์ธานี!M236"")"),0)</f>
        <v>0</v>
      </c>
      <c r="N236" s="47">
        <f ca="1">IFERROR(__xludf.DUMMYFUNCTION("IMPORTRANGE(""https://docs.google.com/spreadsheets/d/1kKUcYdkIfrgTSj8iHHHB2MD2FAtwyyocFgqGQn6ADyI/edit?usp=sharing"",""กระบี่!N236"")+IMPORTRANGE(""https://docs.google.com/spreadsheets/d/1GwtLaSlNZkLk7iDqcyZz22giiy40b_usZZBXYciEN1U/edit?usp=sharing"",""ชุ"&amp;"มพร!N236"")+IMPORTRANGE(""https://docs.google.com/spreadsheets/d/16pAz3pOhQEZBhvFNMa5KGgZS6iKWpsKX0pg6tQmwFpo/edit?usp=sharing"",""ตรัง!N236"")+IMPORTRANGE(""https://docs.google.com/spreadsheets/d/1Dj4jcHCTV9JXKCaMoheSXS52JE63kDKyG7bPXnFogHk/edit?usp=shar"&amp;"ing"",""นครศรีธรรมราช!N236"")+IMPORTRANGE(""https://docs.google.com/spreadsheets/d/1iodCdmuK2GR3jzUwk8tpccY2JHQQA-87DLOtJP-ooyU/edit?usp=sharing"",""นราธิวาส!N236"")+IMPORTRANGE(""https://docs.google.com/spreadsheets/d/1SDNX3JhDdYRuIOsj0Wh2M-Qa_eaXl0NbWmh"&amp;"AOTbfQAs/edit?usp=sharing"",""ปัตตานี!N236"")+IMPORTRANGE(""https://docs.google.com/spreadsheets/d/16JDLGguT8s5DsGCND1KcwHP_AWR_zDMTqLHPLJUKhaU/edit?usp=sharing"",""พังงา!N236"")+IMPORTRANGE(""https://docs.google.com/spreadsheets/d/17ht0gPKzzT3PObBL1XJkeR"&amp;"mntBXI7wGjpLV7QorqlTk/edit?usp=sharing"",""พัทลุง!N236"")+IMPORTRANGE(""https://docs.google.com/spreadsheets/d/1rd4qoM1q_hsgaolqNGfrim9gbsoLxQsda4-vOz5x_BM/edit?usp=sharing"",""ภูเก็ต!N236"")+IMPORTRANGE(""https://docs.google.com/spreadsheets/d/1woKwKjgoL"&amp;"ssDvPcPeVyezB5izizAn4X1JDrys69n6xI/edit?usp=sharing"",""ยะลา!N236"")+IMPORTRANGE(""https://docs.google.com/spreadsheets/d/1qfrKjzMhm2HJfxQ-qVlJlJQ25Hne1d0khsySbZyGtPA/edit?usp=sharing"",""ระนอง!N236"")+IMPORTRANGE(""https://docs.google.com/spreadsheets/d/"&amp;"1IbSCnFOKpZsnFogBHJnL_isstZVaOMnFiIN0fGTPZZw/edit?usp=sharing"",""สงขลา!N236"")+IMPORTRANGE(""https://docs.google.com/spreadsheets/d/1q9nWasZJ-K8bFGvbE9n0qSRuKGA4Toe3Y89cKCiVtCU/edit?usp=sharing"",""สตูล!N236"")+IMPORTRANGE(""https://docs.google.com/sprea"&amp;"dsheets/d/18T20gbkS_WBjdscyTOV05cvq_JqvqQ17C81mpxf7Ncs/edit?usp=sharing"",""สุราษฎร์ธานี!N236"")"),42695)</f>
        <v>42695</v>
      </c>
      <c r="O236" s="46"/>
      <c r="P236" s="46"/>
      <c r="Q236" s="47">
        <f ca="1">IFERROR(__xludf.DUMMYFUNCTION("IMPORTRANGE(""https://docs.google.com/spreadsheets/d/1kKUcYdkIfrgTSj8iHHHB2MD2FAtwyyocFgqGQn6ADyI/edit?usp=sharing"",""กระบี่!Q236"")+IMPORTRANGE(""https://docs.google.com/spreadsheets/d/1GwtLaSlNZkLk7iDqcyZz22giiy40b_usZZBXYciEN1U/edit?usp=sharing"",""ชุ"&amp;"มพร!Q236"")+IMPORTRANGE(""https://docs.google.com/spreadsheets/d/16pAz3pOhQEZBhvFNMa5KGgZS6iKWpsKX0pg6tQmwFpo/edit?usp=sharing"",""ตรัง!Q236"")+IMPORTRANGE(""https://docs.google.com/spreadsheets/d/1Dj4jcHCTV9JXKCaMoheSXS52JE63kDKyG7bPXnFogHk/edit?usp=shar"&amp;"ing"",""นครศรีธรรมราช!Q236"")+IMPORTRANGE(""https://docs.google.com/spreadsheets/d/1iodCdmuK2GR3jzUwk8tpccY2JHQQA-87DLOtJP-ooyU/edit?usp=sharing"",""นราธิวาส!Q236"")+IMPORTRANGE(""https://docs.google.com/spreadsheets/d/1SDNX3JhDdYRuIOsj0Wh2M-Qa_eaXl0NbWmh"&amp;"AOTbfQAs/edit?usp=sharing"",""ปัตตานี!Q236"")+IMPORTRANGE(""https://docs.google.com/spreadsheets/d/16JDLGguT8s5DsGCND1KcwHP_AWR_zDMTqLHPLJUKhaU/edit?usp=sharing"",""พังงา!Q236"")+IMPORTRANGE(""https://docs.google.com/spreadsheets/d/17ht0gPKzzT3PObBL1XJkeR"&amp;"mntBXI7wGjpLV7QorqlTk/edit?usp=sharing"",""พัทลุง!Q236"")+IMPORTRANGE(""https://docs.google.com/spreadsheets/d/1rd4qoM1q_hsgaolqNGfrim9gbsoLxQsda4-vOz5x_BM/edit?usp=sharing"",""ภูเก็ต!Q236"")+IMPORTRANGE(""https://docs.google.com/spreadsheets/d/1woKwKjgoL"&amp;"ssDvPcPeVyezB5izizAn4X1JDrys69n6xI/edit?usp=sharing"",""ยะลา!Q236"")+IMPORTRANGE(""https://docs.google.com/spreadsheets/d/1qfrKjzMhm2HJfxQ-qVlJlJQ25Hne1d0khsySbZyGtPA/edit?usp=sharing"",""ระนอง!Q236"")+IMPORTRANGE(""https://docs.google.com/spreadsheets/d/"&amp;"1IbSCnFOKpZsnFogBHJnL_isstZVaOMnFiIN0fGTPZZw/edit?usp=sharing"",""สงขลา!Q236"")+IMPORTRANGE(""https://docs.google.com/spreadsheets/d/1q9nWasZJ-K8bFGvbE9n0qSRuKGA4Toe3Y89cKCiVtCU/edit?usp=sharing"",""สตูล!Q236"")+IMPORTRANGE(""https://docs.google.com/sprea"&amp;"dsheets/d/18T20gbkS_WBjdscyTOV05cvq_JqvqQ17C81mpxf7Ncs/edit?usp=sharing"",""สุราษฎร์ธานี!Q236"")"),0)</f>
        <v>0</v>
      </c>
      <c r="R236" s="47">
        <f ca="1">IFERROR(__xludf.DUMMYFUNCTION("IMPORTRANGE(""https://docs.google.com/spreadsheets/d/1kKUcYdkIfrgTSj8iHHHB2MD2FAtwyyocFgqGQn6ADyI/edit?usp=sharing"",""กระบี่!R236"")+IMPORTRANGE(""https://docs.google.com/spreadsheets/d/1GwtLaSlNZkLk7iDqcyZz22giiy40b_usZZBXYciEN1U/edit?usp=sharing"",""ชุ"&amp;"มพร!R236"")+IMPORTRANGE(""https://docs.google.com/spreadsheets/d/16pAz3pOhQEZBhvFNMa5KGgZS6iKWpsKX0pg6tQmwFpo/edit?usp=sharing"",""ตรัง!R236"")+IMPORTRANGE(""https://docs.google.com/spreadsheets/d/1Dj4jcHCTV9JXKCaMoheSXS52JE63kDKyG7bPXnFogHk/edit?usp=shar"&amp;"ing"",""นครศรีธรรมราช!R236"")+IMPORTRANGE(""https://docs.google.com/spreadsheets/d/1iodCdmuK2GR3jzUwk8tpccY2JHQQA-87DLOtJP-ooyU/edit?usp=sharing"",""นราธิวาส!R236"")+IMPORTRANGE(""https://docs.google.com/spreadsheets/d/1SDNX3JhDdYRuIOsj0Wh2M-Qa_eaXl0NbWmh"&amp;"AOTbfQAs/edit?usp=sharing"",""ปัตตานี!R236"")+IMPORTRANGE(""https://docs.google.com/spreadsheets/d/16JDLGguT8s5DsGCND1KcwHP_AWR_zDMTqLHPLJUKhaU/edit?usp=sharing"",""พังงา!R236"")+IMPORTRANGE(""https://docs.google.com/spreadsheets/d/17ht0gPKzzT3PObBL1XJkeR"&amp;"mntBXI7wGjpLV7QorqlTk/edit?usp=sharing"",""พัทลุง!R236"")+IMPORTRANGE(""https://docs.google.com/spreadsheets/d/1rd4qoM1q_hsgaolqNGfrim9gbsoLxQsda4-vOz5x_BM/edit?usp=sharing"",""ภูเก็ต!R236"")+IMPORTRANGE(""https://docs.google.com/spreadsheets/d/1woKwKjgoL"&amp;"ssDvPcPeVyezB5izizAn4X1JDrys69n6xI/edit?usp=sharing"",""ยะลา!R236"")+IMPORTRANGE(""https://docs.google.com/spreadsheets/d/1qfrKjzMhm2HJfxQ-qVlJlJQ25Hne1d0khsySbZyGtPA/edit?usp=sharing"",""ระนอง!R236"")+IMPORTRANGE(""https://docs.google.com/spreadsheets/d/"&amp;"1IbSCnFOKpZsnFogBHJnL_isstZVaOMnFiIN0fGTPZZw/edit?usp=sharing"",""สงขลา!R236"")+IMPORTRANGE(""https://docs.google.com/spreadsheets/d/1q9nWasZJ-K8bFGvbE9n0qSRuKGA4Toe3Y89cKCiVtCU/edit?usp=sharing"",""สตูล!R236"")+IMPORTRANGE(""https://docs.google.com/sprea"&amp;"dsheets/d/18T20gbkS_WBjdscyTOV05cvq_JqvqQ17C81mpxf7Ncs/edit?usp=sharing"",""สุราษฎร์ธานี!R236"")"),0)</f>
        <v>0</v>
      </c>
      <c r="S236" s="47">
        <f ca="1">IFERROR(__xludf.DUMMYFUNCTION("IMPORTRANGE(""https://docs.google.com/spreadsheets/d/1kKUcYdkIfrgTSj8iHHHB2MD2FAtwyyocFgqGQn6ADyI/edit?usp=sharing"",""กระบี่!S236"")+IMPORTRANGE(""https://docs.google.com/spreadsheets/d/1GwtLaSlNZkLk7iDqcyZz22giiy40b_usZZBXYciEN1U/edit?usp=sharing"",""ชุ"&amp;"มพร!S236"")+IMPORTRANGE(""https://docs.google.com/spreadsheets/d/16pAz3pOhQEZBhvFNMa5KGgZS6iKWpsKX0pg6tQmwFpo/edit?usp=sharing"",""ตรัง!S236"")+IMPORTRANGE(""https://docs.google.com/spreadsheets/d/1Dj4jcHCTV9JXKCaMoheSXS52JE63kDKyG7bPXnFogHk/edit?usp=shar"&amp;"ing"",""นครศรีธรรมราช!S236"")+IMPORTRANGE(""https://docs.google.com/spreadsheets/d/1iodCdmuK2GR3jzUwk8tpccY2JHQQA-87DLOtJP-ooyU/edit?usp=sharing"",""นราธิวาส!S236"")+IMPORTRANGE(""https://docs.google.com/spreadsheets/d/1SDNX3JhDdYRuIOsj0Wh2M-Qa_eaXl0NbWmh"&amp;"AOTbfQAs/edit?usp=sharing"",""ปัตตานี!S236"")+IMPORTRANGE(""https://docs.google.com/spreadsheets/d/16JDLGguT8s5DsGCND1KcwHP_AWR_zDMTqLHPLJUKhaU/edit?usp=sharing"",""พังงา!S236"")+IMPORTRANGE(""https://docs.google.com/spreadsheets/d/17ht0gPKzzT3PObBL1XJkeR"&amp;"mntBXI7wGjpLV7QorqlTk/edit?usp=sharing"",""พัทลุง!S236"")+IMPORTRANGE(""https://docs.google.com/spreadsheets/d/1rd4qoM1q_hsgaolqNGfrim9gbsoLxQsda4-vOz5x_BM/edit?usp=sharing"",""ภูเก็ต!S236"")+IMPORTRANGE(""https://docs.google.com/spreadsheets/d/1woKwKjgoL"&amp;"ssDvPcPeVyezB5izizAn4X1JDrys69n6xI/edit?usp=sharing"",""ยะลา!S236"")+IMPORTRANGE(""https://docs.google.com/spreadsheets/d/1qfrKjzMhm2HJfxQ-qVlJlJQ25Hne1d0khsySbZyGtPA/edit?usp=sharing"",""ระนอง!S236"")+IMPORTRANGE(""https://docs.google.com/spreadsheets/d/"&amp;"1IbSCnFOKpZsnFogBHJnL_isstZVaOMnFiIN0fGTPZZw/edit?usp=sharing"",""สงขลา!S236"")+IMPORTRANGE(""https://docs.google.com/spreadsheets/d/1q9nWasZJ-K8bFGvbE9n0qSRuKGA4Toe3Y89cKCiVtCU/edit?usp=sharing"",""สตูล!S236"")+IMPORTRANGE(""https://docs.google.com/sprea"&amp;"dsheets/d/18T20gbkS_WBjdscyTOV05cvq_JqvqQ17C81mpxf7Ncs/edit?usp=sharing"",""สุราษฎร์ธานี!S236"")"),0)</f>
        <v>0</v>
      </c>
      <c r="T236" s="46"/>
      <c r="U236" s="46"/>
    </row>
    <row r="237" spans="1:21" ht="19.5" x14ac:dyDescent="0.3">
      <c r="A237" s="138"/>
      <c r="B237" s="139"/>
      <c r="C237" s="162" t="s">
        <v>18</v>
      </c>
      <c r="D237" s="140" t="s">
        <v>38</v>
      </c>
      <c r="E237" s="141"/>
      <c r="F237" s="141"/>
      <c r="G237" s="142"/>
      <c r="H237" s="143"/>
      <c r="I237" s="135"/>
      <c r="J237" s="45"/>
      <c r="K237" s="46"/>
      <c r="L237" s="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52">
        <f ca="1">IFERROR(__xludf.DUMMYFUNCTION("IMPORTRANGE(""https://docs.google.com/spreadsheets/d/1kKUcYdkIfrgTSj8iHHHB2MD2FAtwyyocFgqGQn6ADyI/edit?usp=sharing"",""กระบี่!I238"")+IMPORTRANGE(""https://docs.google.com/spreadsheets/d/1GwtLaSlNZkLk7iDqcyZz22giiy40b_usZZBXYciEN1U/edit?usp=sharing"",""ชุ"&amp;"มพร!I238"")+IMPORTRANGE(""https://docs.google.com/spreadsheets/d/16pAz3pOhQEZBhvFNMa5KGgZS6iKWpsKX0pg6tQmwFpo/edit?usp=sharing"",""ตรัง!I238"")+IMPORTRANGE(""https://docs.google.com/spreadsheets/d/1Dj4jcHCTV9JXKCaMoheSXS52JE63kDKyG7bPXnFogHk/edit?usp=shar"&amp;"ing"",""นครศรีธรรมราช!I238"")+IMPORTRANGE(""https://docs.google.com/spreadsheets/d/1iodCdmuK2GR3jzUwk8tpccY2JHQQA-87DLOtJP-ooyU/edit?usp=sharing"",""นราธิวาส!I238"")+IMPORTRANGE(""https://docs.google.com/spreadsheets/d/1SDNX3JhDdYRuIOsj0Wh2M-Qa_eaXl0NbWmh"&amp;"AOTbfQAs/edit?usp=sharing"",""ปัตตานี!I238"")+IMPORTRANGE(""https://docs.google.com/spreadsheets/d/16JDLGguT8s5DsGCND1KcwHP_AWR_zDMTqLHPLJUKhaU/edit?usp=sharing"",""พังงา!I238"")+IMPORTRANGE(""https://docs.google.com/spreadsheets/d/17ht0gPKzzT3PObBL1XJkeR"&amp;"mntBXI7wGjpLV7QorqlTk/edit?usp=sharing"",""พัทลุง!I238"")+IMPORTRANGE(""https://docs.google.com/spreadsheets/d/1rd4qoM1q_hsgaolqNGfrim9gbsoLxQsda4-vOz5x_BM/edit?usp=sharing"",""ภูเก็ต!I238"")+IMPORTRANGE(""https://docs.google.com/spreadsheets/d/1woKwKjgoL"&amp;"ssDvPcPeVyezB5izizAn4X1JDrys69n6xI/edit?usp=sharing"",""ยะลา!I238"")+IMPORTRANGE(""https://docs.google.com/spreadsheets/d/1qfrKjzMhm2HJfxQ-qVlJlJQ25Hne1d0khsySbZyGtPA/edit?usp=sharing"",""ระนอง!I238"")+IMPORTRANGE(""https://docs.google.com/spreadsheets/d/"&amp;"1IbSCnFOKpZsnFogBHJnL_isstZVaOMnFiIN0fGTPZZw/edit?usp=sharing"",""สงขลา!I238"")+IMPORTRANGE(""https://docs.google.com/spreadsheets/d/1q9nWasZJ-K8bFGvbE9n0qSRuKGA4Toe3Y89cKCiVtCU/edit?usp=sharing"",""สตูล!I238"")+IMPORTRANGE(""https://docs.google.com/sprea"&amp;"dsheets/d/18T20gbkS_WBjdscyTOV05cvq_JqvqQ17C81mpxf7Ncs/edit?usp=sharing"",""สุราษฎร์ธานี!I238"")"),110)</f>
        <v>110</v>
      </c>
      <c r="J238" s="152">
        <f ca="1">IFERROR(__xludf.DUMMYFUNCTION("IMPORTRANGE(""https://docs.google.com/spreadsheets/d/1kKUcYdkIfrgTSj8iHHHB2MD2FAtwyyocFgqGQn6ADyI/edit?usp=sharing"",""กระบี่!J238"")+IMPORTRANGE(""https://docs.google.com/spreadsheets/d/1GwtLaSlNZkLk7iDqcyZz22giiy40b_usZZBXYciEN1U/edit?usp=sharing"",""ชุ"&amp;"มพร!J238"")+IMPORTRANGE(""https://docs.google.com/spreadsheets/d/16pAz3pOhQEZBhvFNMa5KGgZS6iKWpsKX0pg6tQmwFpo/edit?usp=sharing"",""ตรัง!J238"")+IMPORTRANGE(""https://docs.google.com/spreadsheets/d/1Dj4jcHCTV9JXKCaMoheSXS52JE63kDKyG7bPXnFogHk/edit?usp=shar"&amp;"ing"",""นครศรีธรรมราช!J238"")+IMPORTRANGE(""https://docs.google.com/spreadsheets/d/1iodCdmuK2GR3jzUwk8tpccY2JHQQA-87DLOtJP-ooyU/edit?usp=sharing"",""นราธิวาส!J238"")+IMPORTRANGE(""https://docs.google.com/spreadsheets/d/1SDNX3JhDdYRuIOsj0Wh2M-Qa_eaXl0NbWmh"&amp;"AOTbfQAs/edit?usp=sharing"",""ปัตตานี!J238"")+IMPORTRANGE(""https://docs.google.com/spreadsheets/d/16JDLGguT8s5DsGCND1KcwHP_AWR_zDMTqLHPLJUKhaU/edit?usp=sharing"",""พังงา!J238"")+IMPORTRANGE(""https://docs.google.com/spreadsheets/d/17ht0gPKzzT3PObBL1XJkeR"&amp;"mntBXI7wGjpLV7QorqlTk/edit?usp=sharing"",""พัทลุง!J238"")+IMPORTRANGE(""https://docs.google.com/spreadsheets/d/1rd4qoM1q_hsgaolqNGfrim9gbsoLxQsda4-vOz5x_BM/edit?usp=sharing"",""ภูเก็ต!J238"")+IMPORTRANGE(""https://docs.google.com/spreadsheets/d/1woKwKjgoL"&amp;"ssDvPcPeVyezB5izizAn4X1JDrys69n6xI/edit?usp=sharing"",""ยะลา!J238"")+IMPORTRANGE(""https://docs.google.com/spreadsheets/d/1qfrKjzMhm2HJfxQ-qVlJlJQ25Hne1d0khsySbZyGtPA/edit?usp=sharing"",""ระนอง!J238"")+IMPORTRANGE(""https://docs.google.com/spreadsheets/d/"&amp;"1IbSCnFOKpZsnFogBHJnL_isstZVaOMnFiIN0fGTPZZw/edit?usp=sharing"",""สงขลา!J238"")+IMPORTRANGE(""https://docs.google.com/spreadsheets/d/1q9nWasZJ-K8bFGvbE9n0qSRuKGA4Toe3Y89cKCiVtCU/edit?usp=sharing"",""สตูล!J238"")+IMPORTRANGE(""https://docs.google.com/sprea"&amp;"dsheets/d/18T20gbkS_WBjdscyTOV05cvq_JqvqQ17C81mpxf7Ncs/edit?usp=sharing"",""สุราษฎร์ธานี!J238"")"),43)</f>
        <v>43</v>
      </c>
      <c r="K238" s="47">
        <f ca="1">IF(I238&gt;0,J238*100/I238,0)</f>
        <v>39.090909090909093</v>
      </c>
      <c r="L238" s="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x14ac:dyDescent="0.25">
      <c r="A239" s="138"/>
      <c r="B239" s="139"/>
      <c r="C239" s="139"/>
      <c r="D239" s="248" t="s">
        <v>43</v>
      </c>
      <c r="E239" s="145"/>
      <c r="F239" s="145"/>
      <c r="G239" s="143"/>
      <c r="H239" s="143"/>
      <c r="I239" s="45"/>
      <c r="J239" s="45"/>
      <c r="K239" s="46"/>
      <c r="L239" s="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52">
        <v>0</v>
      </c>
      <c r="J240" s="152">
        <f ca="1">IFERROR(__xludf.DUMMYFUNCTION("IMPORTRANGE(""https://docs.google.com/spreadsheets/d/1kKUcYdkIfrgTSj8iHHHB2MD2FAtwyyocFgqGQn6ADyI/edit?usp=sharing"",""กระบี่!J240"")+IMPORTRANGE(""https://docs.google.com/spreadsheets/d/1GwtLaSlNZkLk7iDqcyZz22giiy40b_usZZBXYciEN1U/edit?usp=sharing"",""ชุ"&amp;"มพร!J240"")+IMPORTRANGE(""https://docs.google.com/spreadsheets/d/16pAz3pOhQEZBhvFNMa5KGgZS6iKWpsKX0pg6tQmwFpo/edit?usp=sharing"",""ตรัง!J240"")+IMPORTRANGE(""https://docs.google.com/spreadsheets/d/1Dj4jcHCTV9JXKCaMoheSXS52JE63kDKyG7bPXnFogHk/edit?usp=shar"&amp;"ing"",""นครศรีธรรมราช!J240"")+IMPORTRANGE(""https://docs.google.com/spreadsheets/d/1iodCdmuK2GR3jzUwk8tpccY2JHQQA-87DLOtJP-ooyU/edit?usp=sharing"",""นราธิวาส!J240"")+IMPORTRANGE(""https://docs.google.com/spreadsheets/d/1SDNX3JhDdYRuIOsj0Wh2M-Qa_eaXl0NbWmh"&amp;"AOTbfQAs/edit?usp=sharing"",""ปัตตานี!J240"")+IMPORTRANGE(""https://docs.google.com/spreadsheets/d/16JDLGguT8s5DsGCND1KcwHP_AWR_zDMTqLHPLJUKhaU/edit?usp=sharing"",""พังงา!J240"")+IMPORTRANGE(""https://docs.google.com/spreadsheets/d/17ht0gPKzzT3PObBL1XJkeR"&amp;"mntBXI7wGjpLV7QorqlTk/edit?usp=sharing"",""พัทลุง!J240"")+IMPORTRANGE(""https://docs.google.com/spreadsheets/d/1rd4qoM1q_hsgaolqNGfrim9gbsoLxQsda4-vOz5x_BM/edit?usp=sharing"",""ภูเก็ต!J240"")+IMPORTRANGE(""https://docs.google.com/spreadsheets/d/1woKwKjgoL"&amp;"ssDvPcPeVyezB5izizAn4X1JDrys69n6xI/edit?usp=sharing"",""ยะลา!J240"")+IMPORTRANGE(""https://docs.google.com/spreadsheets/d/1qfrKjzMhm2HJfxQ-qVlJlJQ25Hne1d0khsySbZyGtPA/edit?usp=sharing"",""ระนอง!J240"")+IMPORTRANGE(""https://docs.google.com/spreadsheets/d/"&amp;"1IbSCnFOKpZsnFogBHJnL_isstZVaOMnFiIN0fGTPZZw/edit?usp=sharing"",""สงขลา!J240"")+IMPORTRANGE(""https://docs.google.com/spreadsheets/d/1q9nWasZJ-K8bFGvbE9n0qSRuKGA4Toe3Y89cKCiVtCU/edit?usp=sharing"",""สตูล!J240"")+IMPORTRANGE(""https://docs.google.com/sprea"&amp;"dsheets/d/18T20gbkS_WBjdscyTOV05cvq_JqvqQ17C81mpxf7Ncs/edit?usp=sharing"",""สุราษฎร์ธานี!J240"")"),23)</f>
        <v>23</v>
      </c>
      <c r="K240" s="47">
        <f t="shared" ref="K240:K241" si="187">IF(I240&gt;0,J240*100/I240,0)</f>
        <v>0</v>
      </c>
      <c r="L240" s="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52">
        <v>0</v>
      </c>
      <c r="J241" s="152">
        <f ca="1">IFERROR(__xludf.DUMMYFUNCTION("IMPORTRANGE(""https://docs.google.com/spreadsheets/d/1kKUcYdkIfrgTSj8iHHHB2MD2FAtwyyocFgqGQn6ADyI/edit?usp=sharing"",""กระบี่!J241"")+IMPORTRANGE(""https://docs.google.com/spreadsheets/d/1GwtLaSlNZkLk7iDqcyZz22giiy40b_usZZBXYciEN1U/edit?usp=sharing"",""ชุ"&amp;"มพร!J241"")+IMPORTRANGE(""https://docs.google.com/spreadsheets/d/16pAz3pOhQEZBhvFNMa5KGgZS6iKWpsKX0pg6tQmwFpo/edit?usp=sharing"",""ตรัง!J241"")+IMPORTRANGE(""https://docs.google.com/spreadsheets/d/1Dj4jcHCTV9JXKCaMoheSXS52JE63kDKyG7bPXnFogHk/edit?usp=shar"&amp;"ing"",""นครศรีธรรมราช!J241"")+IMPORTRANGE(""https://docs.google.com/spreadsheets/d/1iodCdmuK2GR3jzUwk8tpccY2JHQQA-87DLOtJP-ooyU/edit?usp=sharing"",""นราธิวาส!J241"")+IMPORTRANGE(""https://docs.google.com/spreadsheets/d/1SDNX3JhDdYRuIOsj0Wh2M-Qa_eaXl0NbWmh"&amp;"AOTbfQAs/edit?usp=sharing"",""ปัตตานี!J241"")+IMPORTRANGE(""https://docs.google.com/spreadsheets/d/16JDLGguT8s5DsGCND1KcwHP_AWR_zDMTqLHPLJUKhaU/edit?usp=sharing"",""พังงา!J241"")+IMPORTRANGE(""https://docs.google.com/spreadsheets/d/17ht0gPKzzT3PObBL1XJkeR"&amp;"mntBXI7wGjpLV7QorqlTk/edit?usp=sharing"",""พัทลุง!J241"")+IMPORTRANGE(""https://docs.google.com/spreadsheets/d/1rd4qoM1q_hsgaolqNGfrim9gbsoLxQsda4-vOz5x_BM/edit?usp=sharing"",""ภูเก็ต!J241"")+IMPORTRANGE(""https://docs.google.com/spreadsheets/d/1woKwKjgoL"&amp;"ssDvPcPeVyezB5izizAn4X1JDrys69n6xI/edit?usp=sharing"",""ยะลา!J241"")+IMPORTRANGE(""https://docs.google.com/spreadsheets/d/1qfrKjzMhm2HJfxQ-qVlJlJQ25Hne1d0khsySbZyGtPA/edit?usp=sharing"",""ระนอง!J241"")+IMPORTRANGE(""https://docs.google.com/spreadsheets/d/"&amp;"1IbSCnFOKpZsnFogBHJnL_isstZVaOMnFiIN0fGTPZZw/edit?usp=sharing"",""สงขลา!J241"")+IMPORTRANGE(""https://docs.google.com/spreadsheets/d/1q9nWasZJ-K8bFGvbE9n0qSRuKGA4Toe3Y89cKCiVtCU/edit?usp=sharing"",""สตูล!J241"")+IMPORTRANGE(""https://docs.google.com/sprea"&amp;"dsheets/d/18T20gbkS_WBjdscyTOV05cvq_JqvqQ17C81mpxf7Ncs/edit?usp=sharing"",""สุราษฎร์ธานี!J241"")"),6)</f>
        <v>6</v>
      </c>
      <c r="K241" s="47">
        <f t="shared" si="187"/>
        <v>0</v>
      </c>
      <c r="L241" s="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41"/>
      <c r="B242" s="242"/>
      <c r="C242" s="249" t="s">
        <v>111</v>
      </c>
      <c r="D242" s="243"/>
      <c r="E242" s="243"/>
      <c r="F242" s="243"/>
      <c r="G242" s="244"/>
      <c r="H242" s="250" t="s">
        <v>35</v>
      </c>
      <c r="I242" s="246"/>
      <c r="J242" s="246"/>
      <c r="K242" s="247"/>
      <c r="L242" s="247"/>
      <c r="M242" s="247"/>
      <c r="N242" s="247"/>
      <c r="O242" s="247"/>
      <c r="P242" s="247"/>
      <c r="Q242" s="247"/>
      <c r="R242" s="247"/>
      <c r="S242" s="247"/>
      <c r="T242" s="230"/>
      <c r="U242" s="230"/>
    </row>
    <row r="243" spans="1:21" ht="19.5" hidden="1" x14ac:dyDescent="0.3">
      <c r="A243" s="251"/>
      <c r="B243" s="243"/>
      <c r="C243" s="249" t="s">
        <v>18</v>
      </c>
      <c r="D243" s="252" t="s">
        <v>19</v>
      </c>
      <c r="E243" s="243"/>
      <c r="F243" s="243"/>
      <c r="G243" s="244"/>
      <c r="H243" s="253" t="s">
        <v>14</v>
      </c>
      <c r="I243" s="246"/>
      <c r="J243" s="246"/>
      <c r="K243" s="247"/>
      <c r="L243" s="247"/>
      <c r="M243" s="247"/>
      <c r="N243" s="247"/>
      <c r="O243" s="247"/>
      <c r="P243" s="247"/>
      <c r="Q243" s="247"/>
      <c r="R243" s="247"/>
      <c r="S243" s="247"/>
      <c r="T243" s="46"/>
      <c r="U243" s="46"/>
    </row>
    <row r="244" spans="1:21" ht="18.75" hidden="1" x14ac:dyDescent="0.25">
      <c r="A244" s="251"/>
      <c r="B244" s="242"/>
      <c r="C244" s="243"/>
      <c r="D244" s="254" t="s">
        <v>86</v>
      </c>
      <c r="E244" s="243"/>
      <c r="F244" s="243"/>
      <c r="G244" s="244"/>
      <c r="H244" s="255" t="s">
        <v>14</v>
      </c>
      <c r="I244" s="246"/>
      <c r="J244" s="246"/>
      <c r="K244" s="247"/>
      <c r="L244" s="247"/>
      <c r="M244" s="247"/>
      <c r="N244" s="247"/>
      <c r="O244" s="247"/>
      <c r="P244" s="247"/>
      <c r="Q244" s="247"/>
      <c r="R244" s="247"/>
      <c r="S244" s="247"/>
      <c r="T244" s="46"/>
      <c r="U244" s="46"/>
    </row>
    <row r="245" spans="1:21" ht="18.75" hidden="1" x14ac:dyDescent="0.25">
      <c r="A245" s="241"/>
      <c r="B245" s="242"/>
      <c r="C245" s="242"/>
      <c r="D245" s="254" t="s">
        <v>88</v>
      </c>
      <c r="E245" s="243"/>
      <c r="F245" s="243"/>
      <c r="G245" s="244"/>
      <c r="H245" s="255" t="s">
        <v>14</v>
      </c>
      <c r="I245" s="246"/>
      <c r="J245" s="246"/>
      <c r="K245" s="247"/>
      <c r="L245" s="247"/>
      <c r="M245" s="247"/>
      <c r="N245" s="247"/>
      <c r="O245" s="247"/>
      <c r="P245" s="247"/>
      <c r="Q245" s="247"/>
      <c r="R245" s="247"/>
      <c r="S245" s="247"/>
      <c r="T245" s="46"/>
      <c r="U245" s="46"/>
    </row>
    <row r="246" spans="1:21" ht="18.75" hidden="1" x14ac:dyDescent="0.25">
      <c r="A246" s="241"/>
      <c r="B246" s="242"/>
      <c r="C246" s="242"/>
      <c r="D246" s="254" t="s">
        <v>106</v>
      </c>
      <c r="E246" s="243"/>
      <c r="F246" s="243"/>
      <c r="G246" s="244"/>
      <c r="H246" s="255" t="s">
        <v>14</v>
      </c>
      <c r="I246" s="246"/>
      <c r="J246" s="246"/>
      <c r="K246" s="247"/>
      <c r="L246" s="247"/>
      <c r="M246" s="247"/>
      <c r="N246" s="247"/>
      <c r="O246" s="247"/>
      <c r="P246" s="247"/>
      <c r="Q246" s="247"/>
      <c r="R246" s="247"/>
      <c r="S246" s="247"/>
      <c r="T246" s="46"/>
      <c r="U246" s="46"/>
    </row>
    <row r="247" spans="1:21" ht="18.75" hidden="1" x14ac:dyDescent="0.25">
      <c r="A247" s="241"/>
      <c r="B247" s="242"/>
      <c r="C247" s="242"/>
      <c r="D247" s="254" t="s">
        <v>107</v>
      </c>
      <c r="E247" s="243"/>
      <c r="F247" s="243"/>
      <c r="G247" s="244"/>
      <c r="H247" s="255" t="s">
        <v>14</v>
      </c>
      <c r="I247" s="246"/>
      <c r="J247" s="246"/>
      <c r="K247" s="247"/>
      <c r="L247" s="247"/>
      <c r="M247" s="247"/>
      <c r="N247" s="247"/>
      <c r="O247" s="247"/>
      <c r="P247" s="247"/>
      <c r="Q247" s="247"/>
      <c r="R247" s="247"/>
      <c r="S247" s="247"/>
      <c r="T247" s="46"/>
      <c r="U247" s="46"/>
    </row>
    <row r="248" spans="1:21" ht="19.5" hidden="1" x14ac:dyDescent="0.3">
      <c r="A248" s="241"/>
      <c r="B248" s="242"/>
      <c r="C248" s="256" t="s">
        <v>18</v>
      </c>
      <c r="D248" s="257" t="s">
        <v>38</v>
      </c>
      <c r="E248" s="243"/>
      <c r="F248" s="243"/>
      <c r="G248" s="244"/>
      <c r="H248" s="244"/>
      <c r="I248" s="246"/>
      <c r="J248" s="246"/>
      <c r="K248" s="247"/>
      <c r="L248" s="247"/>
      <c r="M248" s="247"/>
      <c r="N248" s="247"/>
      <c r="O248" s="247"/>
      <c r="P248" s="247"/>
      <c r="Q248" s="247"/>
      <c r="R248" s="247"/>
      <c r="S248" s="247"/>
      <c r="T248" s="136"/>
      <c r="U248" s="136"/>
    </row>
    <row r="249" spans="1:21" ht="18.75" hidden="1" x14ac:dyDescent="0.25">
      <c r="A249" s="241"/>
      <c r="B249" s="242"/>
      <c r="C249" s="242"/>
      <c r="D249" s="254" t="s">
        <v>108</v>
      </c>
      <c r="E249" s="243"/>
      <c r="F249" s="243"/>
      <c r="G249" s="244"/>
      <c r="H249" s="258" t="s">
        <v>35</v>
      </c>
      <c r="I249" s="246"/>
      <c r="J249" s="246"/>
      <c r="K249" s="247"/>
      <c r="L249" s="247"/>
      <c r="M249" s="247"/>
      <c r="N249" s="247"/>
      <c r="O249" s="247"/>
      <c r="P249" s="247"/>
      <c r="Q249" s="247"/>
      <c r="R249" s="247"/>
      <c r="S249" s="247"/>
      <c r="T249" s="46"/>
      <c r="U249" s="46"/>
    </row>
    <row r="250" spans="1:21" ht="18.75" hidden="1" x14ac:dyDescent="0.25">
      <c r="A250" s="241"/>
      <c r="B250" s="242"/>
      <c r="C250" s="242"/>
      <c r="D250" s="259" t="s">
        <v>43</v>
      </c>
      <c r="E250" s="243"/>
      <c r="F250" s="243"/>
      <c r="G250" s="244"/>
      <c r="H250" s="244"/>
      <c r="I250" s="246"/>
      <c r="J250" s="246"/>
      <c r="K250" s="247"/>
      <c r="L250" s="247"/>
      <c r="M250" s="247"/>
      <c r="N250" s="247"/>
      <c r="O250" s="247"/>
      <c r="P250" s="247"/>
      <c r="Q250" s="247"/>
      <c r="R250" s="247"/>
      <c r="S250" s="247"/>
      <c r="T250" s="136"/>
      <c r="U250" s="136"/>
    </row>
    <row r="251" spans="1:21" ht="18.75" hidden="1" x14ac:dyDescent="0.25">
      <c r="A251" s="241"/>
      <c r="B251" s="242"/>
      <c r="C251" s="242"/>
      <c r="D251" s="242"/>
      <c r="E251" s="260" t="s">
        <v>109</v>
      </c>
      <c r="F251" s="243"/>
      <c r="G251" s="244"/>
      <c r="H251" s="258" t="s">
        <v>35</v>
      </c>
      <c r="I251" s="246"/>
      <c r="J251" s="246"/>
      <c r="K251" s="247"/>
      <c r="L251" s="247"/>
      <c r="M251" s="247"/>
      <c r="N251" s="247"/>
      <c r="O251" s="247"/>
      <c r="P251" s="247"/>
      <c r="Q251" s="247"/>
      <c r="R251" s="247"/>
      <c r="S251" s="247"/>
      <c r="T251" s="46"/>
      <c r="U251" s="46"/>
    </row>
    <row r="252" spans="1:21" ht="18.75" hidden="1" x14ac:dyDescent="0.25">
      <c r="A252" s="241"/>
      <c r="B252" s="242"/>
      <c r="C252" s="242"/>
      <c r="D252" s="242"/>
      <c r="E252" s="260" t="s">
        <v>110</v>
      </c>
      <c r="F252" s="243"/>
      <c r="G252" s="244"/>
      <c r="H252" s="258" t="s">
        <v>61</v>
      </c>
      <c r="I252" s="246"/>
      <c r="J252" s="246"/>
      <c r="K252" s="247"/>
      <c r="L252" s="247"/>
      <c r="M252" s="247"/>
      <c r="N252" s="247"/>
      <c r="O252" s="247"/>
      <c r="P252" s="247"/>
      <c r="Q252" s="247"/>
      <c r="R252" s="247"/>
      <c r="S252" s="247"/>
      <c r="T252" s="46"/>
      <c r="U252" s="46"/>
    </row>
    <row r="253" spans="1:21" ht="19.5" hidden="1" x14ac:dyDescent="0.3">
      <c r="A253" s="241"/>
      <c r="B253" s="242"/>
      <c r="C253" s="249" t="s">
        <v>112</v>
      </c>
      <c r="D253" s="243"/>
      <c r="E253" s="243"/>
      <c r="F253" s="243"/>
      <c r="G253" s="244"/>
      <c r="H253" s="250" t="s">
        <v>35</v>
      </c>
      <c r="I253" s="246"/>
      <c r="J253" s="246"/>
      <c r="K253" s="247"/>
      <c r="L253" s="247"/>
      <c r="M253" s="247"/>
      <c r="N253" s="247"/>
      <c r="O253" s="247"/>
      <c r="P253" s="247"/>
      <c r="Q253" s="247"/>
      <c r="R253" s="247"/>
      <c r="S253" s="247"/>
      <c r="T253" s="230"/>
      <c r="U253" s="230"/>
    </row>
    <row r="254" spans="1:21" ht="19.5" hidden="1" x14ac:dyDescent="0.3">
      <c r="A254" s="251"/>
      <c r="B254" s="243"/>
      <c r="C254" s="249" t="s">
        <v>18</v>
      </c>
      <c r="D254" s="257" t="s">
        <v>19</v>
      </c>
      <c r="E254" s="243"/>
      <c r="F254" s="243"/>
      <c r="G254" s="244"/>
      <c r="H254" s="253" t="s">
        <v>14</v>
      </c>
      <c r="I254" s="246"/>
      <c r="J254" s="246"/>
      <c r="K254" s="247"/>
      <c r="L254" s="247"/>
      <c r="M254" s="247"/>
      <c r="N254" s="247"/>
      <c r="O254" s="247"/>
      <c r="P254" s="247"/>
      <c r="Q254" s="247"/>
      <c r="R254" s="247"/>
      <c r="S254" s="247"/>
      <c r="T254" s="46"/>
      <c r="U254" s="46"/>
    </row>
    <row r="255" spans="1:21" ht="18.75" hidden="1" x14ac:dyDescent="0.25">
      <c r="A255" s="251"/>
      <c r="B255" s="242"/>
      <c r="C255" s="243"/>
      <c r="D255" s="254" t="s">
        <v>86</v>
      </c>
      <c r="E255" s="243"/>
      <c r="F255" s="243"/>
      <c r="G255" s="244"/>
      <c r="H255" s="255" t="s">
        <v>14</v>
      </c>
      <c r="I255" s="246"/>
      <c r="J255" s="246"/>
      <c r="K255" s="247"/>
      <c r="L255" s="247"/>
      <c r="M255" s="247"/>
      <c r="N255" s="247"/>
      <c r="O255" s="247"/>
      <c r="P255" s="247"/>
      <c r="Q255" s="247"/>
      <c r="R255" s="247"/>
      <c r="S255" s="247"/>
      <c r="T255" s="46"/>
      <c r="U255" s="46"/>
    </row>
    <row r="256" spans="1:21" ht="18.75" hidden="1" x14ac:dyDescent="0.25">
      <c r="A256" s="241"/>
      <c r="B256" s="242"/>
      <c r="C256" s="242"/>
      <c r="D256" s="254" t="s">
        <v>88</v>
      </c>
      <c r="E256" s="243"/>
      <c r="F256" s="243"/>
      <c r="G256" s="244"/>
      <c r="H256" s="255" t="s">
        <v>14</v>
      </c>
      <c r="I256" s="246"/>
      <c r="J256" s="246"/>
      <c r="K256" s="247"/>
      <c r="L256" s="247"/>
      <c r="M256" s="247"/>
      <c r="N256" s="247"/>
      <c r="O256" s="247"/>
      <c r="P256" s="247"/>
      <c r="Q256" s="247"/>
      <c r="R256" s="247"/>
      <c r="S256" s="247"/>
      <c r="T256" s="46"/>
      <c r="U256" s="46"/>
    </row>
    <row r="257" spans="1:21" ht="18.75" hidden="1" x14ac:dyDescent="0.25">
      <c r="A257" s="241"/>
      <c r="B257" s="242"/>
      <c r="C257" s="242"/>
      <c r="D257" s="254" t="s">
        <v>106</v>
      </c>
      <c r="E257" s="243"/>
      <c r="F257" s="243"/>
      <c r="G257" s="244"/>
      <c r="H257" s="255" t="s">
        <v>14</v>
      </c>
      <c r="I257" s="246"/>
      <c r="J257" s="246"/>
      <c r="K257" s="247"/>
      <c r="L257" s="247"/>
      <c r="M257" s="247"/>
      <c r="N257" s="247"/>
      <c r="O257" s="247"/>
      <c r="P257" s="247"/>
      <c r="Q257" s="247"/>
      <c r="R257" s="247"/>
      <c r="S257" s="247"/>
      <c r="T257" s="46"/>
      <c r="U257" s="46"/>
    </row>
    <row r="258" spans="1:21" ht="18.75" hidden="1" x14ac:dyDescent="0.25">
      <c r="A258" s="241"/>
      <c r="B258" s="242"/>
      <c r="C258" s="242"/>
      <c r="D258" s="254" t="s">
        <v>107</v>
      </c>
      <c r="E258" s="243"/>
      <c r="F258" s="243"/>
      <c r="G258" s="244"/>
      <c r="H258" s="255" t="s">
        <v>14</v>
      </c>
      <c r="I258" s="246"/>
      <c r="J258" s="246"/>
      <c r="K258" s="247"/>
      <c r="L258" s="247"/>
      <c r="M258" s="247"/>
      <c r="N258" s="247"/>
      <c r="O258" s="247"/>
      <c r="P258" s="247"/>
      <c r="Q258" s="247"/>
      <c r="R258" s="247"/>
      <c r="S258" s="247"/>
      <c r="T258" s="46"/>
      <c r="U258" s="46"/>
    </row>
    <row r="259" spans="1:21" ht="19.5" hidden="1" x14ac:dyDescent="0.3">
      <c r="A259" s="241"/>
      <c r="B259" s="242"/>
      <c r="C259" s="256" t="s">
        <v>18</v>
      </c>
      <c r="D259" s="257" t="s">
        <v>38</v>
      </c>
      <c r="E259" s="243"/>
      <c r="F259" s="243"/>
      <c r="G259" s="244"/>
      <c r="H259" s="244"/>
      <c r="I259" s="246"/>
      <c r="J259" s="246"/>
      <c r="K259" s="247"/>
      <c r="L259" s="247"/>
      <c r="M259" s="247"/>
      <c r="N259" s="247"/>
      <c r="O259" s="247"/>
      <c r="P259" s="247"/>
      <c r="Q259" s="247"/>
      <c r="R259" s="247"/>
      <c r="S259" s="247"/>
      <c r="T259" s="136"/>
      <c r="U259" s="136"/>
    </row>
    <row r="260" spans="1:21" ht="18.75" hidden="1" x14ac:dyDescent="0.25">
      <c r="A260" s="241"/>
      <c r="B260" s="242"/>
      <c r="C260" s="242"/>
      <c r="D260" s="254" t="s">
        <v>108</v>
      </c>
      <c r="E260" s="243"/>
      <c r="F260" s="243"/>
      <c r="G260" s="244"/>
      <c r="H260" s="258" t="s">
        <v>35</v>
      </c>
      <c r="I260" s="246"/>
      <c r="J260" s="246"/>
      <c r="K260" s="247"/>
      <c r="L260" s="247"/>
      <c r="M260" s="247"/>
      <c r="N260" s="247"/>
      <c r="O260" s="247"/>
      <c r="P260" s="247"/>
      <c r="Q260" s="247"/>
      <c r="R260" s="247"/>
      <c r="S260" s="247"/>
      <c r="T260" s="46"/>
      <c r="U260" s="46"/>
    </row>
    <row r="261" spans="1:21" ht="18.75" hidden="1" x14ac:dyDescent="0.25">
      <c r="A261" s="241"/>
      <c r="B261" s="242"/>
      <c r="C261" s="242"/>
      <c r="D261" s="259" t="s">
        <v>43</v>
      </c>
      <c r="E261" s="243"/>
      <c r="F261" s="243"/>
      <c r="G261" s="244"/>
      <c r="H261" s="244"/>
      <c r="I261" s="246"/>
      <c r="J261" s="246"/>
      <c r="K261" s="247"/>
      <c r="L261" s="247"/>
      <c r="M261" s="247"/>
      <c r="N261" s="247"/>
      <c r="O261" s="247"/>
      <c r="P261" s="247"/>
      <c r="Q261" s="247"/>
      <c r="R261" s="247"/>
      <c r="S261" s="247"/>
      <c r="T261" s="136"/>
      <c r="U261" s="136"/>
    </row>
    <row r="262" spans="1:21" ht="18.75" hidden="1" x14ac:dyDescent="0.25">
      <c r="A262" s="241"/>
      <c r="B262" s="242"/>
      <c r="C262" s="242"/>
      <c r="D262" s="242"/>
      <c r="E262" s="260" t="s">
        <v>109</v>
      </c>
      <c r="F262" s="243"/>
      <c r="G262" s="244"/>
      <c r="H262" s="258" t="s">
        <v>35</v>
      </c>
      <c r="I262" s="246"/>
      <c r="J262" s="246"/>
      <c r="K262" s="247"/>
      <c r="L262" s="247"/>
      <c r="M262" s="247"/>
      <c r="N262" s="247"/>
      <c r="O262" s="247"/>
      <c r="P262" s="247"/>
      <c r="Q262" s="247"/>
      <c r="R262" s="247"/>
      <c r="S262" s="247"/>
      <c r="T262" s="46"/>
      <c r="U262" s="46"/>
    </row>
    <row r="263" spans="1:21" ht="18.75" hidden="1" x14ac:dyDescent="0.25">
      <c r="A263" s="241"/>
      <c r="B263" s="242"/>
      <c r="C263" s="242"/>
      <c r="D263" s="242"/>
      <c r="E263" s="260" t="s">
        <v>110</v>
      </c>
      <c r="F263" s="243"/>
      <c r="G263" s="244"/>
      <c r="H263" s="258" t="s">
        <v>61</v>
      </c>
      <c r="I263" s="246"/>
      <c r="J263" s="246"/>
      <c r="K263" s="247"/>
      <c r="L263" s="247"/>
      <c r="M263" s="247"/>
      <c r="N263" s="247"/>
      <c r="O263" s="247"/>
      <c r="P263" s="247"/>
      <c r="Q263" s="247"/>
      <c r="R263" s="247"/>
      <c r="S263" s="247"/>
      <c r="T263" s="46"/>
      <c r="U263" s="46"/>
    </row>
    <row r="264" spans="1:21" ht="19.5" x14ac:dyDescent="0.3">
      <c r="A264" s="204" t="s">
        <v>113</v>
      </c>
      <c r="B264" s="205"/>
      <c r="C264" s="205"/>
      <c r="D264" s="206"/>
      <c r="E264" s="206"/>
      <c r="F264" s="206"/>
      <c r="G264" s="207"/>
      <c r="H264" s="207"/>
      <c r="I264" s="208"/>
      <c r="J264" s="208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</row>
    <row r="265" spans="1:21" ht="19.5" x14ac:dyDescent="0.3">
      <c r="A265" s="210"/>
      <c r="B265" s="211" t="s">
        <v>114</v>
      </c>
      <c r="C265" s="212"/>
      <c r="D265" s="141"/>
      <c r="E265" s="141"/>
      <c r="F265" s="141"/>
      <c r="G265" s="142"/>
      <c r="H265" s="213" t="s">
        <v>35</v>
      </c>
      <c r="I265" s="214">
        <f ca="1">IFERROR(__xludf.DUMMYFUNCTION("IMPORTRANGE(""https://docs.google.com/spreadsheets/d/1kKUcYdkIfrgTSj8iHHHB2MD2FAtwyyocFgqGQn6ADyI/edit?usp=sharing"",""กระบี่!I265"")+IMPORTRANGE(""https://docs.google.com/spreadsheets/d/1GwtLaSlNZkLk7iDqcyZz22giiy40b_usZZBXYciEN1U/edit?usp=sharing"",""ชุ"&amp;"มพร!I265"")+IMPORTRANGE(""https://docs.google.com/spreadsheets/d/16pAz3pOhQEZBhvFNMa5KGgZS6iKWpsKX0pg6tQmwFpo/edit?usp=sharing"",""ตรัง!I265"")+IMPORTRANGE(""https://docs.google.com/spreadsheets/d/1Dj4jcHCTV9JXKCaMoheSXS52JE63kDKyG7bPXnFogHk/edit?usp=shar"&amp;"ing"",""นครศรีธรรมราช!I265"")+IMPORTRANGE(""https://docs.google.com/spreadsheets/d/1iodCdmuK2GR3jzUwk8tpccY2JHQQA-87DLOtJP-ooyU/edit?usp=sharing"",""นราธิวาส!I265"")+IMPORTRANGE(""https://docs.google.com/spreadsheets/d/1SDNX3JhDdYRuIOsj0Wh2M-Qa_eaXl0NbWmh"&amp;"AOTbfQAs/edit?usp=sharing"",""ปัตตานี!I265"")+IMPORTRANGE(""https://docs.google.com/spreadsheets/d/16JDLGguT8s5DsGCND1KcwHP_AWR_zDMTqLHPLJUKhaU/edit?usp=sharing"",""พังงา!I265"")+IMPORTRANGE(""https://docs.google.com/spreadsheets/d/17ht0gPKzzT3PObBL1XJkeR"&amp;"mntBXI7wGjpLV7QorqlTk/edit?usp=sharing"",""พัทลุง!I265"")+IMPORTRANGE(""https://docs.google.com/spreadsheets/d/1rd4qoM1q_hsgaolqNGfrim9gbsoLxQsda4-vOz5x_BM/edit?usp=sharing"",""ภูเก็ต!I265"")+IMPORTRANGE(""https://docs.google.com/spreadsheets/d/1woKwKjgoL"&amp;"ssDvPcPeVyezB5izizAn4X1JDrys69n6xI/edit?usp=sharing"",""ยะลา!I265"")+IMPORTRANGE(""https://docs.google.com/spreadsheets/d/1qfrKjzMhm2HJfxQ-qVlJlJQ25Hne1d0khsySbZyGtPA/edit?usp=sharing"",""ระนอง!I265"")+IMPORTRANGE(""https://docs.google.com/spreadsheets/d/"&amp;"1IbSCnFOKpZsnFogBHJnL_isstZVaOMnFiIN0fGTPZZw/edit?usp=sharing"",""สงขลา!I265"")+IMPORTRANGE(""https://docs.google.com/spreadsheets/d/1q9nWasZJ-K8bFGvbE9n0qSRuKGA4Toe3Y89cKCiVtCU/edit?usp=sharing"",""สตูล!I265"")+IMPORTRANGE(""https://docs.google.com/sprea"&amp;"dsheets/d/18T20gbkS_WBjdscyTOV05cvq_JqvqQ17C81mpxf7Ncs/edit?usp=sharing"",""สุราษฎร์ธานี!I265"")"),306)</f>
        <v>306</v>
      </c>
      <c r="J265" s="214">
        <f ca="1">IFERROR(__xludf.DUMMYFUNCTION("IMPORTRANGE(""https://docs.google.com/spreadsheets/d/1kKUcYdkIfrgTSj8iHHHB2MD2FAtwyyocFgqGQn6ADyI/edit?usp=sharing"",""กระบี่!J265"")+IMPORTRANGE(""https://docs.google.com/spreadsheets/d/1GwtLaSlNZkLk7iDqcyZz22giiy40b_usZZBXYciEN1U/edit?usp=sharing"",""ชุ"&amp;"มพร!J265"")+IMPORTRANGE(""https://docs.google.com/spreadsheets/d/16pAz3pOhQEZBhvFNMa5KGgZS6iKWpsKX0pg6tQmwFpo/edit?usp=sharing"",""ตรัง!J265"")+IMPORTRANGE(""https://docs.google.com/spreadsheets/d/1Dj4jcHCTV9JXKCaMoheSXS52JE63kDKyG7bPXnFogHk/edit?usp=shar"&amp;"ing"",""นครศรีธรรมราช!J265"")+IMPORTRANGE(""https://docs.google.com/spreadsheets/d/1iodCdmuK2GR3jzUwk8tpccY2JHQQA-87DLOtJP-ooyU/edit?usp=sharing"",""นราธิวาส!J265"")+IMPORTRANGE(""https://docs.google.com/spreadsheets/d/1SDNX3JhDdYRuIOsj0Wh2M-Qa_eaXl0NbWmh"&amp;"AOTbfQAs/edit?usp=sharing"",""ปัตตานี!J265"")+IMPORTRANGE(""https://docs.google.com/spreadsheets/d/16JDLGguT8s5DsGCND1KcwHP_AWR_zDMTqLHPLJUKhaU/edit?usp=sharing"",""พังงา!J265"")+IMPORTRANGE(""https://docs.google.com/spreadsheets/d/17ht0gPKzzT3PObBL1XJkeR"&amp;"mntBXI7wGjpLV7QorqlTk/edit?usp=sharing"",""พัทลุง!J265"")+IMPORTRANGE(""https://docs.google.com/spreadsheets/d/1rd4qoM1q_hsgaolqNGfrim9gbsoLxQsda4-vOz5x_BM/edit?usp=sharing"",""ภูเก็ต!J265"")+IMPORTRANGE(""https://docs.google.com/spreadsheets/d/1woKwKjgoL"&amp;"ssDvPcPeVyezB5izizAn4X1JDrys69n6xI/edit?usp=sharing"",""ยะลา!J265"")+IMPORTRANGE(""https://docs.google.com/spreadsheets/d/1qfrKjzMhm2HJfxQ-qVlJlJQ25Hne1d0khsySbZyGtPA/edit?usp=sharing"",""ระนอง!J265"")+IMPORTRANGE(""https://docs.google.com/spreadsheets/d/"&amp;"1IbSCnFOKpZsnFogBHJnL_isstZVaOMnFiIN0fGTPZZw/edit?usp=sharing"",""สงขลา!J265"")+IMPORTRANGE(""https://docs.google.com/spreadsheets/d/1q9nWasZJ-K8bFGvbE9n0qSRuKGA4Toe3Y89cKCiVtCU/edit?usp=sharing"",""สตูล!J265"")+IMPORTRANGE(""https://docs.google.com/sprea"&amp;"dsheets/d/18T20gbkS_WBjdscyTOV05cvq_JqvqQ17C81mpxf7Ncs/edit?usp=sharing"",""สุราษฎร์ธานี!J265"")"),110)</f>
        <v>110</v>
      </c>
      <c r="K265" s="215">
        <f ca="1">IF(I265&gt;0,J265*100/I265,0)</f>
        <v>35.947712418300654</v>
      </c>
      <c r="L265" s="216"/>
      <c r="M265" s="216"/>
      <c r="N265" s="216"/>
      <c r="O265" s="216"/>
      <c r="P265" s="216"/>
      <c r="Q265" s="216"/>
      <c r="R265" s="216"/>
      <c r="S265" s="216"/>
      <c r="T265" s="216"/>
      <c r="U265" s="216"/>
    </row>
    <row r="266" spans="1:21" ht="19.5" x14ac:dyDescent="0.3">
      <c r="A266" s="128"/>
      <c r="B266" s="41"/>
      <c r="C266" s="129" t="s">
        <v>18</v>
      </c>
      <c r="D266" s="130" t="s">
        <v>19</v>
      </c>
      <c r="E266" s="41"/>
      <c r="F266" s="41"/>
      <c r="G266" s="43"/>
      <c r="H266" s="131" t="s">
        <v>14</v>
      </c>
      <c r="I266" s="45"/>
      <c r="J266" s="45"/>
      <c r="K266" s="46"/>
      <c r="L266" s="132">
        <f t="shared" ref="L266:N266" ca="1" si="188">L267+L268</f>
        <v>70000</v>
      </c>
      <c r="M266" s="132">
        <f t="shared" ca="1" si="188"/>
        <v>102190</v>
      </c>
      <c r="N266" s="132">
        <f t="shared" ca="1" si="188"/>
        <v>55570</v>
      </c>
      <c r="O266" s="132">
        <f t="shared" ref="O266:O274" ca="1" si="189">IF(L266&gt;0,N266*100/L266,0)</f>
        <v>79.385714285714286</v>
      </c>
      <c r="P266" s="132">
        <f t="shared" ref="P266:P274" ca="1" si="190">IF(M266&gt;0,N266*100/M266,0)</f>
        <v>54.379097759076231</v>
      </c>
      <c r="Q266" s="132">
        <f t="shared" ref="Q266:S266" ca="1" si="191">Q267+Q268</f>
        <v>706460</v>
      </c>
      <c r="R266" s="132">
        <f t="shared" ca="1" si="191"/>
        <v>706460</v>
      </c>
      <c r="S266" s="132">
        <f t="shared" ca="1" si="191"/>
        <v>381805</v>
      </c>
      <c r="T266" s="132">
        <f t="shared" ref="T266:T274" ca="1" si="192">IF(Q266&gt;0,S266*100/Q266,0)</f>
        <v>54.044814993064008</v>
      </c>
      <c r="U266" s="132">
        <f t="shared" ref="U266:U274" ca="1" si="193">IF(R266&gt;0,S266*100/R266,0)</f>
        <v>54.044814993064008</v>
      </c>
    </row>
    <row r="267" spans="1:21" ht="18.75" hidden="1" x14ac:dyDescent="0.25">
      <c r="A267" s="128"/>
      <c r="B267" s="41"/>
      <c r="C267" s="41"/>
      <c r="D267" s="41"/>
      <c r="E267" s="48" t="s">
        <v>20</v>
      </c>
      <c r="F267" s="41"/>
      <c r="G267" s="43"/>
      <c r="H267" s="133" t="s">
        <v>14</v>
      </c>
      <c r="I267" s="45"/>
      <c r="J267" s="45"/>
      <c r="K267" s="46"/>
      <c r="L267" s="47">
        <f t="shared" ref="L267:N267" ca="1" si="194">L270+L273</f>
        <v>0</v>
      </c>
      <c r="M267" s="47">
        <f t="shared" ca="1" si="194"/>
        <v>0</v>
      </c>
      <c r="N267" s="47">
        <f t="shared" ca="1" si="194"/>
        <v>0</v>
      </c>
      <c r="O267" s="47">
        <f t="shared" ca="1" si="189"/>
        <v>0</v>
      </c>
      <c r="P267" s="47">
        <f t="shared" ca="1" si="190"/>
        <v>0</v>
      </c>
      <c r="Q267" s="47">
        <f t="shared" ref="Q267:S267" ca="1" si="195">Q270+Q273</f>
        <v>0</v>
      </c>
      <c r="R267" s="47">
        <f t="shared" ca="1" si="195"/>
        <v>0</v>
      </c>
      <c r="S267" s="47">
        <f t="shared" ca="1" si="195"/>
        <v>0</v>
      </c>
      <c r="T267" s="49">
        <f t="shared" ca="1" si="192"/>
        <v>0</v>
      </c>
      <c r="U267" s="49">
        <f t="shared" ca="1" si="193"/>
        <v>0</v>
      </c>
    </row>
    <row r="268" spans="1:21" ht="18.75" hidden="1" x14ac:dyDescent="0.25">
      <c r="A268" s="128"/>
      <c r="B268" s="41"/>
      <c r="C268" s="41"/>
      <c r="D268" s="41"/>
      <c r="E268" s="48" t="s">
        <v>21</v>
      </c>
      <c r="F268" s="41"/>
      <c r="G268" s="43"/>
      <c r="H268" s="133" t="s">
        <v>14</v>
      </c>
      <c r="I268" s="45"/>
      <c r="J268" s="45"/>
      <c r="K268" s="46"/>
      <c r="L268" s="47">
        <f t="shared" ref="L268:N268" ca="1" si="196">L271+L274</f>
        <v>70000</v>
      </c>
      <c r="M268" s="47">
        <f t="shared" ca="1" si="196"/>
        <v>102190</v>
      </c>
      <c r="N268" s="47">
        <f t="shared" ca="1" si="196"/>
        <v>55570</v>
      </c>
      <c r="O268" s="47">
        <f t="shared" ca="1" si="189"/>
        <v>79.385714285714286</v>
      </c>
      <c r="P268" s="47">
        <f t="shared" ca="1" si="190"/>
        <v>54.379097759076231</v>
      </c>
      <c r="Q268" s="47">
        <f t="shared" ref="Q268:S268" ca="1" si="197">Q271+Q274</f>
        <v>706460</v>
      </c>
      <c r="R268" s="47">
        <f t="shared" ca="1" si="197"/>
        <v>706460</v>
      </c>
      <c r="S268" s="47">
        <f t="shared" ca="1" si="197"/>
        <v>381805</v>
      </c>
      <c r="T268" s="47">
        <f t="shared" ca="1" si="192"/>
        <v>54.044814993064008</v>
      </c>
      <c r="U268" s="47">
        <f t="shared" ca="1" si="193"/>
        <v>54.044814993064008</v>
      </c>
    </row>
    <row r="269" spans="1:21" ht="18.75" x14ac:dyDescent="0.25">
      <c r="A269" s="128"/>
      <c r="B269" s="41"/>
      <c r="C269" s="41"/>
      <c r="D269" s="42" t="s">
        <v>22</v>
      </c>
      <c r="E269" s="41"/>
      <c r="F269" s="41"/>
      <c r="G269" s="43"/>
      <c r="H269" s="134" t="s">
        <v>14</v>
      </c>
      <c r="I269" s="135"/>
      <c r="J269" s="135"/>
      <c r="K269" s="136"/>
      <c r="L269" s="47">
        <f t="shared" ref="L269:N269" ca="1" si="198">L270+L271</f>
        <v>70000</v>
      </c>
      <c r="M269" s="47">
        <f t="shared" ca="1" si="198"/>
        <v>102190</v>
      </c>
      <c r="N269" s="47">
        <f t="shared" ca="1" si="198"/>
        <v>55570</v>
      </c>
      <c r="O269" s="47">
        <f t="shared" ca="1" si="189"/>
        <v>79.385714285714286</v>
      </c>
      <c r="P269" s="47">
        <f t="shared" ca="1" si="190"/>
        <v>54.379097759076231</v>
      </c>
      <c r="Q269" s="47">
        <f t="shared" ref="Q269:S269" ca="1" si="199">Q270+Q271</f>
        <v>706460</v>
      </c>
      <c r="R269" s="47">
        <f t="shared" ca="1" si="199"/>
        <v>706460</v>
      </c>
      <c r="S269" s="47">
        <f t="shared" ca="1" si="199"/>
        <v>381805</v>
      </c>
      <c r="T269" s="47">
        <f t="shared" ca="1" si="192"/>
        <v>54.044814993064008</v>
      </c>
      <c r="U269" s="47">
        <f t="shared" ca="1" si="193"/>
        <v>54.044814993064008</v>
      </c>
    </row>
    <row r="270" spans="1:21" ht="18.75" hidden="1" x14ac:dyDescent="0.25">
      <c r="A270" s="128"/>
      <c r="B270" s="41"/>
      <c r="C270" s="41"/>
      <c r="D270" s="41"/>
      <c r="E270" s="48" t="s">
        <v>36</v>
      </c>
      <c r="F270" s="41"/>
      <c r="G270" s="43"/>
      <c r="H270" s="134" t="s">
        <v>14</v>
      </c>
      <c r="I270" s="135"/>
      <c r="J270" s="135"/>
      <c r="K270" s="136"/>
      <c r="L270" s="47">
        <f ca="1">IFERROR(__xludf.DUMMYFUNCTION("IMPORTRANGE(""https://docs.google.com/spreadsheets/d/1kKUcYdkIfrgTSj8iHHHB2MD2FAtwyyocFgqGQn6ADyI/edit?usp=sharing"",""กระบี่!L270"")+IMPORTRANGE(""https://docs.google.com/spreadsheets/d/1GwtLaSlNZkLk7iDqcyZz22giiy40b_usZZBXYciEN1U/edit?usp=sharing"",""ชุ"&amp;"มพร!L270"")+IMPORTRANGE(""https://docs.google.com/spreadsheets/d/16pAz3pOhQEZBhvFNMa5KGgZS6iKWpsKX0pg6tQmwFpo/edit?usp=sharing"",""ตรัง!L270"")+IMPORTRANGE(""https://docs.google.com/spreadsheets/d/1Dj4jcHCTV9JXKCaMoheSXS52JE63kDKyG7bPXnFogHk/edit?usp=shar"&amp;"ing"",""นครศรีธรรมราช!L270"")+IMPORTRANGE(""https://docs.google.com/spreadsheets/d/1iodCdmuK2GR3jzUwk8tpccY2JHQQA-87DLOtJP-ooyU/edit?usp=sharing"",""นราธิวาส!L270"")+IMPORTRANGE(""https://docs.google.com/spreadsheets/d/1SDNX3JhDdYRuIOsj0Wh2M-Qa_eaXl0NbWmh"&amp;"AOTbfQAs/edit?usp=sharing"",""ปัตตานี!L270"")+IMPORTRANGE(""https://docs.google.com/spreadsheets/d/16JDLGguT8s5DsGCND1KcwHP_AWR_zDMTqLHPLJUKhaU/edit?usp=sharing"",""พังงา!L270"")+IMPORTRANGE(""https://docs.google.com/spreadsheets/d/17ht0gPKzzT3PObBL1XJkeR"&amp;"mntBXI7wGjpLV7QorqlTk/edit?usp=sharing"",""พัทลุง!L270"")+IMPORTRANGE(""https://docs.google.com/spreadsheets/d/1rd4qoM1q_hsgaolqNGfrim9gbsoLxQsda4-vOz5x_BM/edit?usp=sharing"",""ภูเก็ต!L270"")+IMPORTRANGE(""https://docs.google.com/spreadsheets/d/1woKwKjgoL"&amp;"ssDvPcPeVyezB5izizAn4X1JDrys69n6xI/edit?usp=sharing"",""ยะลา!L270"")+IMPORTRANGE(""https://docs.google.com/spreadsheets/d/1qfrKjzMhm2HJfxQ-qVlJlJQ25Hne1d0khsySbZyGtPA/edit?usp=sharing"",""ระนอง!L270"")+IMPORTRANGE(""https://docs.google.com/spreadsheets/d/"&amp;"1IbSCnFOKpZsnFogBHJnL_isstZVaOMnFiIN0fGTPZZw/edit?usp=sharing"",""สงขลา!L270"")+IMPORTRANGE(""https://docs.google.com/spreadsheets/d/1q9nWasZJ-K8bFGvbE9n0qSRuKGA4Toe3Y89cKCiVtCU/edit?usp=sharing"",""สตูล!L270"")+IMPORTRANGE(""https://docs.google.com/sprea"&amp;"dsheets/d/18T20gbkS_WBjdscyTOV05cvq_JqvqQ17C81mpxf7Ncs/edit?usp=sharing"",""สุราษฎร์ธานี!L270"")"),0)</f>
        <v>0</v>
      </c>
      <c r="M270" s="47">
        <f ca="1">IFERROR(__xludf.DUMMYFUNCTION("IMPORTRANGE(""https://docs.google.com/spreadsheets/d/1kKUcYdkIfrgTSj8iHHHB2MD2FAtwyyocFgqGQn6ADyI/edit?usp=sharing"",""กระบี่!M270"")+IMPORTRANGE(""https://docs.google.com/spreadsheets/d/1GwtLaSlNZkLk7iDqcyZz22giiy40b_usZZBXYciEN1U/edit?usp=sharing"",""ชุ"&amp;"มพร!M270"")+IMPORTRANGE(""https://docs.google.com/spreadsheets/d/16pAz3pOhQEZBhvFNMa5KGgZS6iKWpsKX0pg6tQmwFpo/edit?usp=sharing"",""ตรัง!M270"")+IMPORTRANGE(""https://docs.google.com/spreadsheets/d/1Dj4jcHCTV9JXKCaMoheSXS52JE63kDKyG7bPXnFogHk/edit?usp=shar"&amp;"ing"",""นครศรีธรรมราช!M270"")+IMPORTRANGE(""https://docs.google.com/spreadsheets/d/1iodCdmuK2GR3jzUwk8tpccY2JHQQA-87DLOtJP-ooyU/edit?usp=sharing"",""นราธิวาส!M270"")+IMPORTRANGE(""https://docs.google.com/spreadsheets/d/1SDNX3JhDdYRuIOsj0Wh2M-Qa_eaXl0NbWmh"&amp;"AOTbfQAs/edit?usp=sharing"",""ปัตตานี!M270"")+IMPORTRANGE(""https://docs.google.com/spreadsheets/d/16JDLGguT8s5DsGCND1KcwHP_AWR_zDMTqLHPLJUKhaU/edit?usp=sharing"",""พังงา!M270"")+IMPORTRANGE(""https://docs.google.com/spreadsheets/d/17ht0gPKzzT3PObBL1XJkeR"&amp;"mntBXI7wGjpLV7QorqlTk/edit?usp=sharing"",""พัทลุง!M270"")+IMPORTRANGE(""https://docs.google.com/spreadsheets/d/1rd4qoM1q_hsgaolqNGfrim9gbsoLxQsda4-vOz5x_BM/edit?usp=sharing"",""ภูเก็ต!M270"")+IMPORTRANGE(""https://docs.google.com/spreadsheets/d/1woKwKjgoL"&amp;"ssDvPcPeVyezB5izizAn4X1JDrys69n6xI/edit?usp=sharing"",""ยะลา!M270"")+IMPORTRANGE(""https://docs.google.com/spreadsheets/d/1qfrKjzMhm2HJfxQ-qVlJlJQ25Hne1d0khsySbZyGtPA/edit?usp=sharing"",""ระนอง!M270"")+IMPORTRANGE(""https://docs.google.com/spreadsheets/d/"&amp;"1IbSCnFOKpZsnFogBHJnL_isstZVaOMnFiIN0fGTPZZw/edit?usp=sharing"",""สงขลา!M270"")+IMPORTRANGE(""https://docs.google.com/spreadsheets/d/1q9nWasZJ-K8bFGvbE9n0qSRuKGA4Toe3Y89cKCiVtCU/edit?usp=sharing"",""สตูล!M270"")+IMPORTRANGE(""https://docs.google.com/sprea"&amp;"dsheets/d/18T20gbkS_WBjdscyTOV05cvq_JqvqQ17C81mpxf7Ncs/edit?usp=sharing"",""สุราษฎร์ธานี!M270"")"),0)</f>
        <v>0</v>
      </c>
      <c r="N270" s="47">
        <f ca="1">IFERROR(__xludf.DUMMYFUNCTION("IMPORTRANGE(""https://docs.google.com/spreadsheets/d/1kKUcYdkIfrgTSj8iHHHB2MD2FAtwyyocFgqGQn6ADyI/edit?usp=sharing"",""กระบี่!N270"")+IMPORTRANGE(""https://docs.google.com/spreadsheets/d/1GwtLaSlNZkLk7iDqcyZz22giiy40b_usZZBXYciEN1U/edit?usp=sharing"",""ชุ"&amp;"มพร!N270"")+IMPORTRANGE(""https://docs.google.com/spreadsheets/d/16pAz3pOhQEZBhvFNMa5KGgZS6iKWpsKX0pg6tQmwFpo/edit?usp=sharing"",""ตรัง!N270"")+IMPORTRANGE(""https://docs.google.com/spreadsheets/d/1Dj4jcHCTV9JXKCaMoheSXS52JE63kDKyG7bPXnFogHk/edit?usp=shar"&amp;"ing"",""นครศรีธรรมราช!N270"")+IMPORTRANGE(""https://docs.google.com/spreadsheets/d/1iodCdmuK2GR3jzUwk8tpccY2JHQQA-87DLOtJP-ooyU/edit?usp=sharing"",""นราธิวาส!N270"")+IMPORTRANGE(""https://docs.google.com/spreadsheets/d/1SDNX3JhDdYRuIOsj0Wh2M-Qa_eaXl0NbWmh"&amp;"AOTbfQAs/edit?usp=sharing"",""ปัตตานี!N270"")+IMPORTRANGE(""https://docs.google.com/spreadsheets/d/16JDLGguT8s5DsGCND1KcwHP_AWR_zDMTqLHPLJUKhaU/edit?usp=sharing"",""พังงา!N270"")+IMPORTRANGE(""https://docs.google.com/spreadsheets/d/17ht0gPKzzT3PObBL1XJkeR"&amp;"mntBXI7wGjpLV7QorqlTk/edit?usp=sharing"",""พัทลุง!N270"")+IMPORTRANGE(""https://docs.google.com/spreadsheets/d/1rd4qoM1q_hsgaolqNGfrim9gbsoLxQsda4-vOz5x_BM/edit?usp=sharing"",""ภูเก็ต!N270"")+IMPORTRANGE(""https://docs.google.com/spreadsheets/d/1woKwKjgoL"&amp;"ssDvPcPeVyezB5izizAn4X1JDrys69n6xI/edit?usp=sharing"",""ยะลา!N270"")+IMPORTRANGE(""https://docs.google.com/spreadsheets/d/1qfrKjzMhm2HJfxQ-qVlJlJQ25Hne1d0khsySbZyGtPA/edit?usp=sharing"",""ระนอง!N270"")+IMPORTRANGE(""https://docs.google.com/spreadsheets/d/"&amp;"1IbSCnFOKpZsnFogBHJnL_isstZVaOMnFiIN0fGTPZZw/edit?usp=sharing"",""สงขลา!N270"")+IMPORTRANGE(""https://docs.google.com/spreadsheets/d/1q9nWasZJ-K8bFGvbE9n0qSRuKGA4Toe3Y89cKCiVtCU/edit?usp=sharing"",""สตูล!N270"")+IMPORTRANGE(""https://docs.google.com/sprea"&amp;"dsheets/d/18T20gbkS_WBjdscyTOV05cvq_JqvqQ17C81mpxf7Ncs/edit?usp=sharing"",""สุราษฎร์ธานี!N270"")"),0)</f>
        <v>0</v>
      </c>
      <c r="O270" s="47">
        <f t="shared" ca="1" si="189"/>
        <v>0</v>
      </c>
      <c r="P270" s="47">
        <f t="shared" ca="1" si="190"/>
        <v>0</v>
      </c>
      <c r="Q270" s="47">
        <f ca="1">IFERROR(__xludf.DUMMYFUNCTION("IMPORTRANGE(""https://docs.google.com/spreadsheets/d/1kKUcYdkIfrgTSj8iHHHB2MD2FAtwyyocFgqGQn6ADyI/edit?usp=sharing"",""กระบี่!Q270"")+IMPORTRANGE(""https://docs.google.com/spreadsheets/d/1GwtLaSlNZkLk7iDqcyZz22giiy40b_usZZBXYciEN1U/edit?usp=sharing"",""ชุ"&amp;"มพร!Q270"")+IMPORTRANGE(""https://docs.google.com/spreadsheets/d/16pAz3pOhQEZBhvFNMa5KGgZS6iKWpsKX0pg6tQmwFpo/edit?usp=sharing"",""ตรัง!Q270"")+IMPORTRANGE(""https://docs.google.com/spreadsheets/d/1Dj4jcHCTV9JXKCaMoheSXS52JE63kDKyG7bPXnFogHk/edit?usp=shar"&amp;"ing"",""นครศรีธรรมราช!Q270"")+IMPORTRANGE(""https://docs.google.com/spreadsheets/d/1iodCdmuK2GR3jzUwk8tpccY2JHQQA-87DLOtJP-ooyU/edit?usp=sharing"",""นราธิวาส!Q270"")+IMPORTRANGE(""https://docs.google.com/spreadsheets/d/1SDNX3JhDdYRuIOsj0Wh2M-Qa_eaXl0NbWmh"&amp;"AOTbfQAs/edit?usp=sharing"",""ปัตตานี!Q270"")+IMPORTRANGE(""https://docs.google.com/spreadsheets/d/16JDLGguT8s5DsGCND1KcwHP_AWR_zDMTqLHPLJUKhaU/edit?usp=sharing"",""พังงา!Q270"")+IMPORTRANGE(""https://docs.google.com/spreadsheets/d/17ht0gPKzzT3PObBL1XJkeR"&amp;"mntBXI7wGjpLV7QorqlTk/edit?usp=sharing"",""พัทลุง!Q270"")+IMPORTRANGE(""https://docs.google.com/spreadsheets/d/1rd4qoM1q_hsgaolqNGfrim9gbsoLxQsda4-vOz5x_BM/edit?usp=sharing"",""ภูเก็ต!Q270"")+IMPORTRANGE(""https://docs.google.com/spreadsheets/d/1woKwKjgoL"&amp;"ssDvPcPeVyezB5izizAn4X1JDrys69n6xI/edit?usp=sharing"",""ยะลา!Q270"")+IMPORTRANGE(""https://docs.google.com/spreadsheets/d/1qfrKjzMhm2HJfxQ-qVlJlJQ25Hne1d0khsySbZyGtPA/edit?usp=sharing"",""ระนอง!Q270"")+IMPORTRANGE(""https://docs.google.com/spreadsheets/d/"&amp;"1IbSCnFOKpZsnFogBHJnL_isstZVaOMnFiIN0fGTPZZw/edit?usp=sharing"",""สงขลา!Q270"")+IMPORTRANGE(""https://docs.google.com/spreadsheets/d/1q9nWasZJ-K8bFGvbE9n0qSRuKGA4Toe3Y89cKCiVtCU/edit?usp=sharing"",""สตูล!Q270"")+IMPORTRANGE(""https://docs.google.com/sprea"&amp;"dsheets/d/18T20gbkS_WBjdscyTOV05cvq_JqvqQ17C81mpxf7Ncs/edit?usp=sharing"",""สุราษฎร์ธานี!Q270"")"),0)</f>
        <v>0</v>
      </c>
      <c r="R270" s="47">
        <f ca="1">IFERROR(__xludf.DUMMYFUNCTION("IMPORTRANGE(""https://docs.google.com/spreadsheets/d/1kKUcYdkIfrgTSj8iHHHB2MD2FAtwyyocFgqGQn6ADyI/edit?usp=sharing"",""กระบี่!R270"")+IMPORTRANGE(""https://docs.google.com/spreadsheets/d/1GwtLaSlNZkLk7iDqcyZz22giiy40b_usZZBXYciEN1U/edit?usp=sharing"",""ชุ"&amp;"มพร!R270"")+IMPORTRANGE(""https://docs.google.com/spreadsheets/d/16pAz3pOhQEZBhvFNMa5KGgZS6iKWpsKX0pg6tQmwFpo/edit?usp=sharing"",""ตรัง!R270"")+IMPORTRANGE(""https://docs.google.com/spreadsheets/d/1Dj4jcHCTV9JXKCaMoheSXS52JE63kDKyG7bPXnFogHk/edit?usp=shar"&amp;"ing"",""นครศรีธรรมราช!R270"")+IMPORTRANGE(""https://docs.google.com/spreadsheets/d/1iodCdmuK2GR3jzUwk8tpccY2JHQQA-87DLOtJP-ooyU/edit?usp=sharing"",""นราธิวาส!R270"")+IMPORTRANGE(""https://docs.google.com/spreadsheets/d/1SDNX3JhDdYRuIOsj0Wh2M-Qa_eaXl0NbWmh"&amp;"AOTbfQAs/edit?usp=sharing"",""ปัตตานี!R270"")+IMPORTRANGE(""https://docs.google.com/spreadsheets/d/16JDLGguT8s5DsGCND1KcwHP_AWR_zDMTqLHPLJUKhaU/edit?usp=sharing"",""พังงา!R270"")+IMPORTRANGE(""https://docs.google.com/spreadsheets/d/17ht0gPKzzT3PObBL1XJkeR"&amp;"mntBXI7wGjpLV7QorqlTk/edit?usp=sharing"",""พัทลุง!R270"")+IMPORTRANGE(""https://docs.google.com/spreadsheets/d/1rd4qoM1q_hsgaolqNGfrim9gbsoLxQsda4-vOz5x_BM/edit?usp=sharing"",""ภูเก็ต!R270"")+IMPORTRANGE(""https://docs.google.com/spreadsheets/d/1woKwKjgoL"&amp;"ssDvPcPeVyezB5izizAn4X1JDrys69n6xI/edit?usp=sharing"",""ยะลา!R270"")+IMPORTRANGE(""https://docs.google.com/spreadsheets/d/1qfrKjzMhm2HJfxQ-qVlJlJQ25Hne1d0khsySbZyGtPA/edit?usp=sharing"",""ระนอง!R270"")+IMPORTRANGE(""https://docs.google.com/spreadsheets/d/"&amp;"1IbSCnFOKpZsnFogBHJnL_isstZVaOMnFiIN0fGTPZZw/edit?usp=sharing"",""สงขลา!R270"")+IMPORTRANGE(""https://docs.google.com/spreadsheets/d/1q9nWasZJ-K8bFGvbE9n0qSRuKGA4Toe3Y89cKCiVtCU/edit?usp=sharing"",""สตูล!R270"")+IMPORTRANGE(""https://docs.google.com/sprea"&amp;"dsheets/d/18T20gbkS_WBjdscyTOV05cvq_JqvqQ17C81mpxf7Ncs/edit?usp=sharing"",""สุราษฎร์ธานี!R270"")"),0)</f>
        <v>0</v>
      </c>
      <c r="S270" s="47">
        <f ca="1">IFERROR(__xludf.DUMMYFUNCTION("IMPORTRANGE(""https://docs.google.com/spreadsheets/d/1kKUcYdkIfrgTSj8iHHHB2MD2FAtwyyocFgqGQn6ADyI/edit?usp=sharing"",""กระบี่!S270"")+IMPORTRANGE(""https://docs.google.com/spreadsheets/d/1GwtLaSlNZkLk7iDqcyZz22giiy40b_usZZBXYciEN1U/edit?usp=sharing"",""ชุ"&amp;"มพร!S270"")+IMPORTRANGE(""https://docs.google.com/spreadsheets/d/16pAz3pOhQEZBhvFNMa5KGgZS6iKWpsKX0pg6tQmwFpo/edit?usp=sharing"",""ตรัง!S270"")+IMPORTRANGE(""https://docs.google.com/spreadsheets/d/1Dj4jcHCTV9JXKCaMoheSXS52JE63kDKyG7bPXnFogHk/edit?usp=shar"&amp;"ing"",""นครศรีธรรมราช!S270"")+IMPORTRANGE(""https://docs.google.com/spreadsheets/d/1iodCdmuK2GR3jzUwk8tpccY2JHQQA-87DLOtJP-ooyU/edit?usp=sharing"",""นราธิวาส!S270"")+IMPORTRANGE(""https://docs.google.com/spreadsheets/d/1SDNX3JhDdYRuIOsj0Wh2M-Qa_eaXl0NbWmh"&amp;"AOTbfQAs/edit?usp=sharing"",""ปัตตานี!S270"")+IMPORTRANGE(""https://docs.google.com/spreadsheets/d/16JDLGguT8s5DsGCND1KcwHP_AWR_zDMTqLHPLJUKhaU/edit?usp=sharing"",""พังงา!S270"")+IMPORTRANGE(""https://docs.google.com/spreadsheets/d/17ht0gPKzzT3PObBL1XJkeR"&amp;"mntBXI7wGjpLV7QorqlTk/edit?usp=sharing"",""พัทลุง!S270"")+IMPORTRANGE(""https://docs.google.com/spreadsheets/d/1rd4qoM1q_hsgaolqNGfrim9gbsoLxQsda4-vOz5x_BM/edit?usp=sharing"",""ภูเก็ต!S270"")+IMPORTRANGE(""https://docs.google.com/spreadsheets/d/1woKwKjgoL"&amp;"ssDvPcPeVyezB5izizAn4X1JDrys69n6xI/edit?usp=sharing"",""ยะลา!S270"")+IMPORTRANGE(""https://docs.google.com/spreadsheets/d/1qfrKjzMhm2HJfxQ-qVlJlJQ25Hne1d0khsySbZyGtPA/edit?usp=sharing"",""ระนอง!S270"")+IMPORTRANGE(""https://docs.google.com/spreadsheets/d/"&amp;"1IbSCnFOKpZsnFogBHJnL_isstZVaOMnFiIN0fGTPZZw/edit?usp=sharing"",""สงขลา!S270"")+IMPORTRANGE(""https://docs.google.com/spreadsheets/d/1q9nWasZJ-K8bFGvbE9n0qSRuKGA4Toe3Y89cKCiVtCU/edit?usp=sharing"",""สตูล!S270"")+IMPORTRANGE(""https://docs.google.com/sprea"&amp;"dsheets/d/18T20gbkS_WBjdscyTOV05cvq_JqvqQ17C81mpxf7Ncs/edit?usp=sharing"",""สุราษฎร์ธานี!S270"")"),0)</f>
        <v>0</v>
      </c>
      <c r="T270" s="49">
        <f t="shared" ca="1" si="192"/>
        <v>0</v>
      </c>
      <c r="U270" s="49">
        <f t="shared" ca="1" si="193"/>
        <v>0</v>
      </c>
    </row>
    <row r="271" spans="1:21" ht="18.75" hidden="1" x14ac:dyDescent="0.25">
      <c r="A271" s="128"/>
      <c r="B271" s="41"/>
      <c r="C271" s="41"/>
      <c r="D271" s="41"/>
      <c r="E271" s="48" t="s">
        <v>37</v>
      </c>
      <c r="F271" s="41"/>
      <c r="G271" s="43"/>
      <c r="H271" s="134" t="s">
        <v>14</v>
      </c>
      <c r="I271" s="135"/>
      <c r="J271" s="135"/>
      <c r="K271" s="136"/>
      <c r="L271" s="47">
        <f ca="1">IFERROR(__xludf.DUMMYFUNCTION("IMPORTRANGE(""https://docs.google.com/spreadsheets/d/1kKUcYdkIfrgTSj8iHHHB2MD2FAtwyyocFgqGQn6ADyI/edit?usp=sharing"",""กระบี่!L271"")+IMPORTRANGE(""https://docs.google.com/spreadsheets/d/1GwtLaSlNZkLk7iDqcyZz22giiy40b_usZZBXYciEN1U/edit?usp=sharing"",""ชุ"&amp;"มพร!L271"")+IMPORTRANGE(""https://docs.google.com/spreadsheets/d/16pAz3pOhQEZBhvFNMa5KGgZS6iKWpsKX0pg6tQmwFpo/edit?usp=sharing"",""ตรัง!L271"")+IMPORTRANGE(""https://docs.google.com/spreadsheets/d/1Dj4jcHCTV9JXKCaMoheSXS52JE63kDKyG7bPXnFogHk/edit?usp=shar"&amp;"ing"",""นครศรีธรรมราช!L271"")+IMPORTRANGE(""https://docs.google.com/spreadsheets/d/1iodCdmuK2GR3jzUwk8tpccY2JHQQA-87DLOtJP-ooyU/edit?usp=sharing"",""นราธิวาส!L271"")+IMPORTRANGE(""https://docs.google.com/spreadsheets/d/1SDNX3JhDdYRuIOsj0Wh2M-Qa_eaXl0NbWmh"&amp;"AOTbfQAs/edit?usp=sharing"",""ปัตตานี!L271"")+IMPORTRANGE(""https://docs.google.com/spreadsheets/d/16JDLGguT8s5DsGCND1KcwHP_AWR_zDMTqLHPLJUKhaU/edit?usp=sharing"",""พังงา!L271"")+IMPORTRANGE(""https://docs.google.com/spreadsheets/d/17ht0gPKzzT3PObBL1XJkeR"&amp;"mntBXI7wGjpLV7QorqlTk/edit?usp=sharing"",""พัทลุง!L271"")+IMPORTRANGE(""https://docs.google.com/spreadsheets/d/1rd4qoM1q_hsgaolqNGfrim9gbsoLxQsda4-vOz5x_BM/edit?usp=sharing"",""ภูเก็ต!L271"")+IMPORTRANGE(""https://docs.google.com/spreadsheets/d/1woKwKjgoL"&amp;"ssDvPcPeVyezB5izizAn4X1JDrys69n6xI/edit?usp=sharing"",""ยะลา!L271"")+IMPORTRANGE(""https://docs.google.com/spreadsheets/d/1qfrKjzMhm2HJfxQ-qVlJlJQ25Hne1d0khsySbZyGtPA/edit?usp=sharing"",""ระนอง!L271"")+IMPORTRANGE(""https://docs.google.com/spreadsheets/d/"&amp;"1IbSCnFOKpZsnFogBHJnL_isstZVaOMnFiIN0fGTPZZw/edit?usp=sharing"",""สงขลา!L271"")+IMPORTRANGE(""https://docs.google.com/spreadsheets/d/1q9nWasZJ-K8bFGvbE9n0qSRuKGA4Toe3Y89cKCiVtCU/edit?usp=sharing"",""สตูล!L271"")+IMPORTRANGE(""https://docs.google.com/sprea"&amp;"dsheets/d/18T20gbkS_WBjdscyTOV05cvq_JqvqQ17C81mpxf7Ncs/edit?usp=sharing"",""สุราษฎร์ธานี!L271"")"),70000)</f>
        <v>70000</v>
      </c>
      <c r="M271" s="47">
        <f ca="1">IFERROR(__xludf.DUMMYFUNCTION("IMPORTRANGE(""https://docs.google.com/spreadsheets/d/1kKUcYdkIfrgTSj8iHHHB2MD2FAtwyyocFgqGQn6ADyI/edit?usp=sharing"",""กระบี่!M271"")+IMPORTRANGE(""https://docs.google.com/spreadsheets/d/1GwtLaSlNZkLk7iDqcyZz22giiy40b_usZZBXYciEN1U/edit?usp=sharing"",""ชุ"&amp;"มพร!M271"")+IMPORTRANGE(""https://docs.google.com/spreadsheets/d/16pAz3pOhQEZBhvFNMa5KGgZS6iKWpsKX0pg6tQmwFpo/edit?usp=sharing"",""ตรัง!M271"")+IMPORTRANGE(""https://docs.google.com/spreadsheets/d/1Dj4jcHCTV9JXKCaMoheSXS52JE63kDKyG7bPXnFogHk/edit?usp=shar"&amp;"ing"",""นครศรีธรรมราช!M271"")+IMPORTRANGE(""https://docs.google.com/spreadsheets/d/1iodCdmuK2GR3jzUwk8tpccY2JHQQA-87DLOtJP-ooyU/edit?usp=sharing"",""นราธิวาส!M271"")+IMPORTRANGE(""https://docs.google.com/spreadsheets/d/1SDNX3JhDdYRuIOsj0Wh2M-Qa_eaXl0NbWmh"&amp;"AOTbfQAs/edit?usp=sharing"",""ปัตตานี!M271"")+IMPORTRANGE(""https://docs.google.com/spreadsheets/d/16JDLGguT8s5DsGCND1KcwHP_AWR_zDMTqLHPLJUKhaU/edit?usp=sharing"",""พังงา!M271"")+IMPORTRANGE(""https://docs.google.com/spreadsheets/d/17ht0gPKzzT3PObBL1XJkeR"&amp;"mntBXI7wGjpLV7QorqlTk/edit?usp=sharing"",""พัทลุง!M271"")+IMPORTRANGE(""https://docs.google.com/spreadsheets/d/1rd4qoM1q_hsgaolqNGfrim9gbsoLxQsda4-vOz5x_BM/edit?usp=sharing"",""ภูเก็ต!M271"")+IMPORTRANGE(""https://docs.google.com/spreadsheets/d/1woKwKjgoL"&amp;"ssDvPcPeVyezB5izizAn4X1JDrys69n6xI/edit?usp=sharing"",""ยะลา!M271"")+IMPORTRANGE(""https://docs.google.com/spreadsheets/d/1qfrKjzMhm2HJfxQ-qVlJlJQ25Hne1d0khsySbZyGtPA/edit?usp=sharing"",""ระนอง!M271"")+IMPORTRANGE(""https://docs.google.com/spreadsheets/d/"&amp;"1IbSCnFOKpZsnFogBHJnL_isstZVaOMnFiIN0fGTPZZw/edit?usp=sharing"",""สงขลา!M271"")+IMPORTRANGE(""https://docs.google.com/spreadsheets/d/1q9nWasZJ-K8bFGvbE9n0qSRuKGA4Toe3Y89cKCiVtCU/edit?usp=sharing"",""สตูล!M271"")+IMPORTRANGE(""https://docs.google.com/sprea"&amp;"dsheets/d/18T20gbkS_WBjdscyTOV05cvq_JqvqQ17C81mpxf7Ncs/edit?usp=sharing"",""สุราษฎร์ธานี!M271"")"),102190)</f>
        <v>102190</v>
      </c>
      <c r="N271" s="47">
        <f ca="1">IFERROR(__xludf.DUMMYFUNCTION("IMPORTRANGE(""https://docs.google.com/spreadsheets/d/1kKUcYdkIfrgTSj8iHHHB2MD2FAtwyyocFgqGQn6ADyI/edit?usp=sharing"",""กระบี่!N271"")+IMPORTRANGE(""https://docs.google.com/spreadsheets/d/1GwtLaSlNZkLk7iDqcyZz22giiy40b_usZZBXYciEN1U/edit?usp=sharing"",""ชุ"&amp;"มพร!N271"")+IMPORTRANGE(""https://docs.google.com/spreadsheets/d/16pAz3pOhQEZBhvFNMa5KGgZS6iKWpsKX0pg6tQmwFpo/edit?usp=sharing"",""ตรัง!N271"")+IMPORTRANGE(""https://docs.google.com/spreadsheets/d/1Dj4jcHCTV9JXKCaMoheSXS52JE63kDKyG7bPXnFogHk/edit?usp=shar"&amp;"ing"",""นครศรีธรรมราช!N271"")+IMPORTRANGE(""https://docs.google.com/spreadsheets/d/1iodCdmuK2GR3jzUwk8tpccY2JHQQA-87DLOtJP-ooyU/edit?usp=sharing"",""นราธิวาส!N271"")+IMPORTRANGE(""https://docs.google.com/spreadsheets/d/1SDNX3JhDdYRuIOsj0Wh2M-Qa_eaXl0NbWmh"&amp;"AOTbfQAs/edit?usp=sharing"",""ปัตตานี!N271"")+IMPORTRANGE(""https://docs.google.com/spreadsheets/d/16JDLGguT8s5DsGCND1KcwHP_AWR_zDMTqLHPLJUKhaU/edit?usp=sharing"",""พังงา!N271"")+IMPORTRANGE(""https://docs.google.com/spreadsheets/d/17ht0gPKzzT3PObBL1XJkeR"&amp;"mntBXI7wGjpLV7QorqlTk/edit?usp=sharing"",""พัทลุง!N271"")+IMPORTRANGE(""https://docs.google.com/spreadsheets/d/1rd4qoM1q_hsgaolqNGfrim9gbsoLxQsda4-vOz5x_BM/edit?usp=sharing"",""ภูเก็ต!N271"")+IMPORTRANGE(""https://docs.google.com/spreadsheets/d/1woKwKjgoL"&amp;"ssDvPcPeVyezB5izizAn4X1JDrys69n6xI/edit?usp=sharing"",""ยะลา!N271"")+IMPORTRANGE(""https://docs.google.com/spreadsheets/d/1qfrKjzMhm2HJfxQ-qVlJlJQ25Hne1d0khsySbZyGtPA/edit?usp=sharing"",""ระนอง!N271"")+IMPORTRANGE(""https://docs.google.com/spreadsheets/d/"&amp;"1IbSCnFOKpZsnFogBHJnL_isstZVaOMnFiIN0fGTPZZw/edit?usp=sharing"",""สงขลา!N271"")+IMPORTRANGE(""https://docs.google.com/spreadsheets/d/1q9nWasZJ-K8bFGvbE9n0qSRuKGA4Toe3Y89cKCiVtCU/edit?usp=sharing"",""สตูล!N271"")+IMPORTRANGE(""https://docs.google.com/sprea"&amp;"dsheets/d/18T20gbkS_WBjdscyTOV05cvq_JqvqQ17C81mpxf7Ncs/edit?usp=sharing"",""สุราษฎร์ธานี!N271"")"),55570)</f>
        <v>55570</v>
      </c>
      <c r="O271" s="47">
        <f t="shared" ca="1" si="189"/>
        <v>79.385714285714286</v>
      </c>
      <c r="P271" s="47">
        <f t="shared" ca="1" si="190"/>
        <v>54.379097759076231</v>
      </c>
      <c r="Q271" s="47">
        <f ca="1">IFERROR(__xludf.DUMMYFUNCTION("IMPORTRANGE(""https://docs.google.com/spreadsheets/d/1kKUcYdkIfrgTSj8iHHHB2MD2FAtwyyocFgqGQn6ADyI/edit?usp=sharing"",""กระบี่!Q271"")+IMPORTRANGE(""https://docs.google.com/spreadsheets/d/1GwtLaSlNZkLk7iDqcyZz22giiy40b_usZZBXYciEN1U/edit?usp=sharing"",""ชุ"&amp;"มพร!Q271"")+IMPORTRANGE(""https://docs.google.com/spreadsheets/d/16pAz3pOhQEZBhvFNMa5KGgZS6iKWpsKX0pg6tQmwFpo/edit?usp=sharing"",""ตรัง!Q271"")+IMPORTRANGE(""https://docs.google.com/spreadsheets/d/1Dj4jcHCTV9JXKCaMoheSXS52JE63kDKyG7bPXnFogHk/edit?usp=shar"&amp;"ing"",""นครศรีธรรมราช!Q271"")+IMPORTRANGE(""https://docs.google.com/spreadsheets/d/1iodCdmuK2GR3jzUwk8tpccY2JHQQA-87DLOtJP-ooyU/edit?usp=sharing"",""นราธิวาส!Q271"")+IMPORTRANGE(""https://docs.google.com/spreadsheets/d/1SDNX3JhDdYRuIOsj0Wh2M-Qa_eaXl0NbWmh"&amp;"AOTbfQAs/edit?usp=sharing"",""ปัตตานี!Q271"")+IMPORTRANGE(""https://docs.google.com/spreadsheets/d/16JDLGguT8s5DsGCND1KcwHP_AWR_zDMTqLHPLJUKhaU/edit?usp=sharing"",""พังงา!Q271"")+IMPORTRANGE(""https://docs.google.com/spreadsheets/d/17ht0gPKzzT3PObBL1XJkeR"&amp;"mntBXI7wGjpLV7QorqlTk/edit?usp=sharing"",""พัทลุง!Q271"")+IMPORTRANGE(""https://docs.google.com/spreadsheets/d/1rd4qoM1q_hsgaolqNGfrim9gbsoLxQsda4-vOz5x_BM/edit?usp=sharing"",""ภูเก็ต!Q271"")+IMPORTRANGE(""https://docs.google.com/spreadsheets/d/1woKwKjgoL"&amp;"ssDvPcPeVyezB5izizAn4X1JDrys69n6xI/edit?usp=sharing"",""ยะลา!Q271"")+IMPORTRANGE(""https://docs.google.com/spreadsheets/d/1qfrKjzMhm2HJfxQ-qVlJlJQ25Hne1d0khsySbZyGtPA/edit?usp=sharing"",""ระนอง!Q271"")+IMPORTRANGE(""https://docs.google.com/spreadsheets/d/"&amp;"1IbSCnFOKpZsnFogBHJnL_isstZVaOMnFiIN0fGTPZZw/edit?usp=sharing"",""สงขลา!Q271"")+IMPORTRANGE(""https://docs.google.com/spreadsheets/d/1q9nWasZJ-K8bFGvbE9n0qSRuKGA4Toe3Y89cKCiVtCU/edit?usp=sharing"",""สตูล!Q271"")+IMPORTRANGE(""https://docs.google.com/sprea"&amp;"dsheets/d/18T20gbkS_WBjdscyTOV05cvq_JqvqQ17C81mpxf7Ncs/edit?usp=sharing"",""สุราษฎร์ธานี!Q271"")"),706460)</f>
        <v>706460</v>
      </c>
      <c r="R271" s="47">
        <f ca="1">IFERROR(__xludf.DUMMYFUNCTION("IMPORTRANGE(""https://docs.google.com/spreadsheets/d/1kKUcYdkIfrgTSj8iHHHB2MD2FAtwyyocFgqGQn6ADyI/edit?usp=sharing"",""กระบี่!R271"")+IMPORTRANGE(""https://docs.google.com/spreadsheets/d/1GwtLaSlNZkLk7iDqcyZz22giiy40b_usZZBXYciEN1U/edit?usp=sharing"",""ชุ"&amp;"มพร!R271"")+IMPORTRANGE(""https://docs.google.com/spreadsheets/d/16pAz3pOhQEZBhvFNMa5KGgZS6iKWpsKX0pg6tQmwFpo/edit?usp=sharing"",""ตรัง!R271"")+IMPORTRANGE(""https://docs.google.com/spreadsheets/d/1Dj4jcHCTV9JXKCaMoheSXS52JE63kDKyG7bPXnFogHk/edit?usp=shar"&amp;"ing"",""นครศรีธรรมราช!R271"")+IMPORTRANGE(""https://docs.google.com/spreadsheets/d/1iodCdmuK2GR3jzUwk8tpccY2JHQQA-87DLOtJP-ooyU/edit?usp=sharing"",""นราธิวาส!R271"")+IMPORTRANGE(""https://docs.google.com/spreadsheets/d/1SDNX3JhDdYRuIOsj0Wh2M-Qa_eaXl0NbWmh"&amp;"AOTbfQAs/edit?usp=sharing"",""ปัตตานี!R271"")+IMPORTRANGE(""https://docs.google.com/spreadsheets/d/16JDLGguT8s5DsGCND1KcwHP_AWR_zDMTqLHPLJUKhaU/edit?usp=sharing"",""พังงา!R271"")+IMPORTRANGE(""https://docs.google.com/spreadsheets/d/17ht0gPKzzT3PObBL1XJkeR"&amp;"mntBXI7wGjpLV7QorqlTk/edit?usp=sharing"",""พัทลุง!R271"")+IMPORTRANGE(""https://docs.google.com/spreadsheets/d/1rd4qoM1q_hsgaolqNGfrim9gbsoLxQsda4-vOz5x_BM/edit?usp=sharing"",""ภูเก็ต!R271"")+IMPORTRANGE(""https://docs.google.com/spreadsheets/d/1woKwKjgoL"&amp;"ssDvPcPeVyezB5izizAn4X1JDrys69n6xI/edit?usp=sharing"",""ยะลา!R271"")+IMPORTRANGE(""https://docs.google.com/spreadsheets/d/1qfrKjzMhm2HJfxQ-qVlJlJQ25Hne1d0khsySbZyGtPA/edit?usp=sharing"",""ระนอง!R271"")+IMPORTRANGE(""https://docs.google.com/spreadsheets/d/"&amp;"1IbSCnFOKpZsnFogBHJnL_isstZVaOMnFiIN0fGTPZZw/edit?usp=sharing"",""สงขลา!R271"")+IMPORTRANGE(""https://docs.google.com/spreadsheets/d/1q9nWasZJ-K8bFGvbE9n0qSRuKGA4Toe3Y89cKCiVtCU/edit?usp=sharing"",""สตูล!R271"")+IMPORTRANGE(""https://docs.google.com/sprea"&amp;"dsheets/d/18T20gbkS_WBjdscyTOV05cvq_JqvqQ17C81mpxf7Ncs/edit?usp=sharing"",""สุราษฎร์ธานี!R271"")"),706460)</f>
        <v>706460</v>
      </c>
      <c r="S271" s="47">
        <f ca="1">IFERROR(__xludf.DUMMYFUNCTION("IMPORTRANGE(""https://docs.google.com/spreadsheets/d/1kKUcYdkIfrgTSj8iHHHB2MD2FAtwyyocFgqGQn6ADyI/edit?usp=sharing"",""กระบี่!S271"")+IMPORTRANGE(""https://docs.google.com/spreadsheets/d/1GwtLaSlNZkLk7iDqcyZz22giiy40b_usZZBXYciEN1U/edit?usp=sharing"",""ชุ"&amp;"มพร!S271"")+IMPORTRANGE(""https://docs.google.com/spreadsheets/d/16pAz3pOhQEZBhvFNMa5KGgZS6iKWpsKX0pg6tQmwFpo/edit?usp=sharing"",""ตรัง!S271"")+IMPORTRANGE(""https://docs.google.com/spreadsheets/d/1Dj4jcHCTV9JXKCaMoheSXS52JE63kDKyG7bPXnFogHk/edit?usp=shar"&amp;"ing"",""นครศรีธรรมราช!S271"")+IMPORTRANGE(""https://docs.google.com/spreadsheets/d/1iodCdmuK2GR3jzUwk8tpccY2JHQQA-87DLOtJP-ooyU/edit?usp=sharing"",""นราธิวาส!S271"")+IMPORTRANGE(""https://docs.google.com/spreadsheets/d/1SDNX3JhDdYRuIOsj0Wh2M-Qa_eaXl0NbWmh"&amp;"AOTbfQAs/edit?usp=sharing"",""ปัตตานี!S271"")+IMPORTRANGE(""https://docs.google.com/spreadsheets/d/16JDLGguT8s5DsGCND1KcwHP_AWR_zDMTqLHPLJUKhaU/edit?usp=sharing"",""พังงา!S271"")+IMPORTRANGE(""https://docs.google.com/spreadsheets/d/17ht0gPKzzT3PObBL1XJkeR"&amp;"mntBXI7wGjpLV7QorqlTk/edit?usp=sharing"",""พัทลุง!S271"")+IMPORTRANGE(""https://docs.google.com/spreadsheets/d/1rd4qoM1q_hsgaolqNGfrim9gbsoLxQsda4-vOz5x_BM/edit?usp=sharing"",""ภูเก็ต!S271"")+IMPORTRANGE(""https://docs.google.com/spreadsheets/d/1woKwKjgoL"&amp;"ssDvPcPeVyezB5izizAn4X1JDrys69n6xI/edit?usp=sharing"",""ยะลา!S271"")+IMPORTRANGE(""https://docs.google.com/spreadsheets/d/1qfrKjzMhm2HJfxQ-qVlJlJQ25Hne1d0khsySbZyGtPA/edit?usp=sharing"",""ระนอง!S271"")+IMPORTRANGE(""https://docs.google.com/spreadsheets/d/"&amp;"1IbSCnFOKpZsnFogBHJnL_isstZVaOMnFiIN0fGTPZZw/edit?usp=sharing"",""สงขลา!S271"")+IMPORTRANGE(""https://docs.google.com/spreadsheets/d/1q9nWasZJ-K8bFGvbE9n0qSRuKGA4Toe3Y89cKCiVtCU/edit?usp=sharing"",""สตูล!S271"")+IMPORTRANGE(""https://docs.google.com/sprea"&amp;"dsheets/d/18T20gbkS_WBjdscyTOV05cvq_JqvqQ17C81mpxf7Ncs/edit?usp=sharing"",""สุราษฎร์ธานี!S271"")"),381805)</f>
        <v>381805</v>
      </c>
      <c r="T271" s="47">
        <f t="shared" ca="1" si="192"/>
        <v>54.044814993064008</v>
      </c>
      <c r="U271" s="47">
        <f t="shared" ca="1" si="193"/>
        <v>54.044814993064008</v>
      </c>
    </row>
    <row r="272" spans="1:21" ht="18.75" x14ac:dyDescent="0.25">
      <c r="A272" s="128"/>
      <c r="B272" s="41"/>
      <c r="C272" s="41"/>
      <c r="D272" s="42" t="s">
        <v>23</v>
      </c>
      <c r="E272" s="41"/>
      <c r="F272" s="41"/>
      <c r="G272" s="43"/>
      <c r="H272" s="137" t="s">
        <v>14</v>
      </c>
      <c r="I272" s="135"/>
      <c r="J272" s="135"/>
      <c r="K272" s="136"/>
      <c r="L272" s="47">
        <f t="shared" ref="L272:N272" ca="1" si="200">L273+L274</f>
        <v>0</v>
      </c>
      <c r="M272" s="47">
        <f t="shared" ca="1" si="200"/>
        <v>0</v>
      </c>
      <c r="N272" s="47">
        <f t="shared" ca="1" si="200"/>
        <v>0</v>
      </c>
      <c r="O272" s="47">
        <f t="shared" ca="1" si="189"/>
        <v>0</v>
      </c>
      <c r="P272" s="47">
        <f t="shared" ca="1" si="190"/>
        <v>0</v>
      </c>
      <c r="Q272" s="47">
        <f t="shared" ref="Q272:S272" ca="1" si="201">Q273+Q274</f>
        <v>0</v>
      </c>
      <c r="R272" s="47">
        <f t="shared" ca="1" si="201"/>
        <v>0</v>
      </c>
      <c r="S272" s="47">
        <f t="shared" ca="1" si="201"/>
        <v>0</v>
      </c>
      <c r="T272" s="47">
        <f t="shared" ca="1" si="192"/>
        <v>0</v>
      </c>
      <c r="U272" s="47">
        <f t="shared" ca="1" si="193"/>
        <v>0</v>
      </c>
    </row>
    <row r="273" spans="1:21" ht="18.75" hidden="1" x14ac:dyDescent="0.25">
      <c r="A273" s="128"/>
      <c r="B273" s="41"/>
      <c r="C273" s="41"/>
      <c r="D273" s="41"/>
      <c r="E273" s="48" t="s">
        <v>20</v>
      </c>
      <c r="F273" s="41"/>
      <c r="G273" s="43"/>
      <c r="H273" s="134" t="s">
        <v>14</v>
      </c>
      <c r="I273" s="135"/>
      <c r="J273" s="135"/>
      <c r="K273" s="136"/>
      <c r="L273" s="47">
        <f ca="1">IFERROR(__xludf.DUMMYFUNCTION("IMPORTRANGE(""https://docs.google.com/spreadsheets/d/1kKUcYdkIfrgTSj8iHHHB2MD2FAtwyyocFgqGQn6ADyI/edit?usp=sharing"",""กระบี่!L273"")+IMPORTRANGE(""https://docs.google.com/spreadsheets/d/1GwtLaSlNZkLk7iDqcyZz22giiy40b_usZZBXYciEN1U/edit?usp=sharing"",""ชุ"&amp;"มพร!L273"")+IMPORTRANGE(""https://docs.google.com/spreadsheets/d/16pAz3pOhQEZBhvFNMa5KGgZS6iKWpsKX0pg6tQmwFpo/edit?usp=sharing"",""ตรัง!L273"")+IMPORTRANGE(""https://docs.google.com/spreadsheets/d/1Dj4jcHCTV9JXKCaMoheSXS52JE63kDKyG7bPXnFogHk/edit?usp=shar"&amp;"ing"",""นครศรีธรรมราช!L273"")+IMPORTRANGE(""https://docs.google.com/spreadsheets/d/1iodCdmuK2GR3jzUwk8tpccY2JHQQA-87DLOtJP-ooyU/edit?usp=sharing"",""นราธิวาส!L273"")+IMPORTRANGE(""https://docs.google.com/spreadsheets/d/1SDNX3JhDdYRuIOsj0Wh2M-Qa_eaXl0NbWmh"&amp;"AOTbfQAs/edit?usp=sharing"",""ปัตตานี!L273"")+IMPORTRANGE(""https://docs.google.com/spreadsheets/d/16JDLGguT8s5DsGCND1KcwHP_AWR_zDMTqLHPLJUKhaU/edit?usp=sharing"",""พังงา!L273"")+IMPORTRANGE(""https://docs.google.com/spreadsheets/d/17ht0gPKzzT3PObBL1XJkeR"&amp;"mntBXI7wGjpLV7QorqlTk/edit?usp=sharing"",""พัทลุง!L273"")+IMPORTRANGE(""https://docs.google.com/spreadsheets/d/1rd4qoM1q_hsgaolqNGfrim9gbsoLxQsda4-vOz5x_BM/edit?usp=sharing"",""ภูเก็ต!L273"")+IMPORTRANGE(""https://docs.google.com/spreadsheets/d/1woKwKjgoL"&amp;"ssDvPcPeVyezB5izizAn4X1JDrys69n6xI/edit?usp=sharing"",""ยะลา!L273"")+IMPORTRANGE(""https://docs.google.com/spreadsheets/d/1qfrKjzMhm2HJfxQ-qVlJlJQ25Hne1d0khsySbZyGtPA/edit?usp=sharing"",""ระนอง!L273"")+IMPORTRANGE(""https://docs.google.com/spreadsheets/d/"&amp;"1IbSCnFOKpZsnFogBHJnL_isstZVaOMnFiIN0fGTPZZw/edit?usp=sharing"",""สงขลา!L273"")+IMPORTRANGE(""https://docs.google.com/spreadsheets/d/1q9nWasZJ-K8bFGvbE9n0qSRuKGA4Toe3Y89cKCiVtCU/edit?usp=sharing"",""สตูล!L273"")+IMPORTRANGE(""https://docs.google.com/sprea"&amp;"dsheets/d/18T20gbkS_WBjdscyTOV05cvq_JqvqQ17C81mpxf7Ncs/edit?usp=sharing"",""สุราษฎร์ธานี!L273"")"),0)</f>
        <v>0</v>
      </c>
      <c r="M273" s="47">
        <f ca="1">IFERROR(__xludf.DUMMYFUNCTION("IMPORTRANGE(""https://docs.google.com/spreadsheets/d/1kKUcYdkIfrgTSj8iHHHB2MD2FAtwyyocFgqGQn6ADyI/edit?usp=sharing"",""กระบี่!M273"")+IMPORTRANGE(""https://docs.google.com/spreadsheets/d/1GwtLaSlNZkLk7iDqcyZz22giiy40b_usZZBXYciEN1U/edit?usp=sharing"",""ชุ"&amp;"มพร!M273"")+IMPORTRANGE(""https://docs.google.com/spreadsheets/d/16pAz3pOhQEZBhvFNMa5KGgZS6iKWpsKX0pg6tQmwFpo/edit?usp=sharing"",""ตรัง!M273"")+IMPORTRANGE(""https://docs.google.com/spreadsheets/d/1Dj4jcHCTV9JXKCaMoheSXS52JE63kDKyG7bPXnFogHk/edit?usp=shar"&amp;"ing"",""นครศรีธรรมราช!M273"")+IMPORTRANGE(""https://docs.google.com/spreadsheets/d/1iodCdmuK2GR3jzUwk8tpccY2JHQQA-87DLOtJP-ooyU/edit?usp=sharing"",""นราธิวาส!M273"")+IMPORTRANGE(""https://docs.google.com/spreadsheets/d/1SDNX3JhDdYRuIOsj0Wh2M-Qa_eaXl0NbWmh"&amp;"AOTbfQAs/edit?usp=sharing"",""ปัตตานี!M273"")+IMPORTRANGE(""https://docs.google.com/spreadsheets/d/16JDLGguT8s5DsGCND1KcwHP_AWR_zDMTqLHPLJUKhaU/edit?usp=sharing"",""พังงา!M273"")+IMPORTRANGE(""https://docs.google.com/spreadsheets/d/17ht0gPKzzT3PObBL1XJkeR"&amp;"mntBXI7wGjpLV7QorqlTk/edit?usp=sharing"",""พัทลุง!M273"")+IMPORTRANGE(""https://docs.google.com/spreadsheets/d/1rd4qoM1q_hsgaolqNGfrim9gbsoLxQsda4-vOz5x_BM/edit?usp=sharing"",""ภูเก็ต!M273"")+IMPORTRANGE(""https://docs.google.com/spreadsheets/d/1woKwKjgoL"&amp;"ssDvPcPeVyezB5izizAn4X1JDrys69n6xI/edit?usp=sharing"",""ยะลา!M273"")+IMPORTRANGE(""https://docs.google.com/spreadsheets/d/1qfrKjzMhm2HJfxQ-qVlJlJQ25Hne1d0khsySbZyGtPA/edit?usp=sharing"",""ระนอง!M273"")+IMPORTRANGE(""https://docs.google.com/spreadsheets/d/"&amp;"1IbSCnFOKpZsnFogBHJnL_isstZVaOMnFiIN0fGTPZZw/edit?usp=sharing"",""สงขลา!M273"")+IMPORTRANGE(""https://docs.google.com/spreadsheets/d/1q9nWasZJ-K8bFGvbE9n0qSRuKGA4Toe3Y89cKCiVtCU/edit?usp=sharing"",""สตูล!M273"")+IMPORTRANGE(""https://docs.google.com/sprea"&amp;"dsheets/d/18T20gbkS_WBjdscyTOV05cvq_JqvqQ17C81mpxf7Ncs/edit?usp=sharing"",""สุราษฎร์ธานี!M273"")"),0)</f>
        <v>0</v>
      </c>
      <c r="N273" s="47">
        <f ca="1">IFERROR(__xludf.DUMMYFUNCTION("IMPORTRANGE(""https://docs.google.com/spreadsheets/d/1kKUcYdkIfrgTSj8iHHHB2MD2FAtwyyocFgqGQn6ADyI/edit?usp=sharing"",""กระบี่!N273"")+IMPORTRANGE(""https://docs.google.com/spreadsheets/d/1GwtLaSlNZkLk7iDqcyZz22giiy40b_usZZBXYciEN1U/edit?usp=sharing"",""ชุ"&amp;"มพร!N273"")+IMPORTRANGE(""https://docs.google.com/spreadsheets/d/16pAz3pOhQEZBhvFNMa5KGgZS6iKWpsKX0pg6tQmwFpo/edit?usp=sharing"",""ตรัง!N273"")+IMPORTRANGE(""https://docs.google.com/spreadsheets/d/1Dj4jcHCTV9JXKCaMoheSXS52JE63kDKyG7bPXnFogHk/edit?usp=shar"&amp;"ing"",""นครศรีธรรมราช!N273"")+IMPORTRANGE(""https://docs.google.com/spreadsheets/d/1iodCdmuK2GR3jzUwk8tpccY2JHQQA-87DLOtJP-ooyU/edit?usp=sharing"",""นราธิวาส!N273"")+IMPORTRANGE(""https://docs.google.com/spreadsheets/d/1SDNX3JhDdYRuIOsj0Wh2M-Qa_eaXl0NbWmh"&amp;"AOTbfQAs/edit?usp=sharing"",""ปัตตานี!N273"")+IMPORTRANGE(""https://docs.google.com/spreadsheets/d/16JDLGguT8s5DsGCND1KcwHP_AWR_zDMTqLHPLJUKhaU/edit?usp=sharing"",""พังงา!N273"")+IMPORTRANGE(""https://docs.google.com/spreadsheets/d/17ht0gPKzzT3PObBL1XJkeR"&amp;"mntBXI7wGjpLV7QorqlTk/edit?usp=sharing"",""พัทลุง!N273"")+IMPORTRANGE(""https://docs.google.com/spreadsheets/d/1rd4qoM1q_hsgaolqNGfrim9gbsoLxQsda4-vOz5x_BM/edit?usp=sharing"",""ภูเก็ต!N273"")+IMPORTRANGE(""https://docs.google.com/spreadsheets/d/1woKwKjgoL"&amp;"ssDvPcPeVyezB5izizAn4X1JDrys69n6xI/edit?usp=sharing"",""ยะลา!N273"")+IMPORTRANGE(""https://docs.google.com/spreadsheets/d/1qfrKjzMhm2HJfxQ-qVlJlJQ25Hne1d0khsySbZyGtPA/edit?usp=sharing"",""ระนอง!N273"")+IMPORTRANGE(""https://docs.google.com/spreadsheets/d/"&amp;"1IbSCnFOKpZsnFogBHJnL_isstZVaOMnFiIN0fGTPZZw/edit?usp=sharing"",""สงขลา!N273"")+IMPORTRANGE(""https://docs.google.com/spreadsheets/d/1q9nWasZJ-K8bFGvbE9n0qSRuKGA4Toe3Y89cKCiVtCU/edit?usp=sharing"",""สตูล!N273"")+IMPORTRANGE(""https://docs.google.com/sprea"&amp;"dsheets/d/18T20gbkS_WBjdscyTOV05cvq_JqvqQ17C81mpxf7Ncs/edit?usp=sharing"",""สุราษฎร์ธานี!N273"")"),0)</f>
        <v>0</v>
      </c>
      <c r="O273" s="47">
        <f t="shared" ca="1" si="189"/>
        <v>0</v>
      </c>
      <c r="P273" s="47">
        <f t="shared" ca="1" si="190"/>
        <v>0</v>
      </c>
      <c r="Q273" s="47">
        <f ca="1">IFERROR(__xludf.DUMMYFUNCTION("IMPORTRANGE(""https://docs.google.com/spreadsheets/d/1kKUcYdkIfrgTSj8iHHHB2MD2FAtwyyocFgqGQn6ADyI/edit?usp=sharing"",""กระบี่!Q273"")+IMPORTRANGE(""https://docs.google.com/spreadsheets/d/1GwtLaSlNZkLk7iDqcyZz22giiy40b_usZZBXYciEN1U/edit?usp=sharing"",""ชุ"&amp;"มพร!Q273"")+IMPORTRANGE(""https://docs.google.com/spreadsheets/d/16pAz3pOhQEZBhvFNMa5KGgZS6iKWpsKX0pg6tQmwFpo/edit?usp=sharing"",""ตรัง!Q273"")+IMPORTRANGE(""https://docs.google.com/spreadsheets/d/1Dj4jcHCTV9JXKCaMoheSXS52JE63kDKyG7bPXnFogHk/edit?usp=shar"&amp;"ing"",""นครศรีธรรมราช!Q273"")+IMPORTRANGE(""https://docs.google.com/spreadsheets/d/1iodCdmuK2GR3jzUwk8tpccY2JHQQA-87DLOtJP-ooyU/edit?usp=sharing"",""นราธิวาส!Q273"")+IMPORTRANGE(""https://docs.google.com/spreadsheets/d/1SDNX3JhDdYRuIOsj0Wh2M-Qa_eaXl0NbWmh"&amp;"AOTbfQAs/edit?usp=sharing"",""ปัตตานี!Q273"")+IMPORTRANGE(""https://docs.google.com/spreadsheets/d/16JDLGguT8s5DsGCND1KcwHP_AWR_zDMTqLHPLJUKhaU/edit?usp=sharing"",""พังงา!Q273"")+IMPORTRANGE(""https://docs.google.com/spreadsheets/d/17ht0gPKzzT3PObBL1XJkeR"&amp;"mntBXI7wGjpLV7QorqlTk/edit?usp=sharing"",""พัทลุง!Q273"")+IMPORTRANGE(""https://docs.google.com/spreadsheets/d/1rd4qoM1q_hsgaolqNGfrim9gbsoLxQsda4-vOz5x_BM/edit?usp=sharing"",""ภูเก็ต!Q273"")+IMPORTRANGE(""https://docs.google.com/spreadsheets/d/1woKwKjgoL"&amp;"ssDvPcPeVyezB5izizAn4X1JDrys69n6xI/edit?usp=sharing"",""ยะลา!Q273"")+IMPORTRANGE(""https://docs.google.com/spreadsheets/d/1qfrKjzMhm2HJfxQ-qVlJlJQ25Hne1d0khsySbZyGtPA/edit?usp=sharing"",""ระนอง!Q273"")+IMPORTRANGE(""https://docs.google.com/spreadsheets/d/"&amp;"1IbSCnFOKpZsnFogBHJnL_isstZVaOMnFiIN0fGTPZZw/edit?usp=sharing"",""สงขลา!Q273"")+IMPORTRANGE(""https://docs.google.com/spreadsheets/d/1q9nWasZJ-K8bFGvbE9n0qSRuKGA4Toe3Y89cKCiVtCU/edit?usp=sharing"",""สตูล!Q273"")+IMPORTRANGE(""https://docs.google.com/sprea"&amp;"dsheets/d/18T20gbkS_WBjdscyTOV05cvq_JqvqQ17C81mpxf7Ncs/edit?usp=sharing"",""สุราษฎร์ธานี!Q273"")"),0)</f>
        <v>0</v>
      </c>
      <c r="R273" s="47">
        <f ca="1">IFERROR(__xludf.DUMMYFUNCTION("IMPORTRANGE(""https://docs.google.com/spreadsheets/d/1kKUcYdkIfrgTSj8iHHHB2MD2FAtwyyocFgqGQn6ADyI/edit?usp=sharing"",""กระบี่!R273"")+IMPORTRANGE(""https://docs.google.com/spreadsheets/d/1GwtLaSlNZkLk7iDqcyZz22giiy40b_usZZBXYciEN1U/edit?usp=sharing"",""ชุ"&amp;"มพร!R273"")+IMPORTRANGE(""https://docs.google.com/spreadsheets/d/16pAz3pOhQEZBhvFNMa5KGgZS6iKWpsKX0pg6tQmwFpo/edit?usp=sharing"",""ตรัง!R273"")+IMPORTRANGE(""https://docs.google.com/spreadsheets/d/1Dj4jcHCTV9JXKCaMoheSXS52JE63kDKyG7bPXnFogHk/edit?usp=shar"&amp;"ing"",""นครศรีธรรมราช!R273"")+IMPORTRANGE(""https://docs.google.com/spreadsheets/d/1iodCdmuK2GR3jzUwk8tpccY2JHQQA-87DLOtJP-ooyU/edit?usp=sharing"",""นราธิวาส!R273"")+IMPORTRANGE(""https://docs.google.com/spreadsheets/d/1SDNX3JhDdYRuIOsj0Wh2M-Qa_eaXl0NbWmh"&amp;"AOTbfQAs/edit?usp=sharing"",""ปัตตานี!R273"")+IMPORTRANGE(""https://docs.google.com/spreadsheets/d/16JDLGguT8s5DsGCND1KcwHP_AWR_zDMTqLHPLJUKhaU/edit?usp=sharing"",""พังงา!R273"")+IMPORTRANGE(""https://docs.google.com/spreadsheets/d/17ht0gPKzzT3PObBL1XJkeR"&amp;"mntBXI7wGjpLV7QorqlTk/edit?usp=sharing"",""พัทลุง!R273"")+IMPORTRANGE(""https://docs.google.com/spreadsheets/d/1rd4qoM1q_hsgaolqNGfrim9gbsoLxQsda4-vOz5x_BM/edit?usp=sharing"",""ภูเก็ต!R273"")+IMPORTRANGE(""https://docs.google.com/spreadsheets/d/1woKwKjgoL"&amp;"ssDvPcPeVyezB5izizAn4X1JDrys69n6xI/edit?usp=sharing"",""ยะลา!R273"")+IMPORTRANGE(""https://docs.google.com/spreadsheets/d/1qfrKjzMhm2HJfxQ-qVlJlJQ25Hne1d0khsySbZyGtPA/edit?usp=sharing"",""ระนอง!R273"")+IMPORTRANGE(""https://docs.google.com/spreadsheets/d/"&amp;"1IbSCnFOKpZsnFogBHJnL_isstZVaOMnFiIN0fGTPZZw/edit?usp=sharing"",""สงขลา!R273"")+IMPORTRANGE(""https://docs.google.com/spreadsheets/d/1q9nWasZJ-K8bFGvbE9n0qSRuKGA4Toe3Y89cKCiVtCU/edit?usp=sharing"",""สตูล!R273"")+IMPORTRANGE(""https://docs.google.com/sprea"&amp;"dsheets/d/18T20gbkS_WBjdscyTOV05cvq_JqvqQ17C81mpxf7Ncs/edit?usp=sharing"",""สุราษฎร์ธานี!R273"")"),0)</f>
        <v>0</v>
      </c>
      <c r="S273" s="47">
        <f ca="1">IFERROR(__xludf.DUMMYFUNCTION("IMPORTRANGE(""https://docs.google.com/spreadsheets/d/1kKUcYdkIfrgTSj8iHHHB2MD2FAtwyyocFgqGQn6ADyI/edit?usp=sharing"",""กระบี่!S273"")+IMPORTRANGE(""https://docs.google.com/spreadsheets/d/1GwtLaSlNZkLk7iDqcyZz22giiy40b_usZZBXYciEN1U/edit?usp=sharing"",""ชุ"&amp;"มพร!S273"")+IMPORTRANGE(""https://docs.google.com/spreadsheets/d/16pAz3pOhQEZBhvFNMa5KGgZS6iKWpsKX0pg6tQmwFpo/edit?usp=sharing"",""ตรัง!S273"")+IMPORTRANGE(""https://docs.google.com/spreadsheets/d/1Dj4jcHCTV9JXKCaMoheSXS52JE63kDKyG7bPXnFogHk/edit?usp=shar"&amp;"ing"",""นครศรีธรรมราช!S273"")+IMPORTRANGE(""https://docs.google.com/spreadsheets/d/1iodCdmuK2GR3jzUwk8tpccY2JHQQA-87DLOtJP-ooyU/edit?usp=sharing"",""นราธิวาส!S273"")+IMPORTRANGE(""https://docs.google.com/spreadsheets/d/1SDNX3JhDdYRuIOsj0Wh2M-Qa_eaXl0NbWmh"&amp;"AOTbfQAs/edit?usp=sharing"",""ปัตตานี!S273"")+IMPORTRANGE(""https://docs.google.com/spreadsheets/d/16JDLGguT8s5DsGCND1KcwHP_AWR_zDMTqLHPLJUKhaU/edit?usp=sharing"",""พังงา!S273"")+IMPORTRANGE(""https://docs.google.com/spreadsheets/d/17ht0gPKzzT3PObBL1XJkeR"&amp;"mntBXI7wGjpLV7QorqlTk/edit?usp=sharing"",""พัทลุง!S273"")+IMPORTRANGE(""https://docs.google.com/spreadsheets/d/1rd4qoM1q_hsgaolqNGfrim9gbsoLxQsda4-vOz5x_BM/edit?usp=sharing"",""ภูเก็ต!S273"")+IMPORTRANGE(""https://docs.google.com/spreadsheets/d/1woKwKjgoL"&amp;"ssDvPcPeVyezB5izizAn4X1JDrys69n6xI/edit?usp=sharing"",""ยะลา!S273"")+IMPORTRANGE(""https://docs.google.com/spreadsheets/d/1qfrKjzMhm2HJfxQ-qVlJlJQ25Hne1d0khsySbZyGtPA/edit?usp=sharing"",""ระนอง!S273"")+IMPORTRANGE(""https://docs.google.com/spreadsheets/d/"&amp;"1IbSCnFOKpZsnFogBHJnL_isstZVaOMnFiIN0fGTPZZw/edit?usp=sharing"",""สงขลา!S273"")+IMPORTRANGE(""https://docs.google.com/spreadsheets/d/1q9nWasZJ-K8bFGvbE9n0qSRuKGA4Toe3Y89cKCiVtCU/edit?usp=sharing"",""สตูล!S273"")+IMPORTRANGE(""https://docs.google.com/sprea"&amp;"dsheets/d/18T20gbkS_WBjdscyTOV05cvq_JqvqQ17C81mpxf7Ncs/edit?usp=sharing"",""สุราษฎร์ธานี!S273"")"),0)</f>
        <v>0</v>
      </c>
      <c r="T273" s="49">
        <f t="shared" ca="1" si="192"/>
        <v>0</v>
      </c>
      <c r="U273" s="49">
        <f t="shared" ca="1" si="193"/>
        <v>0</v>
      </c>
    </row>
    <row r="274" spans="1:21" ht="18.75" hidden="1" x14ac:dyDescent="0.25">
      <c r="A274" s="128"/>
      <c r="B274" s="41"/>
      <c r="C274" s="41"/>
      <c r="D274" s="41"/>
      <c r="E274" s="48" t="s">
        <v>21</v>
      </c>
      <c r="F274" s="41"/>
      <c r="G274" s="43"/>
      <c r="H274" s="137" t="s">
        <v>14</v>
      </c>
      <c r="I274" s="135"/>
      <c r="J274" s="135"/>
      <c r="K274" s="136"/>
      <c r="L274" s="47">
        <f ca="1">IFERROR(__xludf.DUMMYFUNCTION("IMPORTRANGE(""https://docs.google.com/spreadsheets/d/1kKUcYdkIfrgTSj8iHHHB2MD2FAtwyyocFgqGQn6ADyI/edit?usp=sharing"",""กระบี่!L274"")+IMPORTRANGE(""https://docs.google.com/spreadsheets/d/1GwtLaSlNZkLk7iDqcyZz22giiy40b_usZZBXYciEN1U/edit?usp=sharing"",""ชุ"&amp;"มพร!L274"")+IMPORTRANGE(""https://docs.google.com/spreadsheets/d/16pAz3pOhQEZBhvFNMa5KGgZS6iKWpsKX0pg6tQmwFpo/edit?usp=sharing"",""ตรัง!L274"")+IMPORTRANGE(""https://docs.google.com/spreadsheets/d/1Dj4jcHCTV9JXKCaMoheSXS52JE63kDKyG7bPXnFogHk/edit?usp=shar"&amp;"ing"",""นครศรีธรรมราช!L274"")+IMPORTRANGE(""https://docs.google.com/spreadsheets/d/1iodCdmuK2GR3jzUwk8tpccY2JHQQA-87DLOtJP-ooyU/edit?usp=sharing"",""นราธิวาส!L274"")+IMPORTRANGE(""https://docs.google.com/spreadsheets/d/1SDNX3JhDdYRuIOsj0Wh2M-Qa_eaXl0NbWmh"&amp;"AOTbfQAs/edit?usp=sharing"",""ปัตตานี!L274"")+IMPORTRANGE(""https://docs.google.com/spreadsheets/d/16JDLGguT8s5DsGCND1KcwHP_AWR_zDMTqLHPLJUKhaU/edit?usp=sharing"",""พังงา!L274"")+IMPORTRANGE(""https://docs.google.com/spreadsheets/d/17ht0gPKzzT3PObBL1XJkeR"&amp;"mntBXI7wGjpLV7QorqlTk/edit?usp=sharing"",""พัทลุง!L274"")+IMPORTRANGE(""https://docs.google.com/spreadsheets/d/1rd4qoM1q_hsgaolqNGfrim9gbsoLxQsda4-vOz5x_BM/edit?usp=sharing"",""ภูเก็ต!L274"")+IMPORTRANGE(""https://docs.google.com/spreadsheets/d/1woKwKjgoL"&amp;"ssDvPcPeVyezB5izizAn4X1JDrys69n6xI/edit?usp=sharing"",""ยะลา!L274"")+IMPORTRANGE(""https://docs.google.com/spreadsheets/d/1qfrKjzMhm2HJfxQ-qVlJlJQ25Hne1d0khsySbZyGtPA/edit?usp=sharing"",""ระนอง!L274"")+IMPORTRANGE(""https://docs.google.com/spreadsheets/d/"&amp;"1IbSCnFOKpZsnFogBHJnL_isstZVaOMnFiIN0fGTPZZw/edit?usp=sharing"",""สงขลา!L274"")+IMPORTRANGE(""https://docs.google.com/spreadsheets/d/1q9nWasZJ-K8bFGvbE9n0qSRuKGA4Toe3Y89cKCiVtCU/edit?usp=sharing"",""สตูล!L274"")+IMPORTRANGE(""https://docs.google.com/sprea"&amp;"dsheets/d/18T20gbkS_WBjdscyTOV05cvq_JqvqQ17C81mpxf7Ncs/edit?usp=sharing"",""สุราษฎร์ธานี!L274"")"),0)</f>
        <v>0</v>
      </c>
      <c r="M274" s="47">
        <f ca="1">IFERROR(__xludf.DUMMYFUNCTION("IMPORTRANGE(""https://docs.google.com/spreadsheets/d/1kKUcYdkIfrgTSj8iHHHB2MD2FAtwyyocFgqGQn6ADyI/edit?usp=sharing"",""กระบี่!M274"")+IMPORTRANGE(""https://docs.google.com/spreadsheets/d/1GwtLaSlNZkLk7iDqcyZz22giiy40b_usZZBXYciEN1U/edit?usp=sharing"",""ชุ"&amp;"มพร!M274"")+IMPORTRANGE(""https://docs.google.com/spreadsheets/d/16pAz3pOhQEZBhvFNMa5KGgZS6iKWpsKX0pg6tQmwFpo/edit?usp=sharing"",""ตรัง!M274"")+IMPORTRANGE(""https://docs.google.com/spreadsheets/d/1Dj4jcHCTV9JXKCaMoheSXS52JE63kDKyG7bPXnFogHk/edit?usp=shar"&amp;"ing"",""นครศรีธรรมราช!M274"")+IMPORTRANGE(""https://docs.google.com/spreadsheets/d/1iodCdmuK2GR3jzUwk8tpccY2JHQQA-87DLOtJP-ooyU/edit?usp=sharing"",""นราธิวาส!M274"")+IMPORTRANGE(""https://docs.google.com/spreadsheets/d/1SDNX3JhDdYRuIOsj0Wh2M-Qa_eaXl0NbWmh"&amp;"AOTbfQAs/edit?usp=sharing"",""ปัตตานี!M274"")+IMPORTRANGE(""https://docs.google.com/spreadsheets/d/16JDLGguT8s5DsGCND1KcwHP_AWR_zDMTqLHPLJUKhaU/edit?usp=sharing"",""พังงา!M274"")+IMPORTRANGE(""https://docs.google.com/spreadsheets/d/17ht0gPKzzT3PObBL1XJkeR"&amp;"mntBXI7wGjpLV7QorqlTk/edit?usp=sharing"",""พัทลุง!M274"")+IMPORTRANGE(""https://docs.google.com/spreadsheets/d/1rd4qoM1q_hsgaolqNGfrim9gbsoLxQsda4-vOz5x_BM/edit?usp=sharing"",""ภูเก็ต!M274"")+IMPORTRANGE(""https://docs.google.com/spreadsheets/d/1woKwKjgoL"&amp;"ssDvPcPeVyezB5izizAn4X1JDrys69n6xI/edit?usp=sharing"",""ยะลา!M274"")+IMPORTRANGE(""https://docs.google.com/spreadsheets/d/1qfrKjzMhm2HJfxQ-qVlJlJQ25Hne1d0khsySbZyGtPA/edit?usp=sharing"",""ระนอง!M274"")+IMPORTRANGE(""https://docs.google.com/spreadsheets/d/"&amp;"1IbSCnFOKpZsnFogBHJnL_isstZVaOMnFiIN0fGTPZZw/edit?usp=sharing"",""สงขลา!M274"")+IMPORTRANGE(""https://docs.google.com/spreadsheets/d/1q9nWasZJ-K8bFGvbE9n0qSRuKGA4Toe3Y89cKCiVtCU/edit?usp=sharing"",""สตูล!M274"")+IMPORTRANGE(""https://docs.google.com/sprea"&amp;"dsheets/d/18T20gbkS_WBjdscyTOV05cvq_JqvqQ17C81mpxf7Ncs/edit?usp=sharing"",""สุราษฎร์ธานี!M274"")"),0)</f>
        <v>0</v>
      </c>
      <c r="N274" s="47">
        <f ca="1">IFERROR(__xludf.DUMMYFUNCTION("IMPORTRANGE(""https://docs.google.com/spreadsheets/d/1kKUcYdkIfrgTSj8iHHHB2MD2FAtwyyocFgqGQn6ADyI/edit?usp=sharing"",""กระบี่!N274"")+IMPORTRANGE(""https://docs.google.com/spreadsheets/d/1GwtLaSlNZkLk7iDqcyZz22giiy40b_usZZBXYciEN1U/edit?usp=sharing"",""ชุ"&amp;"มพร!N274"")+IMPORTRANGE(""https://docs.google.com/spreadsheets/d/16pAz3pOhQEZBhvFNMa5KGgZS6iKWpsKX0pg6tQmwFpo/edit?usp=sharing"",""ตรัง!N274"")+IMPORTRANGE(""https://docs.google.com/spreadsheets/d/1Dj4jcHCTV9JXKCaMoheSXS52JE63kDKyG7bPXnFogHk/edit?usp=shar"&amp;"ing"",""นครศรีธรรมราช!N274"")+IMPORTRANGE(""https://docs.google.com/spreadsheets/d/1iodCdmuK2GR3jzUwk8tpccY2JHQQA-87DLOtJP-ooyU/edit?usp=sharing"",""นราธิวาส!N274"")+IMPORTRANGE(""https://docs.google.com/spreadsheets/d/1SDNX3JhDdYRuIOsj0Wh2M-Qa_eaXl0NbWmh"&amp;"AOTbfQAs/edit?usp=sharing"",""ปัตตานี!N274"")+IMPORTRANGE(""https://docs.google.com/spreadsheets/d/16JDLGguT8s5DsGCND1KcwHP_AWR_zDMTqLHPLJUKhaU/edit?usp=sharing"",""พังงา!N274"")+IMPORTRANGE(""https://docs.google.com/spreadsheets/d/17ht0gPKzzT3PObBL1XJkeR"&amp;"mntBXI7wGjpLV7QorqlTk/edit?usp=sharing"",""พัทลุง!N274"")+IMPORTRANGE(""https://docs.google.com/spreadsheets/d/1rd4qoM1q_hsgaolqNGfrim9gbsoLxQsda4-vOz5x_BM/edit?usp=sharing"",""ภูเก็ต!N274"")+IMPORTRANGE(""https://docs.google.com/spreadsheets/d/1woKwKjgoL"&amp;"ssDvPcPeVyezB5izizAn4X1JDrys69n6xI/edit?usp=sharing"",""ยะลา!N274"")+IMPORTRANGE(""https://docs.google.com/spreadsheets/d/1qfrKjzMhm2HJfxQ-qVlJlJQ25Hne1d0khsySbZyGtPA/edit?usp=sharing"",""ระนอง!N274"")+IMPORTRANGE(""https://docs.google.com/spreadsheets/d/"&amp;"1IbSCnFOKpZsnFogBHJnL_isstZVaOMnFiIN0fGTPZZw/edit?usp=sharing"",""สงขลา!N274"")+IMPORTRANGE(""https://docs.google.com/spreadsheets/d/1q9nWasZJ-K8bFGvbE9n0qSRuKGA4Toe3Y89cKCiVtCU/edit?usp=sharing"",""สตูล!N274"")+IMPORTRANGE(""https://docs.google.com/sprea"&amp;"dsheets/d/18T20gbkS_WBjdscyTOV05cvq_JqvqQ17C81mpxf7Ncs/edit?usp=sharing"",""สุราษฎร์ธานี!N274"")"),0)</f>
        <v>0</v>
      </c>
      <c r="O274" s="47">
        <f t="shared" ca="1" si="189"/>
        <v>0</v>
      </c>
      <c r="P274" s="47">
        <f t="shared" ca="1" si="190"/>
        <v>0</v>
      </c>
      <c r="Q274" s="47">
        <f ca="1">IFERROR(__xludf.DUMMYFUNCTION("IMPORTRANGE(""https://docs.google.com/spreadsheets/d/1kKUcYdkIfrgTSj8iHHHB2MD2FAtwyyocFgqGQn6ADyI/edit?usp=sharing"",""กระบี่!Q274"")+IMPORTRANGE(""https://docs.google.com/spreadsheets/d/1GwtLaSlNZkLk7iDqcyZz22giiy40b_usZZBXYciEN1U/edit?usp=sharing"",""ชุ"&amp;"มพร!Q274"")+IMPORTRANGE(""https://docs.google.com/spreadsheets/d/16pAz3pOhQEZBhvFNMa5KGgZS6iKWpsKX0pg6tQmwFpo/edit?usp=sharing"",""ตรัง!Q274"")+IMPORTRANGE(""https://docs.google.com/spreadsheets/d/1Dj4jcHCTV9JXKCaMoheSXS52JE63kDKyG7bPXnFogHk/edit?usp=shar"&amp;"ing"",""นครศรีธรรมราช!Q274"")+IMPORTRANGE(""https://docs.google.com/spreadsheets/d/1iodCdmuK2GR3jzUwk8tpccY2JHQQA-87DLOtJP-ooyU/edit?usp=sharing"",""นราธิวาส!Q274"")+IMPORTRANGE(""https://docs.google.com/spreadsheets/d/1SDNX3JhDdYRuIOsj0Wh2M-Qa_eaXl0NbWmh"&amp;"AOTbfQAs/edit?usp=sharing"",""ปัตตานี!Q274"")+IMPORTRANGE(""https://docs.google.com/spreadsheets/d/16JDLGguT8s5DsGCND1KcwHP_AWR_zDMTqLHPLJUKhaU/edit?usp=sharing"",""พังงา!Q274"")+IMPORTRANGE(""https://docs.google.com/spreadsheets/d/17ht0gPKzzT3PObBL1XJkeR"&amp;"mntBXI7wGjpLV7QorqlTk/edit?usp=sharing"",""พัทลุง!Q274"")+IMPORTRANGE(""https://docs.google.com/spreadsheets/d/1rd4qoM1q_hsgaolqNGfrim9gbsoLxQsda4-vOz5x_BM/edit?usp=sharing"",""ภูเก็ต!Q274"")+IMPORTRANGE(""https://docs.google.com/spreadsheets/d/1woKwKjgoL"&amp;"ssDvPcPeVyezB5izizAn4X1JDrys69n6xI/edit?usp=sharing"",""ยะลา!Q274"")+IMPORTRANGE(""https://docs.google.com/spreadsheets/d/1qfrKjzMhm2HJfxQ-qVlJlJQ25Hne1d0khsySbZyGtPA/edit?usp=sharing"",""ระนอง!Q274"")+IMPORTRANGE(""https://docs.google.com/spreadsheets/d/"&amp;"1IbSCnFOKpZsnFogBHJnL_isstZVaOMnFiIN0fGTPZZw/edit?usp=sharing"",""สงขลา!Q274"")+IMPORTRANGE(""https://docs.google.com/spreadsheets/d/1q9nWasZJ-K8bFGvbE9n0qSRuKGA4Toe3Y89cKCiVtCU/edit?usp=sharing"",""สตูล!Q274"")+IMPORTRANGE(""https://docs.google.com/sprea"&amp;"dsheets/d/18T20gbkS_WBjdscyTOV05cvq_JqvqQ17C81mpxf7Ncs/edit?usp=sharing"",""สุราษฎร์ธานี!Q274"")"),0)</f>
        <v>0</v>
      </c>
      <c r="R274" s="47">
        <f ca="1">IFERROR(__xludf.DUMMYFUNCTION("IMPORTRANGE(""https://docs.google.com/spreadsheets/d/1kKUcYdkIfrgTSj8iHHHB2MD2FAtwyyocFgqGQn6ADyI/edit?usp=sharing"",""กระบี่!R274"")+IMPORTRANGE(""https://docs.google.com/spreadsheets/d/1GwtLaSlNZkLk7iDqcyZz22giiy40b_usZZBXYciEN1U/edit?usp=sharing"",""ชุ"&amp;"มพร!R274"")+IMPORTRANGE(""https://docs.google.com/spreadsheets/d/16pAz3pOhQEZBhvFNMa5KGgZS6iKWpsKX0pg6tQmwFpo/edit?usp=sharing"",""ตรัง!R274"")+IMPORTRANGE(""https://docs.google.com/spreadsheets/d/1Dj4jcHCTV9JXKCaMoheSXS52JE63kDKyG7bPXnFogHk/edit?usp=shar"&amp;"ing"",""นครศรีธรรมราช!R274"")+IMPORTRANGE(""https://docs.google.com/spreadsheets/d/1iodCdmuK2GR3jzUwk8tpccY2JHQQA-87DLOtJP-ooyU/edit?usp=sharing"",""นราธิวาส!R274"")+IMPORTRANGE(""https://docs.google.com/spreadsheets/d/1SDNX3JhDdYRuIOsj0Wh2M-Qa_eaXl0NbWmh"&amp;"AOTbfQAs/edit?usp=sharing"",""ปัตตานี!R274"")+IMPORTRANGE(""https://docs.google.com/spreadsheets/d/16JDLGguT8s5DsGCND1KcwHP_AWR_zDMTqLHPLJUKhaU/edit?usp=sharing"",""พังงา!R274"")+IMPORTRANGE(""https://docs.google.com/spreadsheets/d/17ht0gPKzzT3PObBL1XJkeR"&amp;"mntBXI7wGjpLV7QorqlTk/edit?usp=sharing"",""พัทลุง!R274"")+IMPORTRANGE(""https://docs.google.com/spreadsheets/d/1rd4qoM1q_hsgaolqNGfrim9gbsoLxQsda4-vOz5x_BM/edit?usp=sharing"",""ภูเก็ต!R274"")+IMPORTRANGE(""https://docs.google.com/spreadsheets/d/1woKwKjgoL"&amp;"ssDvPcPeVyezB5izizAn4X1JDrys69n6xI/edit?usp=sharing"",""ยะลา!R274"")+IMPORTRANGE(""https://docs.google.com/spreadsheets/d/1qfrKjzMhm2HJfxQ-qVlJlJQ25Hne1d0khsySbZyGtPA/edit?usp=sharing"",""ระนอง!R274"")+IMPORTRANGE(""https://docs.google.com/spreadsheets/d/"&amp;"1IbSCnFOKpZsnFogBHJnL_isstZVaOMnFiIN0fGTPZZw/edit?usp=sharing"",""สงขลา!R274"")+IMPORTRANGE(""https://docs.google.com/spreadsheets/d/1q9nWasZJ-K8bFGvbE9n0qSRuKGA4Toe3Y89cKCiVtCU/edit?usp=sharing"",""สตูล!R274"")+IMPORTRANGE(""https://docs.google.com/sprea"&amp;"dsheets/d/18T20gbkS_WBjdscyTOV05cvq_JqvqQ17C81mpxf7Ncs/edit?usp=sharing"",""สุราษฎร์ธานี!R274"")"),0)</f>
        <v>0</v>
      </c>
      <c r="S274" s="47">
        <f ca="1">IFERROR(__xludf.DUMMYFUNCTION("IMPORTRANGE(""https://docs.google.com/spreadsheets/d/1kKUcYdkIfrgTSj8iHHHB2MD2FAtwyyocFgqGQn6ADyI/edit?usp=sharing"",""กระบี่!S274"")+IMPORTRANGE(""https://docs.google.com/spreadsheets/d/1GwtLaSlNZkLk7iDqcyZz22giiy40b_usZZBXYciEN1U/edit?usp=sharing"",""ชุ"&amp;"มพร!S274"")+IMPORTRANGE(""https://docs.google.com/spreadsheets/d/16pAz3pOhQEZBhvFNMa5KGgZS6iKWpsKX0pg6tQmwFpo/edit?usp=sharing"",""ตรัง!S274"")+IMPORTRANGE(""https://docs.google.com/spreadsheets/d/1Dj4jcHCTV9JXKCaMoheSXS52JE63kDKyG7bPXnFogHk/edit?usp=shar"&amp;"ing"",""นครศรีธรรมราช!S274"")+IMPORTRANGE(""https://docs.google.com/spreadsheets/d/1iodCdmuK2GR3jzUwk8tpccY2JHQQA-87DLOtJP-ooyU/edit?usp=sharing"",""นราธิวาส!S274"")+IMPORTRANGE(""https://docs.google.com/spreadsheets/d/1SDNX3JhDdYRuIOsj0Wh2M-Qa_eaXl0NbWmh"&amp;"AOTbfQAs/edit?usp=sharing"",""ปัตตานี!S274"")+IMPORTRANGE(""https://docs.google.com/spreadsheets/d/16JDLGguT8s5DsGCND1KcwHP_AWR_zDMTqLHPLJUKhaU/edit?usp=sharing"",""พังงา!S274"")+IMPORTRANGE(""https://docs.google.com/spreadsheets/d/17ht0gPKzzT3PObBL1XJkeR"&amp;"mntBXI7wGjpLV7QorqlTk/edit?usp=sharing"",""พัทลุง!S274"")+IMPORTRANGE(""https://docs.google.com/spreadsheets/d/1rd4qoM1q_hsgaolqNGfrim9gbsoLxQsda4-vOz5x_BM/edit?usp=sharing"",""ภูเก็ต!S274"")+IMPORTRANGE(""https://docs.google.com/spreadsheets/d/1woKwKjgoL"&amp;"ssDvPcPeVyezB5izizAn4X1JDrys69n6xI/edit?usp=sharing"",""ยะลา!S274"")+IMPORTRANGE(""https://docs.google.com/spreadsheets/d/1qfrKjzMhm2HJfxQ-qVlJlJQ25Hne1d0khsySbZyGtPA/edit?usp=sharing"",""ระนอง!S274"")+IMPORTRANGE(""https://docs.google.com/spreadsheets/d/"&amp;"1IbSCnFOKpZsnFogBHJnL_isstZVaOMnFiIN0fGTPZZw/edit?usp=sharing"",""สงขลา!S274"")+IMPORTRANGE(""https://docs.google.com/spreadsheets/d/1q9nWasZJ-K8bFGvbE9n0qSRuKGA4Toe3Y89cKCiVtCU/edit?usp=sharing"",""สตูล!S274"")+IMPORTRANGE(""https://docs.google.com/sprea"&amp;"dsheets/d/18T20gbkS_WBjdscyTOV05cvq_JqvqQ17C81mpxf7Ncs/edit?usp=sharing"",""สุราษฎร์ธานี!S274"")"),0)</f>
        <v>0</v>
      </c>
      <c r="T274" s="47">
        <f t="shared" ca="1" si="192"/>
        <v>0</v>
      </c>
      <c r="U274" s="47">
        <f t="shared" ca="1" si="193"/>
        <v>0</v>
      </c>
    </row>
    <row r="275" spans="1:21" ht="19.5" x14ac:dyDescent="0.3">
      <c r="A275" s="138"/>
      <c r="B275" s="139"/>
      <c r="C275" s="48" t="s">
        <v>18</v>
      </c>
      <c r="D275" s="140" t="s">
        <v>38</v>
      </c>
      <c r="E275" s="141"/>
      <c r="F275" s="141"/>
      <c r="G275" s="142"/>
      <c r="H275" s="143"/>
      <c r="I275" s="135"/>
      <c r="J275" s="135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</row>
    <row r="276" spans="1:21" ht="18.75" x14ac:dyDescent="0.25">
      <c r="A276" s="261"/>
      <c r="B276" s="159"/>
      <c r="C276" s="159"/>
      <c r="D276" s="262" t="s">
        <v>115</v>
      </c>
      <c r="E276" s="41"/>
      <c r="F276" s="41"/>
      <c r="G276" s="43"/>
      <c r="H276" s="133" t="s">
        <v>35</v>
      </c>
      <c r="I276" s="152">
        <f ca="1">IFERROR(__xludf.DUMMYFUNCTION("IMPORTRANGE(""https://docs.google.com/spreadsheets/d/1kKUcYdkIfrgTSj8iHHHB2MD2FAtwyyocFgqGQn6ADyI/edit?usp=sharing"",""กระบี่!I276"")+IMPORTRANGE(""https://docs.google.com/spreadsheets/d/1GwtLaSlNZkLk7iDqcyZz22giiy40b_usZZBXYciEN1U/edit?usp=sharing"",""ชุ"&amp;"มพร!I276"")+IMPORTRANGE(""https://docs.google.com/spreadsheets/d/16pAz3pOhQEZBhvFNMa5KGgZS6iKWpsKX0pg6tQmwFpo/edit?usp=sharing"",""ตรัง!I276"")+IMPORTRANGE(""https://docs.google.com/spreadsheets/d/1Dj4jcHCTV9JXKCaMoheSXS52JE63kDKyG7bPXnFogHk/edit?usp=shar"&amp;"ing"",""นครศรีธรรมราช!I276"")+IMPORTRANGE(""https://docs.google.com/spreadsheets/d/1iodCdmuK2GR3jzUwk8tpccY2JHQQA-87DLOtJP-ooyU/edit?usp=sharing"",""นราธิวาส!I276"")+IMPORTRANGE(""https://docs.google.com/spreadsheets/d/1SDNX3JhDdYRuIOsj0Wh2M-Qa_eaXl0NbWmh"&amp;"AOTbfQAs/edit?usp=sharing"",""ปัตตานี!I276"")+IMPORTRANGE(""https://docs.google.com/spreadsheets/d/16JDLGguT8s5DsGCND1KcwHP_AWR_zDMTqLHPLJUKhaU/edit?usp=sharing"",""พังงา!I276"")+IMPORTRANGE(""https://docs.google.com/spreadsheets/d/17ht0gPKzzT3PObBL1XJkeR"&amp;"mntBXI7wGjpLV7QorqlTk/edit?usp=sharing"",""พัทลุง!I276"")+IMPORTRANGE(""https://docs.google.com/spreadsheets/d/1rd4qoM1q_hsgaolqNGfrim9gbsoLxQsda4-vOz5x_BM/edit?usp=sharing"",""ภูเก็ต!I276"")+IMPORTRANGE(""https://docs.google.com/spreadsheets/d/1woKwKjgoL"&amp;"ssDvPcPeVyezB5izizAn4X1JDrys69n6xI/edit?usp=sharing"",""ยะลา!I276"")+IMPORTRANGE(""https://docs.google.com/spreadsheets/d/1qfrKjzMhm2HJfxQ-qVlJlJQ25Hne1d0khsySbZyGtPA/edit?usp=sharing"",""ระนอง!I276"")+IMPORTRANGE(""https://docs.google.com/spreadsheets/d/"&amp;"1IbSCnFOKpZsnFogBHJnL_isstZVaOMnFiIN0fGTPZZw/edit?usp=sharing"",""สงขลา!I276"")+IMPORTRANGE(""https://docs.google.com/spreadsheets/d/1q9nWasZJ-K8bFGvbE9n0qSRuKGA4Toe3Y89cKCiVtCU/edit?usp=sharing"",""สตูล!I276"")+IMPORTRANGE(""https://docs.google.com/sprea"&amp;"dsheets/d/18T20gbkS_WBjdscyTOV05cvq_JqvqQ17C81mpxf7Ncs/edit?usp=sharing"",""สุราษฎร์ธานี!I276"")"),306)</f>
        <v>306</v>
      </c>
      <c r="J276" s="152">
        <f ca="1">IFERROR(__xludf.DUMMYFUNCTION("IMPORTRANGE(""https://docs.google.com/spreadsheets/d/1kKUcYdkIfrgTSj8iHHHB2MD2FAtwyyocFgqGQn6ADyI/edit?usp=sharing"",""กระบี่!J276"")+IMPORTRANGE(""https://docs.google.com/spreadsheets/d/1GwtLaSlNZkLk7iDqcyZz22giiy40b_usZZBXYciEN1U/edit?usp=sharing"",""ชุ"&amp;"มพร!J276"")+IMPORTRANGE(""https://docs.google.com/spreadsheets/d/16pAz3pOhQEZBhvFNMa5KGgZS6iKWpsKX0pg6tQmwFpo/edit?usp=sharing"",""ตรัง!J276"")+IMPORTRANGE(""https://docs.google.com/spreadsheets/d/1Dj4jcHCTV9JXKCaMoheSXS52JE63kDKyG7bPXnFogHk/edit?usp=shar"&amp;"ing"",""นครศรีธรรมราช!J276"")+IMPORTRANGE(""https://docs.google.com/spreadsheets/d/1iodCdmuK2GR3jzUwk8tpccY2JHQQA-87DLOtJP-ooyU/edit?usp=sharing"",""นราธิวาส!J276"")+IMPORTRANGE(""https://docs.google.com/spreadsheets/d/1SDNX3JhDdYRuIOsj0Wh2M-Qa_eaXl0NbWmh"&amp;"AOTbfQAs/edit?usp=sharing"",""ปัตตานี!J276"")+IMPORTRANGE(""https://docs.google.com/spreadsheets/d/16JDLGguT8s5DsGCND1KcwHP_AWR_zDMTqLHPLJUKhaU/edit?usp=sharing"",""พังงา!J276"")+IMPORTRANGE(""https://docs.google.com/spreadsheets/d/17ht0gPKzzT3PObBL1XJkeR"&amp;"mntBXI7wGjpLV7QorqlTk/edit?usp=sharing"",""พัทลุง!J276"")+IMPORTRANGE(""https://docs.google.com/spreadsheets/d/1rd4qoM1q_hsgaolqNGfrim9gbsoLxQsda4-vOz5x_BM/edit?usp=sharing"",""ภูเก็ต!J276"")+IMPORTRANGE(""https://docs.google.com/spreadsheets/d/1woKwKjgoL"&amp;"ssDvPcPeVyezB5izizAn4X1JDrys69n6xI/edit?usp=sharing"",""ยะลา!J276"")+IMPORTRANGE(""https://docs.google.com/spreadsheets/d/1qfrKjzMhm2HJfxQ-qVlJlJQ25Hne1d0khsySbZyGtPA/edit?usp=sharing"",""ระนอง!J276"")+IMPORTRANGE(""https://docs.google.com/spreadsheets/d/"&amp;"1IbSCnFOKpZsnFogBHJnL_isstZVaOMnFiIN0fGTPZZw/edit?usp=sharing"",""สงขลา!J276"")+IMPORTRANGE(""https://docs.google.com/spreadsheets/d/1q9nWasZJ-K8bFGvbE9n0qSRuKGA4Toe3Y89cKCiVtCU/edit?usp=sharing"",""สตูล!J276"")+IMPORTRANGE(""https://docs.google.com/sprea"&amp;"dsheets/d/18T20gbkS_WBjdscyTOV05cvq_JqvqQ17C81mpxf7Ncs/edit?usp=sharing"",""สุราษฎร์ธานี!J276"")"),110)</f>
        <v>110</v>
      </c>
      <c r="K276" s="47">
        <f ca="1">IF(I276&gt;0,J276*100/I276,0)</f>
        <v>35.947712418300654</v>
      </c>
      <c r="L276" s="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x14ac:dyDescent="0.25">
      <c r="A277" s="263"/>
      <c r="B277" s="264"/>
      <c r="C277" s="264"/>
      <c r="D277" s="265" t="s">
        <v>116</v>
      </c>
      <c r="E277" s="266"/>
      <c r="F277" s="266"/>
      <c r="G277" s="267"/>
      <c r="H277" s="54" t="s">
        <v>35</v>
      </c>
      <c r="I277" s="197">
        <v>0</v>
      </c>
      <c r="J277" s="197">
        <v>0</v>
      </c>
      <c r="K277" s="268">
        <v>0</v>
      </c>
      <c r="L277" s="269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t="shared" ref="I280:J280" ca="1" si="202">I293</f>
        <v>10</v>
      </c>
      <c r="J280" s="288">
        <f t="shared" ca="1" si="202"/>
        <v>10</v>
      </c>
      <c r="K280" s="289">
        <f t="shared" ref="K280:K281" ca="1" si="203">IF(I280&gt;0,J280*100/I280,0)</f>
        <v>100</v>
      </c>
      <c r="L280" s="290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t="shared" ref="I281:J281" ca="1" si="204">I292</f>
        <v>100</v>
      </c>
      <c r="J281" s="288">
        <f t="shared" ca="1" si="204"/>
        <v>100</v>
      </c>
      <c r="K281" s="289">
        <f t="shared" ca="1" si="203"/>
        <v>100</v>
      </c>
      <c r="L281" s="290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129" t="s">
        <v>18</v>
      </c>
      <c r="D282" s="13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132">
        <f t="shared" ref="L282:N282" ca="1" si="205">L283+L284</f>
        <v>415220</v>
      </c>
      <c r="M282" s="132">
        <f t="shared" ca="1" si="205"/>
        <v>415220</v>
      </c>
      <c r="N282" s="132">
        <f t="shared" ca="1" si="205"/>
        <v>324275.83</v>
      </c>
      <c r="O282" s="132">
        <f t="shared" ref="O282:O290" ca="1" si="206">IF(L282&gt;0,N282*100/L282,0)</f>
        <v>78.097353210346327</v>
      </c>
      <c r="P282" s="132">
        <f t="shared" ref="P282:P290" ca="1" si="207">IF(M282&gt;0,N282*100/M282,0)</f>
        <v>78.097353210346327</v>
      </c>
      <c r="Q282" s="132">
        <f t="shared" ref="Q282:S282" ca="1" si="208">Q283+Q284</f>
        <v>0</v>
      </c>
      <c r="R282" s="132">
        <f t="shared" ca="1" si="208"/>
        <v>0</v>
      </c>
      <c r="S282" s="132">
        <f t="shared" ca="1" si="208"/>
        <v>0</v>
      </c>
      <c r="T282" s="132">
        <f t="shared" ref="T282:T290" ca="1" si="209">IF(Q282&gt;0,S282*100/Q282,0)</f>
        <v>0</v>
      </c>
      <c r="U282" s="132">
        <f t="shared" ref="U282:U290" ca="1" si="210"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48" t="s">
        <v>20</v>
      </c>
      <c r="F283" s="41"/>
      <c r="G283" s="43"/>
      <c r="H283" s="133" t="s">
        <v>14</v>
      </c>
      <c r="I283" s="45"/>
      <c r="J283" s="45"/>
      <c r="K283" s="46"/>
      <c r="L283" s="47">
        <f t="shared" ref="L283:N283" ca="1" si="211">L286+L289</f>
        <v>0</v>
      </c>
      <c r="M283" s="47">
        <f t="shared" ca="1" si="211"/>
        <v>0</v>
      </c>
      <c r="N283" s="47">
        <f t="shared" ca="1" si="211"/>
        <v>0</v>
      </c>
      <c r="O283" s="47">
        <f t="shared" ca="1" si="206"/>
        <v>0</v>
      </c>
      <c r="P283" s="47">
        <f t="shared" ca="1" si="207"/>
        <v>0</v>
      </c>
      <c r="Q283" s="47">
        <f t="shared" ref="Q283:S283" ca="1" si="212">Q286+Q289</f>
        <v>0</v>
      </c>
      <c r="R283" s="47">
        <f t="shared" ca="1" si="212"/>
        <v>0</v>
      </c>
      <c r="S283" s="47">
        <f t="shared" ca="1" si="212"/>
        <v>0</v>
      </c>
      <c r="T283" s="49">
        <f t="shared" ca="1" si="209"/>
        <v>0</v>
      </c>
      <c r="U283" s="49">
        <f t="shared" ca="1" si="210"/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7">
        <f t="shared" ref="L284:N284" ca="1" si="213">L287+L290</f>
        <v>415220</v>
      </c>
      <c r="M284" s="47">
        <f t="shared" ca="1" si="213"/>
        <v>415220</v>
      </c>
      <c r="N284" s="47">
        <f t="shared" ca="1" si="213"/>
        <v>324275.83</v>
      </c>
      <c r="O284" s="47">
        <f t="shared" ca="1" si="206"/>
        <v>78.097353210346327</v>
      </c>
      <c r="P284" s="47">
        <f t="shared" ca="1" si="207"/>
        <v>78.097353210346327</v>
      </c>
      <c r="Q284" s="47">
        <f t="shared" ref="Q284:S284" ca="1" si="214">Q287+Q290</f>
        <v>0</v>
      </c>
      <c r="R284" s="47">
        <f t="shared" ca="1" si="214"/>
        <v>0</v>
      </c>
      <c r="S284" s="47">
        <f t="shared" ca="1" si="214"/>
        <v>0</v>
      </c>
      <c r="T284" s="47">
        <f t="shared" ca="1" si="209"/>
        <v>0</v>
      </c>
      <c r="U284" s="47">
        <f t="shared" ca="1" si="210"/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7">
        <f t="shared" ref="L285:N285" ca="1" si="215">L286+L287</f>
        <v>415220</v>
      </c>
      <c r="M285" s="47">
        <f t="shared" ca="1" si="215"/>
        <v>415220</v>
      </c>
      <c r="N285" s="47">
        <f t="shared" ca="1" si="215"/>
        <v>324275.83</v>
      </c>
      <c r="O285" s="47">
        <f t="shared" ca="1" si="206"/>
        <v>78.097353210346327</v>
      </c>
      <c r="P285" s="47">
        <f t="shared" ca="1" si="207"/>
        <v>78.097353210346327</v>
      </c>
      <c r="Q285" s="47">
        <f t="shared" ref="Q285:S285" ca="1" si="216">Q286+Q287</f>
        <v>0</v>
      </c>
      <c r="R285" s="47">
        <f t="shared" ca="1" si="216"/>
        <v>0</v>
      </c>
      <c r="S285" s="47">
        <f t="shared" ca="1" si="216"/>
        <v>0</v>
      </c>
      <c r="T285" s="47">
        <f t="shared" ca="1" si="209"/>
        <v>0</v>
      </c>
      <c r="U285" s="47">
        <f t="shared" ca="1" si="210"/>
        <v>0</v>
      </c>
    </row>
    <row r="286" spans="1:21" ht="18.75" hidden="1" x14ac:dyDescent="0.25">
      <c r="A286" s="128"/>
      <c r="B286" s="41"/>
      <c r="C286" s="41"/>
      <c r="D286" s="41"/>
      <c r="E286" s="48" t="s">
        <v>36</v>
      </c>
      <c r="F286" s="41"/>
      <c r="G286" s="43"/>
      <c r="H286" s="134" t="s">
        <v>14</v>
      </c>
      <c r="I286" s="135"/>
      <c r="J286" s="135"/>
      <c r="K286" s="136"/>
      <c r="L286" s="47">
        <f ca="1">IFERROR(__xludf.DUMMYFUNCTION("IMPORTRANGE(""https://docs.google.com/spreadsheets/d/1kKUcYdkIfrgTSj8iHHHB2MD2FAtwyyocFgqGQn6ADyI/edit?usp=sharing"",""กระบี่!L286"")+IMPORTRANGE(""https://docs.google.com/spreadsheets/d/1GwtLaSlNZkLk7iDqcyZz22giiy40b_usZZBXYciEN1U/edit?usp=sharing"",""ชุ"&amp;"มพร!L286"")+IMPORTRANGE(""https://docs.google.com/spreadsheets/d/16pAz3pOhQEZBhvFNMa5KGgZS6iKWpsKX0pg6tQmwFpo/edit?usp=sharing"",""ตรัง!L286"")+IMPORTRANGE(""https://docs.google.com/spreadsheets/d/1Dj4jcHCTV9JXKCaMoheSXS52JE63kDKyG7bPXnFogHk/edit?usp=shar"&amp;"ing"",""นครศรีธรรมราช!L286"")+IMPORTRANGE(""https://docs.google.com/spreadsheets/d/1iodCdmuK2GR3jzUwk8tpccY2JHQQA-87DLOtJP-ooyU/edit?usp=sharing"",""นราธิวาส!L286"")+IMPORTRANGE(""https://docs.google.com/spreadsheets/d/1SDNX3JhDdYRuIOsj0Wh2M-Qa_eaXl0NbWmh"&amp;"AOTbfQAs/edit?usp=sharing"",""ปัตตานี!L286"")+IMPORTRANGE(""https://docs.google.com/spreadsheets/d/16JDLGguT8s5DsGCND1KcwHP_AWR_zDMTqLHPLJUKhaU/edit?usp=sharing"",""พังงา!L286"")+IMPORTRANGE(""https://docs.google.com/spreadsheets/d/17ht0gPKzzT3PObBL1XJkeR"&amp;"mntBXI7wGjpLV7QorqlTk/edit?usp=sharing"",""พัทลุง!L286"")+IMPORTRANGE(""https://docs.google.com/spreadsheets/d/1rd4qoM1q_hsgaolqNGfrim9gbsoLxQsda4-vOz5x_BM/edit?usp=sharing"",""ภูเก็ต!L286"")+IMPORTRANGE(""https://docs.google.com/spreadsheets/d/1woKwKjgoL"&amp;"ssDvPcPeVyezB5izizAn4X1JDrys69n6xI/edit?usp=sharing"",""ยะลา!L286"")+IMPORTRANGE(""https://docs.google.com/spreadsheets/d/1qfrKjzMhm2HJfxQ-qVlJlJQ25Hne1d0khsySbZyGtPA/edit?usp=sharing"",""ระนอง!L286"")+IMPORTRANGE(""https://docs.google.com/spreadsheets/d/"&amp;"1IbSCnFOKpZsnFogBHJnL_isstZVaOMnFiIN0fGTPZZw/edit?usp=sharing"",""สงขลา!L286"")+IMPORTRANGE(""https://docs.google.com/spreadsheets/d/1q9nWasZJ-K8bFGvbE9n0qSRuKGA4Toe3Y89cKCiVtCU/edit?usp=sharing"",""สตูล!L286"")+IMPORTRANGE(""https://docs.google.com/sprea"&amp;"dsheets/d/18T20gbkS_WBjdscyTOV05cvq_JqvqQ17C81mpxf7Ncs/edit?usp=sharing"",""สุราษฎร์ธานี!L286"")"),0)</f>
        <v>0</v>
      </c>
      <c r="M286" s="47">
        <f ca="1">IFERROR(__xludf.DUMMYFUNCTION("IMPORTRANGE(""https://docs.google.com/spreadsheets/d/1kKUcYdkIfrgTSj8iHHHB2MD2FAtwyyocFgqGQn6ADyI/edit?usp=sharing"",""กระบี่!M286"")+IMPORTRANGE(""https://docs.google.com/spreadsheets/d/1GwtLaSlNZkLk7iDqcyZz22giiy40b_usZZBXYciEN1U/edit?usp=sharing"",""ชุ"&amp;"มพร!M286"")+IMPORTRANGE(""https://docs.google.com/spreadsheets/d/16pAz3pOhQEZBhvFNMa5KGgZS6iKWpsKX0pg6tQmwFpo/edit?usp=sharing"",""ตรัง!M286"")+IMPORTRANGE(""https://docs.google.com/spreadsheets/d/1Dj4jcHCTV9JXKCaMoheSXS52JE63kDKyG7bPXnFogHk/edit?usp=shar"&amp;"ing"",""นครศรีธรรมราช!M286"")+IMPORTRANGE(""https://docs.google.com/spreadsheets/d/1iodCdmuK2GR3jzUwk8tpccY2JHQQA-87DLOtJP-ooyU/edit?usp=sharing"",""นราธิวาส!M286"")+IMPORTRANGE(""https://docs.google.com/spreadsheets/d/1SDNX3JhDdYRuIOsj0Wh2M-Qa_eaXl0NbWmh"&amp;"AOTbfQAs/edit?usp=sharing"",""ปัตตานี!M286"")+IMPORTRANGE(""https://docs.google.com/spreadsheets/d/16JDLGguT8s5DsGCND1KcwHP_AWR_zDMTqLHPLJUKhaU/edit?usp=sharing"",""พังงา!M286"")+IMPORTRANGE(""https://docs.google.com/spreadsheets/d/17ht0gPKzzT3PObBL1XJkeR"&amp;"mntBXI7wGjpLV7QorqlTk/edit?usp=sharing"",""พัทลุง!M286"")+IMPORTRANGE(""https://docs.google.com/spreadsheets/d/1rd4qoM1q_hsgaolqNGfrim9gbsoLxQsda4-vOz5x_BM/edit?usp=sharing"",""ภูเก็ต!M286"")+IMPORTRANGE(""https://docs.google.com/spreadsheets/d/1woKwKjgoL"&amp;"ssDvPcPeVyezB5izizAn4X1JDrys69n6xI/edit?usp=sharing"",""ยะลา!M286"")+IMPORTRANGE(""https://docs.google.com/spreadsheets/d/1qfrKjzMhm2HJfxQ-qVlJlJQ25Hne1d0khsySbZyGtPA/edit?usp=sharing"",""ระนอง!M286"")+IMPORTRANGE(""https://docs.google.com/spreadsheets/d/"&amp;"1IbSCnFOKpZsnFogBHJnL_isstZVaOMnFiIN0fGTPZZw/edit?usp=sharing"",""สงขลา!M286"")+IMPORTRANGE(""https://docs.google.com/spreadsheets/d/1q9nWasZJ-K8bFGvbE9n0qSRuKGA4Toe3Y89cKCiVtCU/edit?usp=sharing"",""สตูล!M286"")+IMPORTRANGE(""https://docs.google.com/sprea"&amp;"dsheets/d/18T20gbkS_WBjdscyTOV05cvq_JqvqQ17C81mpxf7Ncs/edit?usp=sharing"",""สุราษฎร์ธานี!M286"")"),0)</f>
        <v>0</v>
      </c>
      <c r="N286" s="47">
        <f ca="1">IFERROR(__xludf.DUMMYFUNCTION("IMPORTRANGE(""https://docs.google.com/spreadsheets/d/1kKUcYdkIfrgTSj8iHHHB2MD2FAtwyyocFgqGQn6ADyI/edit?usp=sharing"",""กระบี่!N286"")+IMPORTRANGE(""https://docs.google.com/spreadsheets/d/1GwtLaSlNZkLk7iDqcyZz22giiy40b_usZZBXYciEN1U/edit?usp=sharing"",""ชุ"&amp;"มพร!N286"")+IMPORTRANGE(""https://docs.google.com/spreadsheets/d/16pAz3pOhQEZBhvFNMa5KGgZS6iKWpsKX0pg6tQmwFpo/edit?usp=sharing"",""ตรัง!N286"")+IMPORTRANGE(""https://docs.google.com/spreadsheets/d/1Dj4jcHCTV9JXKCaMoheSXS52JE63kDKyG7bPXnFogHk/edit?usp=shar"&amp;"ing"",""นครศรีธรรมราช!N286"")+IMPORTRANGE(""https://docs.google.com/spreadsheets/d/1iodCdmuK2GR3jzUwk8tpccY2JHQQA-87DLOtJP-ooyU/edit?usp=sharing"",""นราธิวาส!N286"")+IMPORTRANGE(""https://docs.google.com/spreadsheets/d/1SDNX3JhDdYRuIOsj0Wh2M-Qa_eaXl0NbWmh"&amp;"AOTbfQAs/edit?usp=sharing"",""ปัตตานี!N286"")+IMPORTRANGE(""https://docs.google.com/spreadsheets/d/16JDLGguT8s5DsGCND1KcwHP_AWR_zDMTqLHPLJUKhaU/edit?usp=sharing"",""พังงา!N286"")+IMPORTRANGE(""https://docs.google.com/spreadsheets/d/17ht0gPKzzT3PObBL1XJkeR"&amp;"mntBXI7wGjpLV7QorqlTk/edit?usp=sharing"",""พัทลุง!N286"")+IMPORTRANGE(""https://docs.google.com/spreadsheets/d/1rd4qoM1q_hsgaolqNGfrim9gbsoLxQsda4-vOz5x_BM/edit?usp=sharing"",""ภูเก็ต!N286"")+IMPORTRANGE(""https://docs.google.com/spreadsheets/d/1woKwKjgoL"&amp;"ssDvPcPeVyezB5izizAn4X1JDrys69n6xI/edit?usp=sharing"",""ยะลา!N286"")+IMPORTRANGE(""https://docs.google.com/spreadsheets/d/1qfrKjzMhm2HJfxQ-qVlJlJQ25Hne1d0khsySbZyGtPA/edit?usp=sharing"",""ระนอง!N286"")+IMPORTRANGE(""https://docs.google.com/spreadsheets/d/"&amp;"1IbSCnFOKpZsnFogBHJnL_isstZVaOMnFiIN0fGTPZZw/edit?usp=sharing"",""สงขลา!N286"")+IMPORTRANGE(""https://docs.google.com/spreadsheets/d/1q9nWasZJ-K8bFGvbE9n0qSRuKGA4Toe3Y89cKCiVtCU/edit?usp=sharing"",""สตูล!N286"")+IMPORTRANGE(""https://docs.google.com/sprea"&amp;"dsheets/d/18T20gbkS_WBjdscyTOV05cvq_JqvqQ17C81mpxf7Ncs/edit?usp=sharing"",""สุราษฎร์ธานี!N286"")"),0)</f>
        <v>0</v>
      </c>
      <c r="O286" s="47">
        <f t="shared" ca="1" si="206"/>
        <v>0</v>
      </c>
      <c r="P286" s="47">
        <f t="shared" ca="1" si="207"/>
        <v>0</v>
      </c>
      <c r="Q286" s="47">
        <f ca="1">IFERROR(__xludf.DUMMYFUNCTION("IMPORTRANGE(""https://docs.google.com/spreadsheets/d/1kKUcYdkIfrgTSj8iHHHB2MD2FAtwyyocFgqGQn6ADyI/edit?usp=sharing"",""กระบี่!Q286"")+IMPORTRANGE(""https://docs.google.com/spreadsheets/d/1GwtLaSlNZkLk7iDqcyZz22giiy40b_usZZBXYciEN1U/edit?usp=sharing"",""ชุ"&amp;"มพร!Q286"")+IMPORTRANGE(""https://docs.google.com/spreadsheets/d/16pAz3pOhQEZBhvFNMa5KGgZS6iKWpsKX0pg6tQmwFpo/edit?usp=sharing"",""ตรัง!Q286"")+IMPORTRANGE(""https://docs.google.com/spreadsheets/d/1Dj4jcHCTV9JXKCaMoheSXS52JE63kDKyG7bPXnFogHk/edit?usp=shar"&amp;"ing"",""นครศรีธรรมราช!Q286"")+IMPORTRANGE(""https://docs.google.com/spreadsheets/d/1iodCdmuK2GR3jzUwk8tpccY2JHQQA-87DLOtJP-ooyU/edit?usp=sharing"",""นราธิวาส!Q286"")+IMPORTRANGE(""https://docs.google.com/spreadsheets/d/1SDNX3JhDdYRuIOsj0Wh2M-Qa_eaXl0NbWmh"&amp;"AOTbfQAs/edit?usp=sharing"",""ปัตตานี!Q286"")+IMPORTRANGE(""https://docs.google.com/spreadsheets/d/16JDLGguT8s5DsGCND1KcwHP_AWR_zDMTqLHPLJUKhaU/edit?usp=sharing"",""พังงา!Q286"")+IMPORTRANGE(""https://docs.google.com/spreadsheets/d/17ht0gPKzzT3PObBL1XJkeR"&amp;"mntBXI7wGjpLV7QorqlTk/edit?usp=sharing"",""พัทลุง!Q286"")+IMPORTRANGE(""https://docs.google.com/spreadsheets/d/1rd4qoM1q_hsgaolqNGfrim9gbsoLxQsda4-vOz5x_BM/edit?usp=sharing"",""ภูเก็ต!Q286"")+IMPORTRANGE(""https://docs.google.com/spreadsheets/d/1woKwKjgoL"&amp;"ssDvPcPeVyezB5izizAn4X1JDrys69n6xI/edit?usp=sharing"",""ยะลา!Q286"")+IMPORTRANGE(""https://docs.google.com/spreadsheets/d/1qfrKjzMhm2HJfxQ-qVlJlJQ25Hne1d0khsySbZyGtPA/edit?usp=sharing"",""ระนอง!Q286"")+IMPORTRANGE(""https://docs.google.com/spreadsheets/d/"&amp;"1IbSCnFOKpZsnFogBHJnL_isstZVaOMnFiIN0fGTPZZw/edit?usp=sharing"",""สงขลา!Q286"")+IMPORTRANGE(""https://docs.google.com/spreadsheets/d/1q9nWasZJ-K8bFGvbE9n0qSRuKGA4Toe3Y89cKCiVtCU/edit?usp=sharing"",""สตูล!Q286"")+IMPORTRANGE(""https://docs.google.com/sprea"&amp;"dsheets/d/18T20gbkS_WBjdscyTOV05cvq_JqvqQ17C81mpxf7Ncs/edit?usp=sharing"",""สุราษฎร์ธานี!Q286"")"),0)</f>
        <v>0</v>
      </c>
      <c r="R286" s="47">
        <f ca="1">IFERROR(__xludf.DUMMYFUNCTION("IMPORTRANGE(""https://docs.google.com/spreadsheets/d/1kKUcYdkIfrgTSj8iHHHB2MD2FAtwyyocFgqGQn6ADyI/edit?usp=sharing"",""กระบี่!R286"")+IMPORTRANGE(""https://docs.google.com/spreadsheets/d/1GwtLaSlNZkLk7iDqcyZz22giiy40b_usZZBXYciEN1U/edit?usp=sharing"",""ชุ"&amp;"มพร!R286"")+IMPORTRANGE(""https://docs.google.com/spreadsheets/d/16pAz3pOhQEZBhvFNMa5KGgZS6iKWpsKX0pg6tQmwFpo/edit?usp=sharing"",""ตรัง!R286"")+IMPORTRANGE(""https://docs.google.com/spreadsheets/d/1Dj4jcHCTV9JXKCaMoheSXS52JE63kDKyG7bPXnFogHk/edit?usp=shar"&amp;"ing"",""นครศรีธรรมราช!R286"")+IMPORTRANGE(""https://docs.google.com/spreadsheets/d/1iodCdmuK2GR3jzUwk8tpccY2JHQQA-87DLOtJP-ooyU/edit?usp=sharing"",""นราธิวาส!R286"")+IMPORTRANGE(""https://docs.google.com/spreadsheets/d/1SDNX3JhDdYRuIOsj0Wh2M-Qa_eaXl0NbWmh"&amp;"AOTbfQAs/edit?usp=sharing"",""ปัตตานี!R286"")+IMPORTRANGE(""https://docs.google.com/spreadsheets/d/16JDLGguT8s5DsGCND1KcwHP_AWR_zDMTqLHPLJUKhaU/edit?usp=sharing"",""พังงา!R286"")+IMPORTRANGE(""https://docs.google.com/spreadsheets/d/17ht0gPKzzT3PObBL1XJkeR"&amp;"mntBXI7wGjpLV7QorqlTk/edit?usp=sharing"",""พัทลุง!R286"")+IMPORTRANGE(""https://docs.google.com/spreadsheets/d/1rd4qoM1q_hsgaolqNGfrim9gbsoLxQsda4-vOz5x_BM/edit?usp=sharing"",""ภูเก็ต!R286"")+IMPORTRANGE(""https://docs.google.com/spreadsheets/d/1woKwKjgoL"&amp;"ssDvPcPeVyezB5izizAn4X1JDrys69n6xI/edit?usp=sharing"",""ยะลา!R286"")+IMPORTRANGE(""https://docs.google.com/spreadsheets/d/1qfrKjzMhm2HJfxQ-qVlJlJQ25Hne1d0khsySbZyGtPA/edit?usp=sharing"",""ระนอง!R286"")+IMPORTRANGE(""https://docs.google.com/spreadsheets/d/"&amp;"1IbSCnFOKpZsnFogBHJnL_isstZVaOMnFiIN0fGTPZZw/edit?usp=sharing"",""สงขลา!R286"")+IMPORTRANGE(""https://docs.google.com/spreadsheets/d/1q9nWasZJ-K8bFGvbE9n0qSRuKGA4Toe3Y89cKCiVtCU/edit?usp=sharing"",""สตูล!R286"")+IMPORTRANGE(""https://docs.google.com/sprea"&amp;"dsheets/d/18T20gbkS_WBjdscyTOV05cvq_JqvqQ17C81mpxf7Ncs/edit?usp=sharing"",""สุราษฎร์ธานี!R286"")"),0)</f>
        <v>0</v>
      </c>
      <c r="S286" s="47">
        <f ca="1">IFERROR(__xludf.DUMMYFUNCTION("IMPORTRANGE(""https://docs.google.com/spreadsheets/d/1kKUcYdkIfrgTSj8iHHHB2MD2FAtwyyocFgqGQn6ADyI/edit?usp=sharing"",""กระบี่!S286"")+IMPORTRANGE(""https://docs.google.com/spreadsheets/d/1GwtLaSlNZkLk7iDqcyZz22giiy40b_usZZBXYciEN1U/edit?usp=sharing"",""ชุ"&amp;"มพร!S286"")+IMPORTRANGE(""https://docs.google.com/spreadsheets/d/16pAz3pOhQEZBhvFNMa5KGgZS6iKWpsKX0pg6tQmwFpo/edit?usp=sharing"",""ตรัง!S286"")+IMPORTRANGE(""https://docs.google.com/spreadsheets/d/1Dj4jcHCTV9JXKCaMoheSXS52JE63kDKyG7bPXnFogHk/edit?usp=shar"&amp;"ing"",""นครศรีธรรมราช!S286"")+IMPORTRANGE(""https://docs.google.com/spreadsheets/d/1iodCdmuK2GR3jzUwk8tpccY2JHQQA-87DLOtJP-ooyU/edit?usp=sharing"",""นราธิวาส!S286"")+IMPORTRANGE(""https://docs.google.com/spreadsheets/d/1SDNX3JhDdYRuIOsj0Wh2M-Qa_eaXl0NbWmh"&amp;"AOTbfQAs/edit?usp=sharing"",""ปัตตานี!S286"")+IMPORTRANGE(""https://docs.google.com/spreadsheets/d/16JDLGguT8s5DsGCND1KcwHP_AWR_zDMTqLHPLJUKhaU/edit?usp=sharing"",""พังงา!S286"")+IMPORTRANGE(""https://docs.google.com/spreadsheets/d/17ht0gPKzzT3PObBL1XJkeR"&amp;"mntBXI7wGjpLV7QorqlTk/edit?usp=sharing"",""พัทลุง!S286"")+IMPORTRANGE(""https://docs.google.com/spreadsheets/d/1rd4qoM1q_hsgaolqNGfrim9gbsoLxQsda4-vOz5x_BM/edit?usp=sharing"",""ภูเก็ต!S286"")+IMPORTRANGE(""https://docs.google.com/spreadsheets/d/1woKwKjgoL"&amp;"ssDvPcPeVyezB5izizAn4X1JDrys69n6xI/edit?usp=sharing"",""ยะลา!S286"")+IMPORTRANGE(""https://docs.google.com/spreadsheets/d/1qfrKjzMhm2HJfxQ-qVlJlJQ25Hne1d0khsySbZyGtPA/edit?usp=sharing"",""ระนอง!S286"")+IMPORTRANGE(""https://docs.google.com/spreadsheets/d/"&amp;"1IbSCnFOKpZsnFogBHJnL_isstZVaOMnFiIN0fGTPZZw/edit?usp=sharing"",""สงขลา!S286"")+IMPORTRANGE(""https://docs.google.com/spreadsheets/d/1q9nWasZJ-K8bFGvbE9n0qSRuKGA4Toe3Y89cKCiVtCU/edit?usp=sharing"",""สตูล!S286"")+IMPORTRANGE(""https://docs.google.com/sprea"&amp;"dsheets/d/18T20gbkS_WBjdscyTOV05cvq_JqvqQ17C81mpxf7Ncs/edit?usp=sharing"",""สุราษฎร์ธานี!S286"")"),0)</f>
        <v>0</v>
      </c>
      <c r="T286" s="49">
        <f t="shared" ca="1" si="209"/>
        <v>0</v>
      </c>
      <c r="U286" s="49">
        <f t="shared" ca="1" si="210"/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7">
        <f ca="1">IFERROR(__xludf.DUMMYFUNCTION("IMPORTRANGE(""https://docs.google.com/spreadsheets/d/1kKUcYdkIfrgTSj8iHHHB2MD2FAtwyyocFgqGQn6ADyI/edit?usp=sharing"",""กระบี่!L287"")+IMPORTRANGE(""https://docs.google.com/spreadsheets/d/1GwtLaSlNZkLk7iDqcyZz22giiy40b_usZZBXYciEN1U/edit?usp=sharing"",""ชุ"&amp;"มพร!L287"")+IMPORTRANGE(""https://docs.google.com/spreadsheets/d/16pAz3pOhQEZBhvFNMa5KGgZS6iKWpsKX0pg6tQmwFpo/edit?usp=sharing"",""ตรัง!L287"")+IMPORTRANGE(""https://docs.google.com/spreadsheets/d/1Dj4jcHCTV9JXKCaMoheSXS52JE63kDKyG7bPXnFogHk/edit?usp=shar"&amp;"ing"",""นครศรีธรรมราช!L287"")+IMPORTRANGE(""https://docs.google.com/spreadsheets/d/1iodCdmuK2GR3jzUwk8tpccY2JHQQA-87DLOtJP-ooyU/edit?usp=sharing"",""นราธิวาส!L287"")+IMPORTRANGE(""https://docs.google.com/spreadsheets/d/1SDNX3JhDdYRuIOsj0Wh2M-Qa_eaXl0NbWmh"&amp;"AOTbfQAs/edit?usp=sharing"",""ปัตตานี!L287"")+IMPORTRANGE(""https://docs.google.com/spreadsheets/d/16JDLGguT8s5DsGCND1KcwHP_AWR_zDMTqLHPLJUKhaU/edit?usp=sharing"",""พังงา!L287"")+IMPORTRANGE(""https://docs.google.com/spreadsheets/d/17ht0gPKzzT3PObBL1XJkeR"&amp;"mntBXI7wGjpLV7QorqlTk/edit?usp=sharing"",""พัทลุง!L287"")+IMPORTRANGE(""https://docs.google.com/spreadsheets/d/1rd4qoM1q_hsgaolqNGfrim9gbsoLxQsda4-vOz5x_BM/edit?usp=sharing"",""ภูเก็ต!L287"")+IMPORTRANGE(""https://docs.google.com/spreadsheets/d/1woKwKjgoL"&amp;"ssDvPcPeVyezB5izizAn4X1JDrys69n6xI/edit?usp=sharing"",""ยะลา!L287"")+IMPORTRANGE(""https://docs.google.com/spreadsheets/d/1qfrKjzMhm2HJfxQ-qVlJlJQ25Hne1d0khsySbZyGtPA/edit?usp=sharing"",""ระนอง!L287"")+IMPORTRANGE(""https://docs.google.com/spreadsheets/d/"&amp;"1IbSCnFOKpZsnFogBHJnL_isstZVaOMnFiIN0fGTPZZw/edit?usp=sharing"",""สงขลา!L287"")+IMPORTRANGE(""https://docs.google.com/spreadsheets/d/1q9nWasZJ-K8bFGvbE9n0qSRuKGA4Toe3Y89cKCiVtCU/edit?usp=sharing"",""สตูล!L287"")+IMPORTRANGE(""https://docs.google.com/sprea"&amp;"dsheets/d/18T20gbkS_WBjdscyTOV05cvq_JqvqQ17C81mpxf7Ncs/edit?usp=sharing"",""สุราษฎร์ธานี!L287"")"),415220)</f>
        <v>415220</v>
      </c>
      <c r="M287" s="47">
        <f ca="1">IFERROR(__xludf.DUMMYFUNCTION("IMPORTRANGE(""https://docs.google.com/spreadsheets/d/1kKUcYdkIfrgTSj8iHHHB2MD2FAtwyyocFgqGQn6ADyI/edit?usp=sharing"",""กระบี่!M287"")+IMPORTRANGE(""https://docs.google.com/spreadsheets/d/1GwtLaSlNZkLk7iDqcyZz22giiy40b_usZZBXYciEN1U/edit?usp=sharing"",""ชุ"&amp;"มพร!M287"")+IMPORTRANGE(""https://docs.google.com/spreadsheets/d/16pAz3pOhQEZBhvFNMa5KGgZS6iKWpsKX0pg6tQmwFpo/edit?usp=sharing"",""ตรัง!M287"")+IMPORTRANGE(""https://docs.google.com/spreadsheets/d/1Dj4jcHCTV9JXKCaMoheSXS52JE63kDKyG7bPXnFogHk/edit?usp=shar"&amp;"ing"",""นครศรีธรรมราช!M287"")+IMPORTRANGE(""https://docs.google.com/spreadsheets/d/1iodCdmuK2GR3jzUwk8tpccY2JHQQA-87DLOtJP-ooyU/edit?usp=sharing"",""นราธิวาส!M287"")+IMPORTRANGE(""https://docs.google.com/spreadsheets/d/1SDNX3JhDdYRuIOsj0Wh2M-Qa_eaXl0NbWmh"&amp;"AOTbfQAs/edit?usp=sharing"",""ปัตตานี!M287"")+IMPORTRANGE(""https://docs.google.com/spreadsheets/d/16JDLGguT8s5DsGCND1KcwHP_AWR_zDMTqLHPLJUKhaU/edit?usp=sharing"",""พังงา!M287"")+IMPORTRANGE(""https://docs.google.com/spreadsheets/d/17ht0gPKzzT3PObBL1XJkeR"&amp;"mntBXI7wGjpLV7QorqlTk/edit?usp=sharing"",""พัทลุง!M287"")+IMPORTRANGE(""https://docs.google.com/spreadsheets/d/1rd4qoM1q_hsgaolqNGfrim9gbsoLxQsda4-vOz5x_BM/edit?usp=sharing"",""ภูเก็ต!M287"")+IMPORTRANGE(""https://docs.google.com/spreadsheets/d/1woKwKjgoL"&amp;"ssDvPcPeVyezB5izizAn4X1JDrys69n6xI/edit?usp=sharing"",""ยะลา!M287"")+IMPORTRANGE(""https://docs.google.com/spreadsheets/d/1qfrKjzMhm2HJfxQ-qVlJlJQ25Hne1d0khsySbZyGtPA/edit?usp=sharing"",""ระนอง!M287"")+IMPORTRANGE(""https://docs.google.com/spreadsheets/d/"&amp;"1IbSCnFOKpZsnFogBHJnL_isstZVaOMnFiIN0fGTPZZw/edit?usp=sharing"",""สงขลา!M287"")+IMPORTRANGE(""https://docs.google.com/spreadsheets/d/1q9nWasZJ-K8bFGvbE9n0qSRuKGA4Toe3Y89cKCiVtCU/edit?usp=sharing"",""สตูล!M287"")+IMPORTRANGE(""https://docs.google.com/sprea"&amp;"dsheets/d/18T20gbkS_WBjdscyTOV05cvq_JqvqQ17C81mpxf7Ncs/edit?usp=sharing"",""สุราษฎร์ธานี!M287"")"),415220)</f>
        <v>415220</v>
      </c>
      <c r="N287" s="47">
        <f ca="1">IFERROR(__xludf.DUMMYFUNCTION("IMPORTRANGE(""https://docs.google.com/spreadsheets/d/1kKUcYdkIfrgTSj8iHHHB2MD2FAtwyyocFgqGQn6ADyI/edit?usp=sharing"",""กระบี่!N287"")+IMPORTRANGE(""https://docs.google.com/spreadsheets/d/1GwtLaSlNZkLk7iDqcyZz22giiy40b_usZZBXYciEN1U/edit?usp=sharing"",""ชุ"&amp;"มพร!N287"")+IMPORTRANGE(""https://docs.google.com/spreadsheets/d/16pAz3pOhQEZBhvFNMa5KGgZS6iKWpsKX0pg6tQmwFpo/edit?usp=sharing"",""ตรัง!N287"")+IMPORTRANGE(""https://docs.google.com/spreadsheets/d/1Dj4jcHCTV9JXKCaMoheSXS52JE63kDKyG7bPXnFogHk/edit?usp=shar"&amp;"ing"",""นครศรีธรรมราช!N287"")+IMPORTRANGE(""https://docs.google.com/spreadsheets/d/1iodCdmuK2GR3jzUwk8tpccY2JHQQA-87DLOtJP-ooyU/edit?usp=sharing"",""นราธิวาส!N287"")+IMPORTRANGE(""https://docs.google.com/spreadsheets/d/1SDNX3JhDdYRuIOsj0Wh2M-Qa_eaXl0NbWmh"&amp;"AOTbfQAs/edit?usp=sharing"",""ปัตตานี!N287"")+IMPORTRANGE(""https://docs.google.com/spreadsheets/d/16JDLGguT8s5DsGCND1KcwHP_AWR_zDMTqLHPLJUKhaU/edit?usp=sharing"",""พังงา!N287"")+IMPORTRANGE(""https://docs.google.com/spreadsheets/d/17ht0gPKzzT3PObBL1XJkeR"&amp;"mntBXI7wGjpLV7QorqlTk/edit?usp=sharing"",""พัทลุง!N287"")+IMPORTRANGE(""https://docs.google.com/spreadsheets/d/1rd4qoM1q_hsgaolqNGfrim9gbsoLxQsda4-vOz5x_BM/edit?usp=sharing"",""ภูเก็ต!N287"")+IMPORTRANGE(""https://docs.google.com/spreadsheets/d/1woKwKjgoL"&amp;"ssDvPcPeVyezB5izizAn4X1JDrys69n6xI/edit?usp=sharing"",""ยะลา!N287"")+IMPORTRANGE(""https://docs.google.com/spreadsheets/d/1qfrKjzMhm2HJfxQ-qVlJlJQ25Hne1d0khsySbZyGtPA/edit?usp=sharing"",""ระนอง!N287"")+IMPORTRANGE(""https://docs.google.com/spreadsheets/d/"&amp;"1IbSCnFOKpZsnFogBHJnL_isstZVaOMnFiIN0fGTPZZw/edit?usp=sharing"",""สงขลา!N287"")+IMPORTRANGE(""https://docs.google.com/spreadsheets/d/1q9nWasZJ-K8bFGvbE9n0qSRuKGA4Toe3Y89cKCiVtCU/edit?usp=sharing"",""สตูล!N287"")+IMPORTRANGE(""https://docs.google.com/sprea"&amp;"dsheets/d/18T20gbkS_WBjdscyTOV05cvq_JqvqQ17C81mpxf7Ncs/edit?usp=sharing"",""สุราษฎร์ธานี!N287"")"),324275.83)</f>
        <v>324275.83</v>
      </c>
      <c r="O287" s="47">
        <f t="shared" ca="1" si="206"/>
        <v>78.097353210346327</v>
      </c>
      <c r="P287" s="47">
        <f t="shared" ca="1" si="207"/>
        <v>78.097353210346327</v>
      </c>
      <c r="Q287" s="47">
        <f ca="1">IFERROR(__xludf.DUMMYFUNCTION("IMPORTRANGE(""https://docs.google.com/spreadsheets/d/1kKUcYdkIfrgTSj8iHHHB2MD2FAtwyyocFgqGQn6ADyI/edit?usp=sharing"",""กระบี่!Q287"")+IMPORTRANGE(""https://docs.google.com/spreadsheets/d/1GwtLaSlNZkLk7iDqcyZz22giiy40b_usZZBXYciEN1U/edit?usp=sharing"",""ชุ"&amp;"มพร!Q287"")+IMPORTRANGE(""https://docs.google.com/spreadsheets/d/16pAz3pOhQEZBhvFNMa5KGgZS6iKWpsKX0pg6tQmwFpo/edit?usp=sharing"",""ตรัง!Q287"")+IMPORTRANGE(""https://docs.google.com/spreadsheets/d/1Dj4jcHCTV9JXKCaMoheSXS52JE63kDKyG7bPXnFogHk/edit?usp=shar"&amp;"ing"",""นครศรีธรรมราช!Q287"")+IMPORTRANGE(""https://docs.google.com/spreadsheets/d/1iodCdmuK2GR3jzUwk8tpccY2JHQQA-87DLOtJP-ooyU/edit?usp=sharing"",""นราธิวาส!Q287"")+IMPORTRANGE(""https://docs.google.com/spreadsheets/d/1SDNX3JhDdYRuIOsj0Wh2M-Qa_eaXl0NbWmh"&amp;"AOTbfQAs/edit?usp=sharing"",""ปัตตานี!Q287"")+IMPORTRANGE(""https://docs.google.com/spreadsheets/d/16JDLGguT8s5DsGCND1KcwHP_AWR_zDMTqLHPLJUKhaU/edit?usp=sharing"",""พังงา!Q287"")+IMPORTRANGE(""https://docs.google.com/spreadsheets/d/17ht0gPKzzT3PObBL1XJkeR"&amp;"mntBXI7wGjpLV7QorqlTk/edit?usp=sharing"",""พัทลุง!Q287"")+IMPORTRANGE(""https://docs.google.com/spreadsheets/d/1rd4qoM1q_hsgaolqNGfrim9gbsoLxQsda4-vOz5x_BM/edit?usp=sharing"",""ภูเก็ต!Q287"")+IMPORTRANGE(""https://docs.google.com/spreadsheets/d/1woKwKjgoL"&amp;"ssDvPcPeVyezB5izizAn4X1JDrys69n6xI/edit?usp=sharing"",""ยะลา!Q287"")+IMPORTRANGE(""https://docs.google.com/spreadsheets/d/1qfrKjzMhm2HJfxQ-qVlJlJQ25Hne1d0khsySbZyGtPA/edit?usp=sharing"",""ระนอง!Q287"")+IMPORTRANGE(""https://docs.google.com/spreadsheets/d/"&amp;"1IbSCnFOKpZsnFogBHJnL_isstZVaOMnFiIN0fGTPZZw/edit?usp=sharing"",""สงขลา!Q287"")+IMPORTRANGE(""https://docs.google.com/spreadsheets/d/1q9nWasZJ-K8bFGvbE9n0qSRuKGA4Toe3Y89cKCiVtCU/edit?usp=sharing"",""สตูล!Q287"")+IMPORTRANGE(""https://docs.google.com/sprea"&amp;"dsheets/d/18T20gbkS_WBjdscyTOV05cvq_JqvqQ17C81mpxf7Ncs/edit?usp=sharing"",""สุราษฎร์ธานี!Q287"")"),0)</f>
        <v>0</v>
      </c>
      <c r="R287" s="47">
        <f ca="1">IFERROR(__xludf.DUMMYFUNCTION("IMPORTRANGE(""https://docs.google.com/spreadsheets/d/1kKUcYdkIfrgTSj8iHHHB2MD2FAtwyyocFgqGQn6ADyI/edit?usp=sharing"",""กระบี่!R287"")+IMPORTRANGE(""https://docs.google.com/spreadsheets/d/1GwtLaSlNZkLk7iDqcyZz22giiy40b_usZZBXYciEN1U/edit?usp=sharing"",""ชุ"&amp;"มพร!R287"")+IMPORTRANGE(""https://docs.google.com/spreadsheets/d/16pAz3pOhQEZBhvFNMa5KGgZS6iKWpsKX0pg6tQmwFpo/edit?usp=sharing"",""ตรัง!R287"")+IMPORTRANGE(""https://docs.google.com/spreadsheets/d/1Dj4jcHCTV9JXKCaMoheSXS52JE63kDKyG7bPXnFogHk/edit?usp=shar"&amp;"ing"",""นครศรีธรรมราช!R287"")+IMPORTRANGE(""https://docs.google.com/spreadsheets/d/1iodCdmuK2GR3jzUwk8tpccY2JHQQA-87DLOtJP-ooyU/edit?usp=sharing"",""นราธิวาส!R287"")+IMPORTRANGE(""https://docs.google.com/spreadsheets/d/1SDNX3JhDdYRuIOsj0Wh2M-Qa_eaXl0NbWmh"&amp;"AOTbfQAs/edit?usp=sharing"",""ปัตตานี!R287"")+IMPORTRANGE(""https://docs.google.com/spreadsheets/d/16JDLGguT8s5DsGCND1KcwHP_AWR_zDMTqLHPLJUKhaU/edit?usp=sharing"",""พังงา!R287"")+IMPORTRANGE(""https://docs.google.com/spreadsheets/d/17ht0gPKzzT3PObBL1XJkeR"&amp;"mntBXI7wGjpLV7QorqlTk/edit?usp=sharing"",""พัทลุง!R287"")+IMPORTRANGE(""https://docs.google.com/spreadsheets/d/1rd4qoM1q_hsgaolqNGfrim9gbsoLxQsda4-vOz5x_BM/edit?usp=sharing"",""ภูเก็ต!R287"")+IMPORTRANGE(""https://docs.google.com/spreadsheets/d/1woKwKjgoL"&amp;"ssDvPcPeVyezB5izizAn4X1JDrys69n6xI/edit?usp=sharing"",""ยะลา!R287"")+IMPORTRANGE(""https://docs.google.com/spreadsheets/d/1qfrKjzMhm2HJfxQ-qVlJlJQ25Hne1d0khsySbZyGtPA/edit?usp=sharing"",""ระนอง!R287"")+IMPORTRANGE(""https://docs.google.com/spreadsheets/d/"&amp;"1IbSCnFOKpZsnFogBHJnL_isstZVaOMnFiIN0fGTPZZw/edit?usp=sharing"",""สงขลา!R287"")+IMPORTRANGE(""https://docs.google.com/spreadsheets/d/1q9nWasZJ-K8bFGvbE9n0qSRuKGA4Toe3Y89cKCiVtCU/edit?usp=sharing"",""สตูล!R287"")+IMPORTRANGE(""https://docs.google.com/sprea"&amp;"dsheets/d/18T20gbkS_WBjdscyTOV05cvq_JqvqQ17C81mpxf7Ncs/edit?usp=sharing"",""สุราษฎร์ธานี!R287"")"),0)</f>
        <v>0</v>
      </c>
      <c r="S287" s="47">
        <f ca="1">IFERROR(__xludf.DUMMYFUNCTION("IMPORTRANGE(""https://docs.google.com/spreadsheets/d/1kKUcYdkIfrgTSj8iHHHB2MD2FAtwyyocFgqGQn6ADyI/edit?usp=sharing"",""กระบี่!S287"")+IMPORTRANGE(""https://docs.google.com/spreadsheets/d/1GwtLaSlNZkLk7iDqcyZz22giiy40b_usZZBXYciEN1U/edit?usp=sharing"",""ชุ"&amp;"มพร!S287"")+IMPORTRANGE(""https://docs.google.com/spreadsheets/d/16pAz3pOhQEZBhvFNMa5KGgZS6iKWpsKX0pg6tQmwFpo/edit?usp=sharing"",""ตรัง!S287"")+IMPORTRANGE(""https://docs.google.com/spreadsheets/d/1Dj4jcHCTV9JXKCaMoheSXS52JE63kDKyG7bPXnFogHk/edit?usp=shar"&amp;"ing"",""นครศรีธรรมราช!S287"")+IMPORTRANGE(""https://docs.google.com/spreadsheets/d/1iodCdmuK2GR3jzUwk8tpccY2JHQQA-87DLOtJP-ooyU/edit?usp=sharing"",""นราธิวาส!S287"")+IMPORTRANGE(""https://docs.google.com/spreadsheets/d/1SDNX3JhDdYRuIOsj0Wh2M-Qa_eaXl0NbWmh"&amp;"AOTbfQAs/edit?usp=sharing"",""ปัตตานี!S287"")+IMPORTRANGE(""https://docs.google.com/spreadsheets/d/16JDLGguT8s5DsGCND1KcwHP_AWR_zDMTqLHPLJUKhaU/edit?usp=sharing"",""พังงา!S287"")+IMPORTRANGE(""https://docs.google.com/spreadsheets/d/17ht0gPKzzT3PObBL1XJkeR"&amp;"mntBXI7wGjpLV7QorqlTk/edit?usp=sharing"",""พัทลุง!S287"")+IMPORTRANGE(""https://docs.google.com/spreadsheets/d/1rd4qoM1q_hsgaolqNGfrim9gbsoLxQsda4-vOz5x_BM/edit?usp=sharing"",""ภูเก็ต!S287"")+IMPORTRANGE(""https://docs.google.com/spreadsheets/d/1woKwKjgoL"&amp;"ssDvPcPeVyezB5izizAn4X1JDrys69n6xI/edit?usp=sharing"",""ยะลา!S287"")+IMPORTRANGE(""https://docs.google.com/spreadsheets/d/1qfrKjzMhm2HJfxQ-qVlJlJQ25Hne1d0khsySbZyGtPA/edit?usp=sharing"",""ระนอง!S287"")+IMPORTRANGE(""https://docs.google.com/spreadsheets/d/"&amp;"1IbSCnFOKpZsnFogBHJnL_isstZVaOMnFiIN0fGTPZZw/edit?usp=sharing"",""สงขลา!S287"")+IMPORTRANGE(""https://docs.google.com/spreadsheets/d/1q9nWasZJ-K8bFGvbE9n0qSRuKGA4Toe3Y89cKCiVtCU/edit?usp=sharing"",""สตูล!S287"")+IMPORTRANGE(""https://docs.google.com/sprea"&amp;"dsheets/d/18T20gbkS_WBjdscyTOV05cvq_JqvqQ17C81mpxf7Ncs/edit?usp=sharing"",""สุราษฎร์ธานี!S287"")"),0)</f>
        <v>0</v>
      </c>
      <c r="T287" s="49">
        <f t="shared" ca="1" si="209"/>
        <v>0</v>
      </c>
      <c r="U287" s="49">
        <f t="shared" ca="1" si="210"/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7">
        <f t="shared" ref="L288:N288" ca="1" si="217">L289+L290</f>
        <v>0</v>
      </c>
      <c r="M288" s="47">
        <f t="shared" ca="1" si="217"/>
        <v>0</v>
      </c>
      <c r="N288" s="47">
        <f t="shared" ca="1" si="217"/>
        <v>0</v>
      </c>
      <c r="O288" s="47">
        <f t="shared" ca="1" si="206"/>
        <v>0</v>
      </c>
      <c r="P288" s="47">
        <f t="shared" ca="1" si="207"/>
        <v>0</v>
      </c>
      <c r="Q288" s="47">
        <f t="shared" ref="Q288:S288" ca="1" si="218">Q289+Q290</f>
        <v>0</v>
      </c>
      <c r="R288" s="47">
        <f t="shared" ca="1" si="218"/>
        <v>0</v>
      </c>
      <c r="S288" s="47">
        <f t="shared" ca="1" si="218"/>
        <v>0</v>
      </c>
      <c r="T288" s="47">
        <f t="shared" ca="1" si="209"/>
        <v>0</v>
      </c>
      <c r="U288" s="47">
        <f t="shared" ca="1" si="210"/>
        <v>0</v>
      </c>
    </row>
    <row r="289" spans="1:21" ht="18.75" hidden="1" x14ac:dyDescent="0.25">
      <c r="A289" s="128"/>
      <c r="B289" s="41"/>
      <c r="C289" s="41"/>
      <c r="D289" s="41"/>
      <c r="E289" s="48" t="s">
        <v>20</v>
      </c>
      <c r="F289" s="41"/>
      <c r="G289" s="43"/>
      <c r="H289" s="134" t="s">
        <v>14</v>
      </c>
      <c r="I289" s="135"/>
      <c r="J289" s="135"/>
      <c r="K289" s="136"/>
      <c r="L289" s="47">
        <f ca="1">IFERROR(__xludf.DUMMYFUNCTION("IMPORTRANGE(""https://docs.google.com/spreadsheets/d/1kKUcYdkIfrgTSj8iHHHB2MD2FAtwyyocFgqGQn6ADyI/edit?usp=sharing"",""กระบี่!L289"")+IMPORTRANGE(""https://docs.google.com/spreadsheets/d/1GwtLaSlNZkLk7iDqcyZz22giiy40b_usZZBXYciEN1U/edit?usp=sharing"",""ชุ"&amp;"มพร!L289"")+IMPORTRANGE(""https://docs.google.com/spreadsheets/d/16pAz3pOhQEZBhvFNMa5KGgZS6iKWpsKX0pg6tQmwFpo/edit?usp=sharing"",""ตรัง!L289"")+IMPORTRANGE(""https://docs.google.com/spreadsheets/d/1Dj4jcHCTV9JXKCaMoheSXS52JE63kDKyG7bPXnFogHk/edit?usp=shar"&amp;"ing"",""นครศรีธรรมราช!L289"")+IMPORTRANGE(""https://docs.google.com/spreadsheets/d/1iodCdmuK2GR3jzUwk8tpccY2JHQQA-87DLOtJP-ooyU/edit?usp=sharing"",""นราธิวาส!L289"")+IMPORTRANGE(""https://docs.google.com/spreadsheets/d/1SDNX3JhDdYRuIOsj0Wh2M-Qa_eaXl0NbWmh"&amp;"AOTbfQAs/edit?usp=sharing"",""ปัตตานี!L289"")+IMPORTRANGE(""https://docs.google.com/spreadsheets/d/16JDLGguT8s5DsGCND1KcwHP_AWR_zDMTqLHPLJUKhaU/edit?usp=sharing"",""พังงา!L289"")+IMPORTRANGE(""https://docs.google.com/spreadsheets/d/17ht0gPKzzT3PObBL1XJkeR"&amp;"mntBXI7wGjpLV7QorqlTk/edit?usp=sharing"",""พัทลุง!L289"")+IMPORTRANGE(""https://docs.google.com/spreadsheets/d/1rd4qoM1q_hsgaolqNGfrim9gbsoLxQsda4-vOz5x_BM/edit?usp=sharing"",""ภูเก็ต!L289"")+IMPORTRANGE(""https://docs.google.com/spreadsheets/d/1woKwKjgoL"&amp;"ssDvPcPeVyezB5izizAn4X1JDrys69n6xI/edit?usp=sharing"",""ยะลา!L289"")+IMPORTRANGE(""https://docs.google.com/spreadsheets/d/1qfrKjzMhm2HJfxQ-qVlJlJQ25Hne1d0khsySbZyGtPA/edit?usp=sharing"",""ระนอง!L289"")+IMPORTRANGE(""https://docs.google.com/spreadsheets/d/"&amp;"1IbSCnFOKpZsnFogBHJnL_isstZVaOMnFiIN0fGTPZZw/edit?usp=sharing"",""สงขลา!L289"")+IMPORTRANGE(""https://docs.google.com/spreadsheets/d/1q9nWasZJ-K8bFGvbE9n0qSRuKGA4Toe3Y89cKCiVtCU/edit?usp=sharing"",""สตูล!L289"")+IMPORTRANGE(""https://docs.google.com/sprea"&amp;"dsheets/d/18T20gbkS_WBjdscyTOV05cvq_JqvqQ17C81mpxf7Ncs/edit?usp=sharing"",""สุราษฎร์ธานี!L289"")"),0)</f>
        <v>0</v>
      </c>
      <c r="M289" s="47">
        <f ca="1">IFERROR(__xludf.DUMMYFUNCTION("IMPORTRANGE(""https://docs.google.com/spreadsheets/d/1kKUcYdkIfrgTSj8iHHHB2MD2FAtwyyocFgqGQn6ADyI/edit?usp=sharing"",""กระบี่!M289"")+IMPORTRANGE(""https://docs.google.com/spreadsheets/d/1GwtLaSlNZkLk7iDqcyZz22giiy40b_usZZBXYciEN1U/edit?usp=sharing"",""ชุ"&amp;"มพร!M289"")+IMPORTRANGE(""https://docs.google.com/spreadsheets/d/16pAz3pOhQEZBhvFNMa5KGgZS6iKWpsKX0pg6tQmwFpo/edit?usp=sharing"",""ตรัง!M289"")+IMPORTRANGE(""https://docs.google.com/spreadsheets/d/1Dj4jcHCTV9JXKCaMoheSXS52JE63kDKyG7bPXnFogHk/edit?usp=shar"&amp;"ing"",""นครศรีธรรมราช!M289"")+IMPORTRANGE(""https://docs.google.com/spreadsheets/d/1iodCdmuK2GR3jzUwk8tpccY2JHQQA-87DLOtJP-ooyU/edit?usp=sharing"",""นราธิวาส!M289"")+IMPORTRANGE(""https://docs.google.com/spreadsheets/d/1SDNX3JhDdYRuIOsj0Wh2M-Qa_eaXl0NbWmh"&amp;"AOTbfQAs/edit?usp=sharing"",""ปัตตานี!M289"")+IMPORTRANGE(""https://docs.google.com/spreadsheets/d/16JDLGguT8s5DsGCND1KcwHP_AWR_zDMTqLHPLJUKhaU/edit?usp=sharing"",""พังงา!M289"")+IMPORTRANGE(""https://docs.google.com/spreadsheets/d/17ht0gPKzzT3PObBL1XJkeR"&amp;"mntBXI7wGjpLV7QorqlTk/edit?usp=sharing"",""พัทลุง!M289"")+IMPORTRANGE(""https://docs.google.com/spreadsheets/d/1rd4qoM1q_hsgaolqNGfrim9gbsoLxQsda4-vOz5x_BM/edit?usp=sharing"",""ภูเก็ต!M289"")+IMPORTRANGE(""https://docs.google.com/spreadsheets/d/1woKwKjgoL"&amp;"ssDvPcPeVyezB5izizAn4X1JDrys69n6xI/edit?usp=sharing"",""ยะลา!M289"")+IMPORTRANGE(""https://docs.google.com/spreadsheets/d/1qfrKjzMhm2HJfxQ-qVlJlJQ25Hne1d0khsySbZyGtPA/edit?usp=sharing"",""ระนอง!M289"")+IMPORTRANGE(""https://docs.google.com/spreadsheets/d/"&amp;"1IbSCnFOKpZsnFogBHJnL_isstZVaOMnFiIN0fGTPZZw/edit?usp=sharing"",""สงขลา!M289"")+IMPORTRANGE(""https://docs.google.com/spreadsheets/d/1q9nWasZJ-K8bFGvbE9n0qSRuKGA4Toe3Y89cKCiVtCU/edit?usp=sharing"",""สตูล!M289"")+IMPORTRANGE(""https://docs.google.com/sprea"&amp;"dsheets/d/18T20gbkS_WBjdscyTOV05cvq_JqvqQ17C81mpxf7Ncs/edit?usp=sharing"",""สุราษฎร์ธานี!M289"")"),0)</f>
        <v>0</v>
      </c>
      <c r="N289" s="47">
        <f ca="1">IFERROR(__xludf.DUMMYFUNCTION("IMPORTRANGE(""https://docs.google.com/spreadsheets/d/1kKUcYdkIfrgTSj8iHHHB2MD2FAtwyyocFgqGQn6ADyI/edit?usp=sharing"",""กระบี่!N289"")+IMPORTRANGE(""https://docs.google.com/spreadsheets/d/1GwtLaSlNZkLk7iDqcyZz22giiy40b_usZZBXYciEN1U/edit?usp=sharing"",""ชุ"&amp;"มพร!N289"")+IMPORTRANGE(""https://docs.google.com/spreadsheets/d/16pAz3pOhQEZBhvFNMa5KGgZS6iKWpsKX0pg6tQmwFpo/edit?usp=sharing"",""ตรัง!N289"")+IMPORTRANGE(""https://docs.google.com/spreadsheets/d/1Dj4jcHCTV9JXKCaMoheSXS52JE63kDKyG7bPXnFogHk/edit?usp=shar"&amp;"ing"",""นครศรีธรรมราช!N289"")+IMPORTRANGE(""https://docs.google.com/spreadsheets/d/1iodCdmuK2GR3jzUwk8tpccY2JHQQA-87DLOtJP-ooyU/edit?usp=sharing"",""นราธิวาส!N289"")+IMPORTRANGE(""https://docs.google.com/spreadsheets/d/1SDNX3JhDdYRuIOsj0Wh2M-Qa_eaXl0NbWmh"&amp;"AOTbfQAs/edit?usp=sharing"",""ปัตตานี!N289"")+IMPORTRANGE(""https://docs.google.com/spreadsheets/d/16JDLGguT8s5DsGCND1KcwHP_AWR_zDMTqLHPLJUKhaU/edit?usp=sharing"",""พังงา!N289"")+IMPORTRANGE(""https://docs.google.com/spreadsheets/d/17ht0gPKzzT3PObBL1XJkeR"&amp;"mntBXI7wGjpLV7QorqlTk/edit?usp=sharing"",""พัทลุง!N289"")+IMPORTRANGE(""https://docs.google.com/spreadsheets/d/1rd4qoM1q_hsgaolqNGfrim9gbsoLxQsda4-vOz5x_BM/edit?usp=sharing"",""ภูเก็ต!N289"")+IMPORTRANGE(""https://docs.google.com/spreadsheets/d/1woKwKjgoL"&amp;"ssDvPcPeVyezB5izizAn4X1JDrys69n6xI/edit?usp=sharing"",""ยะลา!N289"")+IMPORTRANGE(""https://docs.google.com/spreadsheets/d/1qfrKjzMhm2HJfxQ-qVlJlJQ25Hne1d0khsySbZyGtPA/edit?usp=sharing"",""ระนอง!N289"")+IMPORTRANGE(""https://docs.google.com/spreadsheets/d/"&amp;"1IbSCnFOKpZsnFogBHJnL_isstZVaOMnFiIN0fGTPZZw/edit?usp=sharing"",""สงขลา!N289"")+IMPORTRANGE(""https://docs.google.com/spreadsheets/d/1q9nWasZJ-K8bFGvbE9n0qSRuKGA4Toe3Y89cKCiVtCU/edit?usp=sharing"",""สตูล!N289"")+IMPORTRANGE(""https://docs.google.com/sprea"&amp;"dsheets/d/18T20gbkS_WBjdscyTOV05cvq_JqvqQ17C81mpxf7Ncs/edit?usp=sharing"",""สุราษฎร์ธานี!N289"")"),0)</f>
        <v>0</v>
      </c>
      <c r="O289" s="47">
        <f t="shared" ca="1" si="206"/>
        <v>0</v>
      </c>
      <c r="P289" s="47">
        <f t="shared" ca="1" si="207"/>
        <v>0</v>
      </c>
      <c r="Q289" s="47">
        <f ca="1">IFERROR(__xludf.DUMMYFUNCTION("IMPORTRANGE(""https://docs.google.com/spreadsheets/d/1kKUcYdkIfrgTSj8iHHHB2MD2FAtwyyocFgqGQn6ADyI/edit?usp=sharing"",""กระบี่!Q289"")+IMPORTRANGE(""https://docs.google.com/spreadsheets/d/1GwtLaSlNZkLk7iDqcyZz22giiy40b_usZZBXYciEN1U/edit?usp=sharing"",""ชุ"&amp;"มพร!Q289"")+IMPORTRANGE(""https://docs.google.com/spreadsheets/d/16pAz3pOhQEZBhvFNMa5KGgZS6iKWpsKX0pg6tQmwFpo/edit?usp=sharing"",""ตรัง!Q289"")+IMPORTRANGE(""https://docs.google.com/spreadsheets/d/1Dj4jcHCTV9JXKCaMoheSXS52JE63kDKyG7bPXnFogHk/edit?usp=shar"&amp;"ing"",""นครศรีธรรมราช!Q289"")+IMPORTRANGE(""https://docs.google.com/spreadsheets/d/1iodCdmuK2GR3jzUwk8tpccY2JHQQA-87DLOtJP-ooyU/edit?usp=sharing"",""นราธิวาส!Q289"")+IMPORTRANGE(""https://docs.google.com/spreadsheets/d/1SDNX3JhDdYRuIOsj0Wh2M-Qa_eaXl0NbWmh"&amp;"AOTbfQAs/edit?usp=sharing"",""ปัตตานี!Q289"")+IMPORTRANGE(""https://docs.google.com/spreadsheets/d/16JDLGguT8s5DsGCND1KcwHP_AWR_zDMTqLHPLJUKhaU/edit?usp=sharing"",""พังงา!Q289"")+IMPORTRANGE(""https://docs.google.com/spreadsheets/d/17ht0gPKzzT3PObBL1XJkeR"&amp;"mntBXI7wGjpLV7QorqlTk/edit?usp=sharing"",""พัทลุง!Q289"")+IMPORTRANGE(""https://docs.google.com/spreadsheets/d/1rd4qoM1q_hsgaolqNGfrim9gbsoLxQsda4-vOz5x_BM/edit?usp=sharing"",""ภูเก็ต!Q289"")+IMPORTRANGE(""https://docs.google.com/spreadsheets/d/1woKwKjgoL"&amp;"ssDvPcPeVyezB5izizAn4X1JDrys69n6xI/edit?usp=sharing"",""ยะลา!Q289"")+IMPORTRANGE(""https://docs.google.com/spreadsheets/d/1qfrKjzMhm2HJfxQ-qVlJlJQ25Hne1d0khsySbZyGtPA/edit?usp=sharing"",""ระนอง!Q289"")+IMPORTRANGE(""https://docs.google.com/spreadsheets/d/"&amp;"1IbSCnFOKpZsnFogBHJnL_isstZVaOMnFiIN0fGTPZZw/edit?usp=sharing"",""สงขลา!Q289"")+IMPORTRANGE(""https://docs.google.com/spreadsheets/d/1q9nWasZJ-K8bFGvbE9n0qSRuKGA4Toe3Y89cKCiVtCU/edit?usp=sharing"",""สตูล!Q289"")+IMPORTRANGE(""https://docs.google.com/sprea"&amp;"dsheets/d/18T20gbkS_WBjdscyTOV05cvq_JqvqQ17C81mpxf7Ncs/edit?usp=sharing"",""สุราษฎร์ธานี!Q289"")"),0)</f>
        <v>0</v>
      </c>
      <c r="R289" s="47">
        <f ca="1">IFERROR(__xludf.DUMMYFUNCTION("IMPORTRANGE(""https://docs.google.com/spreadsheets/d/1kKUcYdkIfrgTSj8iHHHB2MD2FAtwyyocFgqGQn6ADyI/edit?usp=sharing"",""กระบี่!R289"")+IMPORTRANGE(""https://docs.google.com/spreadsheets/d/1GwtLaSlNZkLk7iDqcyZz22giiy40b_usZZBXYciEN1U/edit?usp=sharing"",""ชุ"&amp;"มพร!R289"")+IMPORTRANGE(""https://docs.google.com/spreadsheets/d/16pAz3pOhQEZBhvFNMa5KGgZS6iKWpsKX0pg6tQmwFpo/edit?usp=sharing"",""ตรัง!R289"")+IMPORTRANGE(""https://docs.google.com/spreadsheets/d/1Dj4jcHCTV9JXKCaMoheSXS52JE63kDKyG7bPXnFogHk/edit?usp=shar"&amp;"ing"",""นครศรีธรรมราช!R289"")+IMPORTRANGE(""https://docs.google.com/spreadsheets/d/1iodCdmuK2GR3jzUwk8tpccY2JHQQA-87DLOtJP-ooyU/edit?usp=sharing"",""นราธิวาส!R289"")+IMPORTRANGE(""https://docs.google.com/spreadsheets/d/1SDNX3JhDdYRuIOsj0Wh2M-Qa_eaXl0NbWmh"&amp;"AOTbfQAs/edit?usp=sharing"",""ปัตตานี!R289"")+IMPORTRANGE(""https://docs.google.com/spreadsheets/d/16JDLGguT8s5DsGCND1KcwHP_AWR_zDMTqLHPLJUKhaU/edit?usp=sharing"",""พังงา!R289"")+IMPORTRANGE(""https://docs.google.com/spreadsheets/d/17ht0gPKzzT3PObBL1XJkeR"&amp;"mntBXI7wGjpLV7QorqlTk/edit?usp=sharing"",""พัทลุง!R289"")+IMPORTRANGE(""https://docs.google.com/spreadsheets/d/1rd4qoM1q_hsgaolqNGfrim9gbsoLxQsda4-vOz5x_BM/edit?usp=sharing"",""ภูเก็ต!R289"")+IMPORTRANGE(""https://docs.google.com/spreadsheets/d/1woKwKjgoL"&amp;"ssDvPcPeVyezB5izizAn4X1JDrys69n6xI/edit?usp=sharing"",""ยะลา!R289"")+IMPORTRANGE(""https://docs.google.com/spreadsheets/d/1qfrKjzMhm2HJfxQ-qVlJlJQ25Hne1d0khsySbZyGtPA/edit?usp=sharing"",""ระนอง!R289"")+IMPORTRANGE(""https://docs.google.com/spreadsheets/d/"&amp;"1IbSCnFOKpZsnFogBHJnL_isstZVaOMnFiIN0fGTPZZw/edit?usp=sharing"",""สงขลา!R289"")+IMPORTRANGE(""https://docs.google.com/spreadsheets/d/1q9nWasZJ-K8bFGvbE9n0qSRuKGA4Toe3Y89cKCiVtCU/edit?usp=sharing"",""สตูล!R289"")+IMPORTRANGE(""https://docs.google.com/sprea"&amp;"dsheets/d/18T20gbkS_WBjdscyTOV05cvq_JqvqQ17C81mpxf7Ncs/edit?usp=sharing"",""สุราษฎร์ธานี!R289"")"),0)</f>
        <v>0</v>
      </c>
      <c r="S289" s="47">
        <f ca="1">IFERROR(__xludf.DUMMYFUNCTION("IMPORTRANGE(""https://docs.google.com/spreadsheets/d/1kKUcYdkIfrgTSj8iHHHB2MD2FAtwyyocFgqGQn6ADyI/edit?usp=sharing"",""กระบี่!S289"")+IMPORTRANGE(""https://docs.google.com/spreadsheets/d/1GwtLaSlNZkLk7iDqcyZz22giiy40b_usZZBXYciEN1U/edit?usp=sharing"",""ชุ"&amp;"มพร!S289"")+IMPORTRANGE(""https://docs.google.com/spreadsheets/d/16pAz3pOhQEZBhvFNMa5KGgZS6iKWpsKX0pg6tQmwFpo/edit?usp=sharing"",""ตรัง!S289"")+IMPORTRANGE(""https://docs.google.com/spreadsheets/d/1Dj4jcHCTV9JXKCaMoheSXS52JE63kDKyG7bPXnFogHk/edit?usp=shar"&amp;"ing"",""นครศรีธรรมราช!S289"")+IMPORTRANGE(""https://docs.google.com/spreadsheets/d/1iodCdmuK2GR3jzUwk8tpccY2JHQQA-87DLOtJP-ooyU/edit?usp=sharing"",""นราธิวาส!S289"")+IMPORTRANGE(""https://docs.google.com/spreadsheets/d/1SDNX3JhDdYRuIOsj0Wh2M-Qa_eaXl0NbWmh"&amp;"AOTbfQAs/edit?usp=sharing"",""ปัตตานี!S289"")+IMPORTRANGE(""https://docs.google.com/spreadsheets/d/16JDLGguT8s5DsGCND1KcwHP_AWR_zDMTqLHPLJUKhaU/edit?usp=sharing"",""พังงา!S289"")+IMPORTRANGE(""https://docs.google.com/spreadsheets/d/17ht0gPKzzT3PObBL1XJkeR"&amp;"mntBXI7wGjpLV7QorqlTk/edit?usp=sharing"",""พัทลุง!S289"")+IMPORTRANGE(""https://docs.google.com/spreadsheets/d/1rd4qoM1q_hsgaolqNGfrim9gbsoLxQsda4-vOz5x_BM/edit?usp=sharing"",""ภูเก็ต!S289"")+IMPORTRANGE(""https://docs.google.com/spreadsheets/d/1woKwKjgoL"&amp;"ssDvPcPeVyezB5izizAn4X1JDrys69n6xI/edit?usp=sharing"",""ยะลา!S289"")+IMPORTRANGE(""https://docs.google.com/spreadsheets/d/1qfrKjzMhm2HJfxQ-qVlJlJQ25Hne1d0khsySbZyGtPA/edit?usp=sharing"",""ระนอง!S289"")+IMPORTRANGE(""https://docs.google.com/spreadsheets/d/"&amp;"1IbSCnFOKpZsnFogBHJnL_isstZVaOMnFiIN0fGTPZZw/edit?usp=sharing"",""สงขลา!S289"")+IMPORTRANGE(""https://docs.google.com/spreadsheets/d/1q9nWasZJ-K8bFGvbE9n0qSRuKGA4Toe3Y89cKCiVtCU/edit?usp=sharing"",""สตูล!S289"")+IMPORTRANGE(""https://docs.google.com/sprea"&amp;"dsheets/d/18T20gbkS_WBjdscyTOV05cvq_JqvqQ17C81mpxf7Ncs/edit?usp=sharing"",""สุราษฎร์ธานี!S289"")"),0)</f>
        <v>0</v>
      </c>
      <c r="T289" s="49">
        <f t="shared" ca="1" si="209"/>
        <v>0</v>
      </c>
      <c r="U289" s="49">
        <f t="shared" ca="1" si="210"/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7">
        <f ca="1">IFERROR(__xludf.DUMMYFUNCTION("IMPORTRANGE(""https://docs.google.com/spreadsheets/d/1kKUcYdkIfrgTSj8iHHHB2MD2FAtwyyocFgqGQn6ADyI/edit?usp=sharing"",""กระบี่!L290"")+IMPORTRANGE(""https://docs.google.com/spreadsheets/d/1GwtLaSlNZkLk7iDqcyZz22giiy40b_usZZBXYciEN1U/edit?usp=sharing"",""ชุ"&amp;"มพร!L290"")+IMPORTRANGE(""https://docs.google.com/spreadsheets/d/16pAz3pOhQEZBhvFNMa5KGgZS6iKWpsKX0pg6tQmwFpo/edit?usp=sharing"",""ตรัง!L290"")+IMPORTRANGE(""https://docs.google.com/spreadsheets/d/1Dj4jcHCTV9JXKCaMoheSXS52JE63kDKyG7bPXnFogHk/edit?usp=shar"&amp;"ing"",""นครศรีธรรมราช!L290"")+IMPORTRANGE(""https://docs.google.com/spreadsheets/d/1iodCdmuK2GR3jzUwk8tpccY2JHQQA-87DLOtJP-ooyU/edit?usp=sharing"",""นราธิวาส!L290"")+IMPORTRANGE(""https://docs.google.com/spreadsheets/d/1SDNX3JhDdYRuIOsj0Wh2M-Qa_eaXl0NbWmh"&amp;"AOTbfQAs/edit?usp=sharing"",""ปัตตานี!L290"")+IMPORTRANGE(""https://docs.google.com/spreadsheets/d/16JDLGguT8s5DsGCND1KcwHP_AWR_zDMTqLHPLJUKhaU/edit?usp=sharing"",""พังงา!L290"")+IMPORTRANGE(""https://docs.google.com/spreadsheets/d/17ht0gPKzzT3PObBL1XJkeR"&amp;"mntBXI7wGjpLV7QorqlTk/edit?usp=sharing"",""พัทลุง!L290"")+IMPORTRANGE(""https://docs.google.com/spreadsheets/d/1rd4qoM1q_hsgaolqNGfrim9gbsoLxQsda4-vOz5x_BM/edit?usp=sharing"",""ภูเก็ต!L290"")+IMPORTRANGE(""https://docs.google.com/spreadsheets/d/1woKwKjgoL"&amp;"ssDvPcPeVyezB5izizAn4X1JDrys69n6xI/edit?usp=sharing"",""ยะลา!L290"")+IMPORTRANGE(""https://docs.google.com/spreadsheets/d/1qfrKjzMhm2HJfxQ-qVlJlJQ25Hne1d0khsySbZyGtPA/edit?usp=sharing"",""ระนอง!L290"")+IMPORTRANGE(""https://docs.google.com/spreadsheets/d/"&amp;"1IbSCnFOKpZsnFogBHJnL_isstZVaOMnFiIN0fGTPZZw/edit?usp=sharing"",""สงขลา!L290"")+IMPORTRANGE(""https://docs.google.com/spreadsheets/d/1q9nWasZJ-K8bFGvbE9n0qSRuKGA4Toe3Y89cKCiVtCU/edit?usp=sharing"",""สตูล!L290"")+IMPORTRANGE(""https://docs.google.com/sprea"&amp;"dsheets/d/18T20gbkS_WBjdscyTOV05cvq_JqvqQ17C81mpxf7Ncs/edit?usp=sharing"",""สุราษฎร์ธานี!L290"")"),0)</f>
        <v>0</v>
      </c>
      <c r="M290" s="47">
        <f ca="1">IFERROR(__xludf.DUMMYFUNCTION("IMPORTRANGE(""https://docs.google.com/spreadsheets/d/1kKUcYdkIfrgTSj8iHHHB2MD2FAtwyyocFgqGQn6ADyI/edit?usp=sharing"",""กระบี่!M290"")+IMPORTRANGE(""https://docs.google.com/spreadsheets/d/1GwtLaSlNZkLk7iDqcyZz22giiy40b_usZZBXYciEN1U/edit?usp=sharing"",""ชุ"&amp;"มพร!M290"")+IMPORTRANGE(""https://docs.google.com/spreadsheets/d/16pAz3pOhQEZBhvFNMa5KGgZS6iKWpsKX0pg6tQmwFpo/edit?usp=sharing"",""ตรัง!M290"")+IMPORTRANGE(""https://docs.google.com/spreadsheets/d/1Dj4jcHCTV9JXKCaMoheSXS52JE63kDKyG7bPXnFogHk/edit?usp=shar"&amp;"ing"",""นครศรีธรรมราช!M290"")+IMPORTRANGE(""https://docs.google.com/spreadsheets/d/1iodCdmuK2GR3jzUwk8tpccY2JHQQA-87DLOtJP-ooyU/edit?usp=sharing"",""นราธิวาส!M290"")+IMPORTRANGE(""https://docs.google.com/spreadsheets/d/1SDNX3JhDdYRuIOsj0Wh2M-Qa_eaXl0NbWmh"&amp;"AOTbfQAs/edit?usp=sharing"",""ปัตตานี!M290"")+IMPORTRANGE(""https://docs.google.com/spreadsheets/d/16JDLGguT8s5DsGCND1KcwHP_AWR_zDMTqLHPLJUKhaU/edit?usp=sharing"",""พังงา!M290"")+IMPORTRANGE(""https://docs.google.com/spreadsheets/d/17ht0gPKzzT3PObBL1XJkeR"&amp;"mntBXI7wGjpLV7QorqlTk/edit?usp=sharing"",""พัทลุง!M290"")+IMPORTRANGE(""https://docs.google.com/spreadsheets/d/1rd4qoM1q_hsgaolqNGfrim9gbsoLxQsda4-vOz5x_BM/edit?usp=sharing"",""ภูเก็ต!M290"")+IMPORTRANGE(""https://docs.google.com/spreadsheets/d/1woKwKjgoL"&amp;"ssDvPcPeVyezB5izizAn4X1JDrys69n6xI/edit?usp=sharing"",""ยะลา!M290"")+IMPORTRANGE(""https://docs.google.com/spreadsheets/d/1qfrKjzMhm2HJfxQ-qVlJlJQ25Hne1d0khsySbZyGtPA/edit?usp=sharing"",""ระนอง!M290"")+IMPORTRANGE(""https://docs.google.com/spreadsheets/d/"&amp;"1IbSCnFOKpZsnFogBHJnL_isstZVaOMnFiIN0fGTPZZw/edit?usp=sharing"",""สงขลา!M290"")+IMPORTRANGE(""https://docs.google.com/spreadsheets/d/1q9nWasZJ-K8bFGvbE9n0qSRuKGA4Toe3Y89cKCiVtCU/edit?usp=sharing"",""สตูล!M290"")+IMPORTRANGE(""https://docs.google.com/sprea"&amp;"dsheets/d/18T20gbkS_WBjdscyTOV05cvq_JqvqQ17C81mpxf7Ncs/edit?usp=sharing"",""สุราษฎร์ธานี!M290"")"),0)</f>
        <v>0</v>
      </c>
      <c r="N290" s="47">
        <f ca="1">IFERROR(__xludf.DUMMYFUNCTION("IMPORTRANGE(""https://docs.google.com/spreadsheets/d/1kKUcYdkIfrgTSj8iHHHB2MD2FAtwyyocFgqGQn6ADyI/edit?usp=sharing"",""กระบี่!N290"")+IMPORTRANGE(""https://docs.google.com/spreadsheets/d/1GwtLaSlNZkLk7iDqcyZz22giiy40b_usZZBXYciEN1U/edit?usp=sharing"",""ชุ"&amp;"มพร!N290"")+IMPORTRANGE(""https://docs.google.com/spreadsheets/d/16pAz3pOhQEZBhvFNMa5KGgZS6iKWpsKX0pg6tQmwFpo/edit?usp=sharing"",""ตรัง!N290"")+IMPORTRANGE(""https://docs.google.com/spreadsheets/d/1Dj4jcHCTV9JXKCaMoheSXS52JE63kDKyG7bPXnFogHk/edit?usp=shar"&amp;"ing"",""นครศรีธรรมราช!N290"")+IMPORTRANGE(""https://docs.google.com/spreadsheets/d/1iodCdmuK2GR3jzUwk8tpccY2JHQQA-87DLOtJP-ooyU/edit?usp=sharing"",""นราธิวาส!N290"")+IMPORTRANGE(""https://docs.google.com/spreadsheets/d/1SDNX3JhDdYRuIOsj0Wh2M-Qa_eaXl0NbWmh"&amp;"AOTbfQAs/edit?usp=sharing"",""ปัตตานี!N290"")+IMPORTRANGE(""https://docs.google.com/spreadsheets/d/16JDLGguT8s5DsGCND1KcwHP_AWR_zDMTqLHPLJUKhaU/edit?usp=sharing"",""พังงา!N290"")+IMPORTRANGE(""https://docs.google.com/spreadsheets/d/17ht0gPKzzT3PObBL1XJkeR"&amp;"mntBXI7wGjpLV7QorqlTk/edit?usp=sharing"",""พัทลุง!N290"")+IMPORTRANGE(""https://docs.google.com/spreadsheets/d/1rd4qoM1q_hsgaolqNGfrim9gbsoLxQsda4-vOz5x_BM/edit?usp=sharing"",""ภูเก็ต!N290"")+IMPORTRANGE(""https://docs.google.com/spreadsheets/d/1woKwKjgoL"&amp;"ssDvPcPeVyezB5izizAn4X1JDrys69n6xI/edit?usp=sharing"",""ยะลา!N290"")+IMPORTRANGE(""https://docs.google.com/spreadsheets/d/1qfrKjzMhm2HJfxQ-qVlJlJQ25Hne1d0khsySbZyGtPA/edit?usp=sharing"",""ระนอง!N290"")+IMPORTRANGE(""https://docs.google.com/spreadsheets/d/"&amp;"1IbSCnFOKpZsnFogBHJnL_isstZVaOMnFiIN0fGTPZZw/edit?usp=sharing"",""สงขลา!N290"")+IMPORTRANGE(""https://docs.google.com/spreadsheets/d/1q9nWasZJ-K8bFGvbE9n0qSRuKGA4Toe3Y89cKCiVtCU/edit?usp=sharing"",""สตูล!N290"")+IMPORTRANGE(""https://docs.google.com/sprea"&amp;"dsheets/d/18T20gbkS_WBjdscyTOV05cvq_JqvqQ17C81mpxf7Ncs/edit?usp=sharing"",""สุราษฎร์ธานี!N290"")"),0)</f>
        <v>0</v>
      </c>
      <c r="O290" s="47">
        <f t="shared" ca="1" si="206"/>
        <v>0</v>
      </c>
      <c r="P290" s="47">
        <f t="shared" ca="1" si="207"/>
        <v>0</v>
      </c>
      <c r="Q290" s="47">
        <f ca="1">IFERROR(__xludf.DUMMYFUNCTION("IMPORTRANGE(""https://docs.google.com/spreadsheets/d/1kKUcYdkIfrgTSj8iHHHB2MD2FAtwyyocFgqGQn6ADyI/edit?usp=sharing"",""กระบี่!Q290"")+IMPORTRANGE(""https://docs.google.com/spreadsheets/d/1GwtLaSlNZkLk7iDqcyZz22giiy40b_usZZBXYciEN1U/edit?usp=sharing"",""ชุ"&amp;"มพร!Q290"")+IMPORTRANGE(""https://docs.google.com/spreadsheets/d/16pAz3pOhQEZBhvFNMa5KGgZS6iKWpsKX0pg6tQmwFpo/edit?usp=sharing"",""ตรัง!Q290"")+IMPORTRANGE(""https://docs.google.com/spreadsheets/d/1Dj4jcHCTV9JXKCaMoheSXS52JE63kDKyG7bPXnFogHk/edit?usp=shar"&amp;"ing"",""นครศรีธรรมราช!Q290"")+IMPORTRANGE(""https://docs.google.com/spreadsheets/d/1iodCdmuK2GR3jzUwk8tpccY2JHQQA-87DLOtJP-ooyU/edit?usp=sharing"",""นราธิวาส!Q290"")+IMPORTRANGE(""https://docs.google.com/spreadsheets/d/1SDNX3JhDdYRuIOsj0Wh2M-Qa_eaXl0NbWmh"&amp;"AOTbfQAs/edit?usp=sharing"",""ปัตตานี!Q290"")+IMPORTRANGE(""https://docs.google.com/spreadsheets/d/16JDLGguT8s5DsGCND1KcwHP_AWR_zDMTqLHPLJUKhaU/edit?usp=sharing"",""พังงา!Q290"")+IMPORTRANGE(""https://docs.google.com/spreadsheets/d/17ht0gPKzzT3PObBL1XJkeR"&amp;"mntBXI7wGjpLV7QorqlTk/edit?usp=sharing"",""พัทลุง!Q290"")+IMPORTRANGE(""https://docs.google.com/spreadsheets/d/1rd4qoM1q_hsgaolqNGfrim9gbsoLxQsda4-vOz5x_BM/edit?usp=sharing"",""ภูเก็ต!Q290"")+IMPORTRANGE(""https://docs.google.com/spreadsheets/d/1woKwKjgoL"&amp;"ssDvPcPeVyezB5izizAn4X1JDrys69n6xI/edit?usp=sharing"",""ยะลา!Q290"")+IMPORTRANGE(""https://docs.google.com/spreadsheets/d/1qfrKjzMhm2HJfxQ-qVlJlJQ25Hne1d0khsySbZyGtPA/edit?usp=sharing"",""ระนอง!Q290"")+IMPORTRANGE(""https://docs.google.com/spreadsheets/d/"&amp;"1IbSCnFOKpZsnFogBHJnL_isstZVaOMnFiIN0fGTPZZw/edit?usp=sharing"",""สงขลา!Q290"")+IMPORTRANGE(""https://docs.google.com/spreadsheets/d/1q9nWasZJ-K8bFGvbE9n0qSRuKGA4Toe3Y89cKCiVtCU/edit?usp=sharing"",""สตูล!Q290"")+IMPORTRANGE(""https://docs.google.com/sprea"&amp;"dsheets/d/18T20gbkS_WBjdscyTOV05cvq_JqvqQ17C81mpxf7Ncs/edit?usp=sharing"",""สุราษฎร์ธานี!Q290"")"),0)</f>
        <v>0</v>
      </c>
      <c r="R290" s="47">
        <f ca="1">IFERROR(__xludf.DUMMYFUNCTION("IMPORTRANGE(""https://docs.google.com/spreadsheets/d/1kKUcYdkIfrgTSj8iHHHB2MD2FAtwyyocFgqGQn6ADyI/edit?usp=sharing"",""กระบี่!R290"")+IMPORTRANGE(""https://docs.google.com/spreadsheets/d/1GwtLaSlNZkLk7iDqcyZz22giiy40b_usZZBXYciEN1U/edit?usp=sharing"",""ชุ"&amp;"มพร!R290"")+IMPORTRANGE(""https://docs.google.com/spreadsheets/d/16pAz3pOhQEZBhvFNMa5KGgZS6iKWpsKX0pg6tQmwFpo/edit?usp=sharing"",""ตรัง!R290"")+IMPORTRANGE(""https://docs.google.com/spreadsheets/d/1Dj4jcHCTV9JXKCaMoheSXS52JE63kDKyG7bPXnFogHk/edit?usp=shar"&amp;"ing"",""นครศรีธรรมราช!R290"")+IMPORTRANGE(""https://docs.google.com/spreadsheets/d/1iodCdmuK2GR3jzUwk8tpccY2JHQQA-87DLOtJP-ooyU/edit?usp=sharing"",""นราธิวาส!R290"")+IMPORTRANGE(""https://docs.google.com/spreadsheets/d/1SDNX3JhDdYRuIOsj0Wh2M-Qa_eaXl0NbWmh"&amp;"AOTbfQAs/edit?usp=sharing"",""ปัตตานี!R290"")+IMPORTRANGE(""https://docs.google.com/spreadsheets/d/16JDLGguT8s5DsGCND1KcwHP_AWR_zDMTqLHPLJUKhaU/edit?usp=sharing"",""พังงา!R290"")+IMPORTRANGE(""https://docs.google.com/spreadsheets/d/17ht0gPKzzT3PObBL1XJkeR"&amp;"mntBXI7wGjpLV7QorqlTk/edit?usp=sharing"",""พัทลุง!R290"")+IMPORTRANGE(""https://docs.google.com/spreadsheets/d/1rd4qoM1q_hsgaolqNGfrim9gbsoLxQsda4-vOz5x_BM/edit?usp=sharing"",""ภูเก็ต!R290"")+IMPORTRANGE(""https://docs.google.com/spreadsheets/d/1woKwKjgoL"&amp;"ssDvPcPeVyezB5izizAn4X1JDrys69n6xI/edit?usp=sharing"",""ยะลา!R290"")+IMPORTRANGE(""https://docs.google.com/spreadsheets/d/1qfrKjzMhm2HJfxQ-qVlJlJQ25Hne1d0khsySbZyGtPA/edit?usp=sharing"",""ระนอง!R290"")+IMPORTRANGE(""https://docs.google.com/spreadsheets/d/"&amp;"1IbSCnFOKpZsnFogBHJnL_isstZVaOMnFiIN0fGTPZZw/edit?usp=sharing"",""สงขลา!R290"")+IMPORTRANGE(""https://docs.google.com/spreadsheets/d/1q9nWasZJ-K8bFGvbE9n0qSRuKGA4Toe3Y89cKCiVtCU/edit?usp=sharing"",""สตูล!R290"")+IMPORTRANGE(""https://docs.google.com/sprea"&amp;"dsheets/d/18T20gbkS_WBjdscyTOV05cvq_JqvqQ17C81mpxf7Ncs/edit?usp=sharing"",""สุราษฎร์ธานี!R290"")"),0)</f>
        <v>0</v>
      </c>
      <c r="S290" s="47">
        <f ca="1">IFERROR(__xludf.DUMMYFUNCTION("IMPORTRANGE(""https://docs.google.com/spreadsheets/d/1kKUcYdkIfrgTSj8iHHHB2MD2FAtwyyocFgqGQn6ADyI/edit?usp=sharing"",""กระบี่!S290"")+IMPORTRANGE(""https://docs.google.com/spreadsheets/d/1GwtLaSlNZkLk7iDqcyZz22giiy40b_usZZBXYciEN1U/edit?usp=sharing"",""ชุ"&amp;"มพร!S290"")+IMPORTRANGE(""https://docs.google.com/spreadsheets/d/16pAz3pOhQEZBhvFNMa5KGgZS6iKWpsKX0pg6tQmwFpo/edit?usp=sharing"",""ตรัง!S290"")+IMPORTRANGE(""https://docs.google.com/spreadsheets/d/1Dj4jcHCTV9JXKCaMoheSXS52JE63kDKyG7bPXnFogHk/edit?usp=shar"&amp;"ing"",""นครศรีธรรมราช!S290"")+IMPORTRANGE(""https://docs.google.com/spreadsheets/d/1iodCdmuK2GR3jzUwk8tpccY2JHQQA-87DLOtJP-ooyU/edit?usp=sharing"",""นราธิวาส!S290"")+IMPORTRANGE(""https://docs.google.com/spreadsheets/d/1SDNX3JhDdYRuIOsj0Wh2M-Qa_eaXl0NbWmh"&amp;"AOTbfQAs/edit?usp=sharing"",""ปัตตานี!S290"")+IMPORTRANGE(""https://docs.google.com/spreadsheets/d/16JDLGguT8s5DsGCND1KcwHP_AWR_zDMTqLHPLJUKhaU/edit?usp=sharing"",""พังงา!S290"")+IMPORTRANGE(""https://docs.google.com/spreadsheets/d/17ht0gPKzzT3PObBL1XJkeR"&amp;"mntBXI7wGjpLV7QorqlTk/edit?usp=sharing"",""พัทลุง!S290"")+IMPORTRANGE(""https://docs.google.com/spreadsheets/d/1rd4qoM1q_hsgaolqNGfrim9gbsoLxQsda4-vOz5x_BM/edit?usp=sharing"",""ภูเก็ต!S290"")+IMPORTRANGE(""https://docs.google.com/spreadsheets/d/1woKwKjgoL"&amp;"ssDvPcPeVyezB5izizAn4X1JDrys69n6xI/edit?usp=sharing"",""ยะลา!S290"")+IMPORTRANGE(""https://docs.google.com/spreadsheets/d/1qfrKjzMhm2HJfxQ-qVlJlJQ25Hne1d0khsySbZyGtPA/edit?usp=sharing"",""ระนอง!S290"")+IMPORTRANGE(""https://docs.google.com/spreadsheets/d/"&amp;"1IbSCnFOKpZsnFogBHJnL_isstZVaOMnFiIN0fGTPZZw/edit?usp=sharing"",""สงขลา!S290"")+IMPORTRANGE(""https://docs.google.com/spreadsheets/d/1q9nWasZJ-K8bFGvbE9n0qSRuKGA4Toe3Y89cKCiVtCU/edit?usp=sharing"",""สตูล!S290"")+IMPORTRANGE(""https://docs.google.com/sprea"&amp;"dsheets/d/18T20gbkS_WBjdscyTOV05cvq_JqvqQ17C81mpxf7Ncs/edit?usp=sharing"",""สุราษฎร์ธานี!S290"")"),0)</f>
        <v>0</v>
      </c>
      <c r="T290" s="47">
        <f t="shared" ca="1" si="209"/>
        <v>0</v>
      </c>
      <c r="U290" s="47">
        <f t="shared" ca="1" si="210"/>
        <v>0</v>
      </c>
    </row>
    <row r="291" spans="1:21" ht="19.5" x14ac:dyDescent="0.3">
      <c r="A291" s="138"/>
      <c r="B291" s="139"/>
      <c r="C291" s="129" t="s">
        <v>18</v>
      </c>
      <c r="D291" s="140" t="s">
        <v>38</v>
      </c>
      <c r="E291" s="141"/>
      <c r="F291" s="141"/>
      <c r="G291" s="142"/>
      <c r="H291" s="143"/>
      <c r="I291" s="135"/>
      <c r="J291" s="135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kKUcYdkIfrgTSj8iHHHB2MD2FAtwyyocFgqGQn6ADyI/edit?usp=sharing"",""กระบี่!I292"")+IMPORTRANGE(""https://docs.google.com/spreadsheets/d/1GwtLaSlNZkLk7iDqcyZz22giiy40b_usZZBXYciEN1U/edit?usp=sharing"",""ชุ"&amp;"มพร!I292"")+IMPORTRANGE(""https://docs.google.com/spreadsheets/d/16pAz3pOhQEZBhvFNMa5KGgZS6iKWpsKX0pg6tQmwFpo/edit?usp=sharing"",""ตรัง!I292"")+IMPORTRANGE(""https://docs.google.com/spreadsheets/d/1Dj4jcHCTV9JXKCaMoheSXS52JE63kDKyG7bPXnFogHk/edit?usp=shar"&amp;"ing"",""นครศรีธรรมราช!I292"")+IMPORTRANGE(""https://docs.google.com/spreadsheets/d/1iodCdmuK2GR3jzUwk8tpccY2JHQQA-87DLOtJP-ooyU/edit?usp=sharing"",""นราธิวาส!I292"")+IMPORTRANGE(""https://docs.google.com/spreadsheets/d/1SDNX3JhDdYRuIOsj0Wh2M-Qa_eaXl0NbWmh"&amp;"AOTbfQAs/edit?usp=sharing"",""ปัตตานี!I292"")+IMPORTRANGE(""https://docs.google.com/spreadsheets/d/16JDLGguT8s5DsGCND1KcwHP_AWR_zDMTqLHPLJUKhaU/edit?usp=sharing"",""พังงา!I292"")+IMPORTRANGE(""https://docs.google.com/spreadsheets/d/17ht0gPKzzT3PObBL1XJkeR"&amp;"mntBXI7wGjpLV7QorqlTk/edit?usp=sharing"",""พัทลุง!I292"")+IMPORTRANGE(""https://docs.google.com/spreadsheets/d/1rd4qoM1q_hsgaolqNGfrim9gbsoLxQsda4-vOz5x_BM/edit?usp=sharing"",""ภูเก็ต!I292"")+IMPORTRANGE(""https://docs.google.com/spreadsheets/d/1woKwKjgoL"&amp;"ssDvPcPeVyezB5izizAn4X1JDrys69n6xI/edit?usp=sharing"",""ยะลา!I292"")+IMPORTRANGE(""https://docs.google.com/spreadsheets/d/1qfrKjzMhm2HJfxQ-qVlJlJQ25Hne1d0khsySbZyGtPA/edit?usp=sharing"",""ระนอง!I292"")+IMPORTRANGE(""https://docs.google.com/spreadsheets/d/"&amp;"1IbSCnFOKpZsnFogBHJnL_isstZVaOMnFiIN0fGTPZZw/edit?usp=sharing"",""สงขลา!I292"")+IMPORTRANGE(""https://docs.google.com/spreadsheets/d/1q9nWasZJ-K8bFGvbE9n0qSRuKGA4Toe3Y89cKCiVtCU/edit?usp=sharing"",""สตูล!I292"")+IMPORTRANGE(""https://docs.google.com/sprea"&amp;"dsheets/d/18T20gbkS_WBjdscyTOV05cvq_JqvqQ17C81mpxf7Ncs/edit?usp=sharing"",""สุราษฎร์ธานี!I292"")"),100)</f>
        <v>100</v>
      </c>
      <c r="J292" s="152">
        <f ca="1">IFERROR(__xludf.DUMMYFUNCTION("IMPORTRANGE(""https://docs.google.com/spreadsheets/d/1kKUcYdkIfrgTSj8iHHHB2MD2FAtwyyocFgqGQn6ADyI/edit?usp=sharing"",""กระบี่!J292"")+IMPORTRANGE(""https://docs.google.com/spreadsheets/d/1GwtLaSlNZkLk7iDqcyZz22giiy40b_usZZBXYciEN1U/edit?usp=sharing"",""ชุ"&amp;"มพร!J292"")+IMPORTRANGE(""https://docs.google.com/spreadsheets/d/16pAz3pOhQEZBhvFNMa5KGgZS6iKWpsKX0pg6tQmwFpo/edit?usp=sharing"",""ตรัง!J292"")+IMPORTRANGE(""https://docs.google.com/spreadsheets/d/1Dj4jcHCTV9JXKCaMoheSXS52JE63kDKyG7bPXnFogHk/edit?usp=shar"&amp;"ing"",""นครศรีธรรมราช!J292"")+IMPORTRANGE(""https://docs.google.com/spreadsheets/d/1iodCdmuK2GR3jzUwk8tpccY2JHQQA-87DLOtJP-ooyU/edit?usp=sharing"",""นราธิวาส!J292"")+IMPORTRANGE(""https://docs.google.com/spreadsheets/d/1SDNX3JhDdYRuIOsj0Wh2M-Qa_eaXl0NbWmh"&amp;"AOTbfQAs/edit?usp=sharing"",""ปัตตานี!J292"")+IMPORTRANGE(""https://docs.google.com/spreadsheets/d/16JDLGguT8s5DsGCND1KcwHP_AWR_zDMTqLHPLJUKhaU/edit?usp=sharing"",""พังงา!J292"")+IMPORTRANGE(""https://docs.google.com/spreadsheets/d/17ht0gPKzzT3PObBL1XJkeR"&amp;"mntBXI7wGjpLV7QorqlTk/edit?usp=sharing"",""พัทลุง!J292"")+IMPORTRANGE(""https://docs.google.com/spreadsheets/d/1rd4qoM1q_hsgaolqNGfrim9gbsoLxQsda4-vOz5x_BM/edit?usp=sharing"",""ภูเก็ต!J292"")+IMPORTRANGE(""https://docs.google.com/spreadsheets/d/1woKwKjgoL"&amp;"ssDvPcPeVyezB5izizAn4X1JDrys69n6xI/edit?usp=sharing"",""ยะลา!J292"")+IMPORTRANGE(""https://docs.google.com/spreadsheets/d/1qfrKjzMhm2HJfxQ-qVlJlJQ25Hne1d0khsySbZyGtPA/edit?usp=sharing"",""ระนอง!J292"")+IMPORTRANGE(""https://docs.google.com/spreadsheets/d/"&amp;"1IbSCnFOKpZsnFogBHJnL_isstZVaOMnFiIN0fGTPZZw/edit?usp=sharing"",""สงขลา!J292"")+IMPORTRANGE(""https://docs.google.com/spreadsheets/d/1q9nWasZJ-K8bFGvbE9n0qSRuKGA4Toe3Y89cKCiVtCU/edit?usp=sharing"",""สตูล!J292"")+IMPORTRANGE(""https://docs.google.com/sprea"&amp;"dsheets/d/18T20gbkS_WBjdscyTOV05cvq_JqvqQ17C81mpxf7Ncs/edit?usp=sharing"",""สุราษฎร์ธานี!J292"")"),100)</f>
        <v>100</v>
      </c>
      <c r="K292" s="153">
        <f t="shared" ref="K292:K293" ca="1" si="219">IF(I292&gt;0,J292*100/I292,0)</f>
        <v>100</v>
      </c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kKUcYdkIfrgTSj8iHHHB2MD2FAtwyyocFgqGQn6ADyI/edit?usp=sharing"",""กระบี่!I293"")+IMPORTRANGE(""https://docs.google.com/spreadsheets/d/1GwtLaSlNZkLk7iDqcyZz22giiy40b_usZZBXYciEN1U/edit?usp=sharing"",""ชุ"&amp;"มพร!I293"")+IMPORTRANGE(""https://docs.google.com/spreadsheets/d/16pAz3pOhQEZBhvFNMa5KGgZS6iKWpsKX0pg6tQmwFpo/edit?usp=sharing"",""ตรัง!I293"")+IMPORTRANGE(""https://docs.google.com/spreadsheets/d/1Dj4jcHCTV9JXKCaMoheSXS52JE63kDKyG7bPXnFogHk/edit?usp=shar"&amp;"ing"",""นครศรีธรรมราช!I293"")+IMPORTRANGE(""https://docs.google.com/spreadsheets/d/1iodCdmuK2GR3jzUwk8tpccY2JHQQA-87DLOtJP-ooyU/edit?usp=sharing"",""นราธิวาส!I293"")+IMPORTRANGE(""https://docs.google.com/spreadsheets/d/1SDNX3JhDdYRuIOsj0Wh2M-Qa_eaXl0NbWmh"&amp;"AOTbfQAs/edit?usp=sharing"",""ปัตตานี!I293"")+IMPORTRANGE(""https://docs.google.com/spreadsheets/d/16JDLGguT8s5DsGCND1KcwHP_AWR_zDMTqLHPLJUKhaU/edit?usp=sharing"",""พังงา!I293"")+IMPORTRANGE(""https://docs.google.com/spreadsheets/d/17ht0gPKzzT3PObBL1XJkeR"&amp;"mntBXI7wGjpLV7QorqlTk/edit?usp=sharing"",""พัทลุง!I293"")+IMPORTRANGE(""https://docs.google.com/spreadsheets/d/1rd4qoM1q_hsgaolqNGfrim9gbsoLxQsda4-vOz5x_BM/edit?usp=sharing"",""ภูเก็ต!I293"")+IMPORTRANGE(""https://docs.google.com/spreadsheets/d/1woKwKjgoL"&amp;"ssDvPcPeVyezB5izizAn4X1JDrys69n6xI/edit?usp=sharing"",""ยะลา!I293"")+IMPORTRANGE(""https://docs.google.com/spreadsheets/d/1qfrKjzMhm2HJfxQ-qVlJlJQ25Hne1d0khsySbZyGtPA/edit?usp=sharing"",""ระนอง!I293"")+IMPORTRANGE(""https://docs.google.com/spreadsheets/d/"&amp;"1IbSCnFOKpZsnFogBHJnL_isstZVaOMnFiIN0fGTPZZw/edit?usp=sharing"",""สงขลา!I293"")+IMPORTRANGE(""https://docs.google.com/spreadsheets/d/1q9nWasZJ-K8bFGvbE9n0qSRuKGA4Toe3Y89cKCiVtCU/edit?usp=sharing"",""สตูล!I293"")+IMPORTRANGE(""https://docs.google.com/sprea"&amp;"dsheets/d/18T20gbkS_WBjdscyTOV05cvq_JqvqQ17C81mpxf7Ncs/edit?usp=sharing"",""สุราษฎร์ธานี!I293"")"),10)</f>
        <v>10</v>
      </c>
      <c r="J293" s="147">
        <f ca="1">IFERROR(__xludf.DUMMYFUNCTION("IMPORTRANGE(""https://docs.google.com/spreadsheets/d/1kKUcYdkIfrgTSj8iHHHB2MD2FAtwyyocFgqGQn6ADyI/edit?usp=sharing"",""กระบี่!J293"")+IMPORTRANGE(""https://docs.google.com/spreadsheets/d/1GwtLaSlNZkLk7iDqcyZz22giiy40b_usZZBXYciEN1U/edit?usp=sharing"",""ชุ"&amp;"มพร!J293"")+IMPORTRANGE(""https://docs.google.com/spreadsheets/d/16pAz3pOhQEZBhvFNMa5KGgZS6iKWpsKX0pg6tQmwFpo/edit?usp=sharing"",""ตรัง!J293"")+IMPORTRANGE(""https://docs.google.com/spreadsheets/d/1Dj4jcHCTV9JXKCaMoheSXS52JE63kDKyG7bPXnFogHk/edit?usp=shar"&amp;"ing"",""นครศรีธรรมราช!J293"")+IMPORTRANGE(""https://docs.google.com/spreadsheets/d/1iodCdmuK2GR3jzUwk8tpccY2JHQQA-87DLOtJP-ooyU/edit?usp=sharing"",""นราธิวาส!J293"")+IMPORTRANGE(""https://docs.google.com/spreadsheets/d/1SDNX3JhDdYRuIOsj0Wh2M-Qa_eaXl0NbWmh"&amp;"AOTbfQAs/edit?usp=sharing"",""ปัตตานี!J293"")+IMPORTRANGE(""https://docs.google.com/spreadsheets/d/16JDLGguT8s5DsGCND1KcwHP_AWR_zDMTqLHPLJUKhaU/edit?usp=sharing"",""พังงา!J293"")+IMPORTRANGE(""https://docs.google.com/spreadsheets/d/17ht0gPKzzT3PObBL1XJkeR"&amp;"mntBXI7wGjpLV7QorqlTk/edit?usp=sharing"",""พัทลุง!J293"")+IMPORTRANGE(""https://docs.google.com/spreadsheets/d/1rd4qoM1q_hsgaolqNGfrim9gbsoLxQsda4-vOz5x_BM/edit?usp=sharing"",""ภูเก็ต!J293"")+IMPORTRANGE(""https://docs.google.com/spreadsheets/d/1woKwKjgoL"&amp;"ssDvPcPeVyezB5izizAn4X1JDrys69n6xI/edit?usp=sharing"",""ยะลา!J293"")+IMPORTRANGE(""https://docs.google.com/spreadsheets/d/1qfrKjzMhm2HJfxQ-qVlJlJQ25Hne1d0khsySbZyGtPA/edit?usp=sharing"",""ระนอง!J293"")+IMPORTRANGE(""https://docs.google.com/spreadsheets/d/"&amp;"1IbSCnFOKpZsnFogBHJnL_isstZVaOMnFiIN0fGTPZZw/edit?usp=sharing"",""สงขลา!J293"")+IMPORTRANGE(""https://docs.google.com/spreadsheets/d/1q9nWasZJ-K8bFGvbE9n0qSRuKGA4Toe3Y89cKCiVtCU/edit?usp=sharing"",""สตูล!J293"")+IMPORTRANGE(""https://docs.google.com/sprea"&amp;"dsheets/d/18T20gbkS_WBjdscyTOV05cvq_JqvqQ17C81mpxf7Ncs/edit?usp=sharing"",""สุราษฎร์ธานี!J293"")"),10)</f>
        <v>10</v>
      </c>
      <c r="K293" s="148">
        <f t="shared" ca="1" si="219"/>
        <v>100</v>
      </c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kKUcYdkIfrgTSj8iHHHB2MD2FAtwyyocFgqGQn6ADyI/edit?usp=sharing"",""กระบี่!I295"")+IMPORTRANGE(""https://docs.google.com/spreadsheets/d/1GwtLaSlNZkLk7iDqcyZz22giiy40b_usZZBXYciEN1U/edit?usp=sharing"",""ชุ"&amp;"มพร!I295"")+IMPORTRANGE(""https://docs.google.com/spreadsheets/d/16pAz3pOhQEZBhvFNMa5KGgZS6iKWpsKX0pg6tQmwFpo/edit?usp=sharing"",""ตรัง!I295"")+IMPORTRANGE(""https://docs.google.com/spreadsheets/d/1Dj4jcHCTV9JXKCaMoheSXS52JE63kDKyG7bPXnFogHk/edit?usp=shar"&amp;"ing"",""นครศรีธรรมราช!I295"")+IMPORTRANGE(""https://docs.google.com/spreadsheets/d/1iodCdmuK2GR3jzUwk8tpccY2JHQQA-87DLOtJP-ooyU/edit?usp=sharing"",""นราธิวาส!I295"")+IMPORTRANGE(""https://docs.google.com/spreadsheets/d/1SDNX3JhDdYRuIOsj0Wh2M-Qa_eaXl0NbWmh"&amp;"AOTbfQAs/edit?usp=sharing"",""ปัตตานี!I295"")+IMPORTRANGE(""https://docs.google.com/spreadsheets/d/16JDLGguT8s5DsGCND1KcwHP_AWR_zDMTqLHPLJUKhaU/edit?usp=sharing"",""พังงา!I295"")+IMPORTRANGE(""https://docs.google.com/spreadsheets/d/17ht0gPKzzT3PObBL1XJkeR"&amp;"mntBXI7wGjpLV7QorqlTk/edit?usp=sharing"",""พัทลุง!I295"")+IMPORTRANGE(""https://docs.google.com/spreadsheets/d/1rd4qoM1q_hsgaolqNGfrim9gbsoLxQsda4-vOz5x_BM/edit?usp=sharing"",""ภูเก็ต!I295"")+IMPORTRANGE(""https://docs.google.com/spreadsheets/d/1woKwKjgoL"&amp;"ssDvPcPeVyezB5izizAn4X1JDrys69n6xI/edit?usp=sharing"",""ยะลา!I295"")+IMPORTRANGE(""https://docs.google.com/spreadsheets/d/1qfrKjzMhm2HJfxQ-qVlJlJQ25Hne1d0khsySbZyGtPA/edit?usp=sharing"",""ระนอง!I295"")+IMPORTRANGE(""https://docs.google.com/spreadsheets/d/"&amp;"1IbSCnFOKpZsnFogBHJnL_isstZVaOMnFiIN0fGTPZZw/edit?usp=sharing"",""สงขลา!I295"")+IMPORTRANGE(""https://docs.google.com/spreadsheets/d/1q9nWasZJ-K8bFGvbE9n0qSRuKGA4Toe3Y89cKCiVtCU/edit?usp=sharing"",""สตูล!I295"")+IMPORTRANGE(""https://docs.google.com/sprea"&amp;"dsheets/d/18T20gbkS_WBjdscyTOV05cvq_JqvqQ17C81mpxf7Ncs/edit?usp=sharing"",""สุราษฎร์ธานี!I295"")"),10)</f>
        <v>10</v>
      </c>
      <c r="J295" s="152">
        <f ca="1">IFERROR(__xludf.DUMMYFUNCTION("IMPORTRANGE(""https://docs.google.com/spreadsheets/d/1kKUcYdkIfrgTSj8iHHHB2MD2FAtwyyocFgqGQn6ADyI/edit?usp=sharing"",""กระบี่!J295"")+IMPORTRANGE(""https://docs.google.com/spreadsheets/d/1GwtLaSlNZkLk7iDqcyZz22giiy40b_usZZBXYciEN1U/edit?usp=sharing"",""ชุ"&amp;"มพร!J295"")+IMPORTRANGE(""https://docs.google.com/spreadsheets/d/16pAz3pOhQEZBhvFNMa5KGgZS6iKWpsKX0pg6tQmwFpo/edit?usp=sharing"",""ตรัง!J295"")+IMPORTRANGE(""https://docs.google.com/spreadsheets/d/1Dj4jcHCTV9JXKCaMoheSXS52JE63kDKyG7bPXnFogHk/edit?usp=shar"&amp;"ing"",""นครศรีธรรมราช!J295"")+IMPORTRANGE(""https://docs.google.com/spreadsheets/d/1iodCdmuK2GR3jzUwk8tpccY2JHQQA-87DLOtJP-ooyU/edit?usp=sharing"",""นราธิวาส!J295"")+IMPORTRANGE(""https://docs.google.com/spreadsheets/d/1SDNX3JhDdYRuIOsj0Wh2M-Qa_eaXl0NbWmh"&amp;"AOTbfQAs/edit?usp=sharing"",""ปัตตานี!J295"")+IMPORTRANGE(""https://docs.google.com/spreadsheets/d/16JDLGguT8s5DsGCND1KcwHP_AWR_zDMTqLHPLJUKhaU/edit?usp=sharing"",""พังงา!J295"")+IMPORTRANGE(""https://docs.google.com/spreadsheets/d/17ht0gPKzzT3PObBL1XJkeR"&amp;"mntBXI7wGjpLV7QorqlTk/edit?usp=sharing"",""พัทลุง!J295"")+IMPORTRANGE(""https://docs.google.com/spreadsheets/d/1rd4qoM1q_hsgaolqNGfrim9gbsoLxQsda4-vOz5x_BM/edit?usp=sharing"",""ภูเก็ต!J295"")+IMPORTRANGE(""https://docs.google.com/spreadsheets/d/1woKwKjgoL"&amp;"ssDvPcPeVyezB5izizAn4X1JDrys69n6xI/edit?usp=sharing"",""ยะลา!J295"")+IMPORTRANGE(""https://docs.google.com/spreadsheets/d/1qfrKjzMhm2HJfxQ-qVlJlJQ25Hne1d0khsySbZyGtPA/edit?usp=sharing"",""ระนอง!J295"")+IMPORTRANGE(""https://docs.google.com/spreadsheets/d/"&amp;"1IbSCnFOKpZsnFogBHJnL_isstZVaOMnFiIN0fGTPZZw/edit?usp=sharing"",""สงขลา!J295"")+IMPORTRANGE(""https://docs.google.com/spreadsheets/d/1q9nWasZJ-K8bFGvbE9n0qSRuKGA4Toe3Y89cKCiVtCU/edit?usp=sharing"",""สตูล!J295"")+IMPORTRANGE(""https://docs.google.com/sprea"&amp;"dsheets/d/18T20gbkS_WBjdscyTOV05cvq_JqvqQ17C81mpxf7Ncs/edit?usp=sharing"",""สุราษฎร์ธานี!J295"")"),10)</f>
        <v>10</v>
      </c>
      <c r="K295" s="153">
        <f t="shared" ref="K295:K296" ca="1" si="220">IF(I295&gt;0,J295*100/I295,0)</f>
        <v>100</v>
      </c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kKUcYdkIfrgTSj8iHHHB2MD2FAtwyyocFgqGQn6ADyI/edit?usp=sharing"",""กระบี่!I296"")+IMPORTRANGE(""https://docs.google.com/spreadsheets/d/1GwtLaSlNZkLk7iDqcyZz22giiy40b_usZZBXYciEN1U/edit?usp=sharing"",""ชุ"&amp;"มพร!I296"")+IMPORTRANGE(""https://docs.google.com/spreadsheets/d/16pAz3pOhQEZBhvFNMa5KGgZS6iKWpsKX0pg6tQmwFpo/edit?usp=sharing"",""ตรัง!I296"")+IMPORTRANGE(""https://docs.google.com/spreadsheets/d/1Dj4jcHCTV9JXKCaMoheSXS52JE63kDKyG7bPXnFogHk/edit?usp=shar"&amp;"ing"",""นครศรีธรรมราช!I296"")+IMPORTRANGE(""https://docs.google.com/spreadsheets/d/1iodCdmuK2GR3jzUwk8tpccY2JHQQA-87DLOtJP-ooyU/edit?usp=sharing"",""นราธิวาส!I296"")+IMPORTRANGE(""https://docs.google.com/spreadsheets/d/1SDNX3JhDdYRuIOsj0Wh2M-Qa_eaXl0NbWmh"&amp;"AOTbfQAs/edit?usp=sharing"",""ปัตตานี!I296"")+IMPORTRANGE(""https://docs.google.com/spreadsheets/d/16JDLGguT8s5DsGCND1KcwHP_AWR_zDMTqLHPLJUKhaU/edit?usp=sharing"",""พังงา!I296"")+IMPORTRANGE(""https://docs.google.com/spreadsheets/d/17ht0gPKzzT3PObBL1XJkeR"&amp;"mntBXI7wGjpLV7QorqlTk/edit?usp=sharing"",""พัทลุง!I296"")+IMPORTRANGE(""https://docs.google.com/spreadsheets/d/1rd4qoM1q_hsgaolqNGfrim9gbsoLxQsda4-vOz5x_BM/edit?usp=sharing"",""ภูเก็ต!I296"")+IMPORTRANGE(""https://docs.google.com/spreadsheets/d/1woKwKjgoL"&amp;"ssDvPcPeVyezB5izizAn4X1JDrys69n6xI/edit?usp=sharing"",""ยะลา!I296"")+IMPORTRANGE(""https://docs.google.com/spreadsheets/d/1qfrKjzMhm2HJfxQ-qVlJlJQ25Hne1d0khsySbZyGtPA/edit?usp=sharing"",""ระนอง!I296"")+IMPORTRANGE(""https://docs.google.com/spreadsheets/d/"&amp;"1IbSCnFOKpZsnFogBHJnL_isstZVaOMnFiIN0fGTPZZw/edit?usp=sharing"",""สงขลา!I296"")+IMPORTRANGE(""https://docs.google.com/spreadsheets/d/1q9nWasZJ-K8bFGvbE9n0qSRuKGA4Toe3Y89cKCiVtCU/edit?usp=sharing"",""สตูล!I296"")+IMPORTRANGE(""https://docs.google.com/sprea"&amp;"dsheets/d/18T20gbkS_WBjdscyTOV05cvq_JqvqQ17C81mpxf7Ncs/edit?usp=sharing"",""สุราษฎร์ธานี!I296"")"),10)</f>
        <v>10</v>
      </c>
      <c r="J296" s="152">
        <f ca="1">IFERROR(__xludf.DUMMYFUNCTION("IMPORTRANGE(""https://docs.google.com/spreadsheets/d/1kKUcYdkIfrgTSj8iHHHB2MD2FAtwyyocFgqGQn6ADyI/edit?usp=sharing"",""กระบี่!J296"")+IMPORTRANGE(""https://docs.google.com/spreadsheets/d/1GwtLaSlNZkLk7iDqcyZz22giiy40b_usZZBXYciEN1U/edit?usp=sharing"",""ชุ"&amp;"มพร!J296"")+IMPORTRANGE(""https://docs.google.com/spreadsheets/d/16pAz3pOhQEZBhvFNMa5KGgZS6iKWpsKX0pg6tQmwFpo/edit?usp=sharing"",""ตรัง!J296"")+IMPORTRANGE(""https://docs.google.com/spreadsheets/d/1Dj4jcHCTV9JXKCaMoheSXS52JE63kDKyG7bPXnFogHk/edit?usp=shar"&amp;"ing"",""นครศรีธรรมราช!J296"")+IMPORTRANGE(""https://docs.google.com/spreadsheets/d/1iodCdmuK2GR3jzUwk8tpccY2JHQQA-87DLOtJP-ooyU/edit?usp=sharing"",""นราธิวาส!J296"")+IMPORTRANGE(""https://docs.google.com/spreadsheets/d/1SDNX3JhDdYRuIOsj0Wh2M-Qa_eaXl0NbWmh"&amp;"AOTbfQAs/edit?usp=sharing"",""ปัตตานี!J296"")+IMPORTRANGE(""https://docs.google.com/spreadsheets/d/16JDLGguT8s5DsGCND1KcwHP_AWR_zDMTqLHPLJUKhaU/edit?usp=sharing"",""พังงา!J296"")+IMPORTRANGE(""https://docs.google.com/spreadsheets/d/17ht0gPKzzT3PObBL1XJkeR"&amp;"mntBXI7wGjpLV7QorqlTk/edit?usp=sharing"",""พัทลุง!J296"")+IMPORTRANGE(""https://docs.google.com/spreadsheets/d/1rd4qoM1q_hsgaolqNGfrim9gbsoLxQsda4-vOz5x_BM/edit?usp=sharing"",""ภูเก็ต!J296"")+IMPORTRANGE(""https://docs.google.com/spreadsheets/d/1woKwKjgoL"&amp;"ssDvPcPeVyezB5izizAn4X1JDrys69n6xI/edit?usp=sharing"",""ยะลา!J296"")+IMPORTRANGE(""https://docs.google.com/spreadsheets/d/1qfrKjzMhm2HJfxQ-qVlJlJQ25Hne1d0khsySbZyGtPA/edit?usp=sharing"",""ระนอง!J296"")+IMPORTRANGE(""https://docs.google.com/spreadsheets/d/"&amp;"1IbSCnFOKpZsnFogBHJnL_isstZVaOMnFiIN0fGTPZZw/edit?usp=sharing"",""สงขลา!J296"")+IMPORTRANGE(""https://docs.google.com/spreadsheets/d/1q9nWasZJ-K8bFGvbE9n0qSRuKGA4Toe3Y89cKCiVtCU/edit?usp=sharing"",""สตูล!J296"")+IMPORTRANGE(""https://docs.google.com/sprea"&amp;"dsheets/d/18T20gbkS_WBjdscyTOV05cvq_JqvqQ17C81mpxf7Ncs/edit?usp=sharing"",""สุราษฎร์ธานี!J296"")"),10)</f>
        <v>10</v>
      </c>
      <c r="K296" s="153">
        <f t="shared" ca="1" si="220"/>
        <v>100</v>
      </c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304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t="shared" ref="I302:J302" ca="1" si="221">I314</f>
        <v>235</v>
      </c>
      <c r="J302" s="310">
        <f t="shared" ca="1" si="221"/>
        <v>50</v>
      </c>
      <c r="K302" s="311">
        <f ca="1">IF(I302&gt;0,J302*100/I302,0)</f>
        <v>21.276595744680851</v>
      </c>
      <c r="L302" s="312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13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132">
        <f t="shared" ref="L303:N303" ca="1" si="222">L304+L305</f>
        <v>426975</v>
      </c>
      <c r="M303" s="132">
        <f t="shared" ca="1" si="222"/>
        <v>426975</v>
      </c>
      <c r="N303" s="132">
        <f t="shared" ca="1" si="222"/>
        <v>277347.62</v>
      </c>
      <c r="O303" s="132">
        <f t="shared" ref="O303:O311" ca="1" si="223">IF(L303&gt;0,N303*100/L303,0)</f>
        <v>64.956407283798811</v>
      </c>
      <c r="P303" s="132">
        <f t="shared" ref="P303:P311" ca="1" si="224">IF(M303&gt;0,N303*100/M303,0)</f>
        <v>64.956407283798811</v>
      </c>
      <c r="Q303" s="132">
        <f t="shared" ref="Q303:S303" ca="1" si="225">Q304+Q305</f>
        <v>2086950.07</v>
      </c>
      <c r="R303" s="132">
        <f t="shared" ca="1" si="225"/>
        <v>2086948</v>
      </c>
      <c r="S303" s="132">
        <f t="shared" ca="1" si="225"/>
        <v>260018</v>
      </c>
      <c r="T303" s="132">
        <f t="shared" ref="T303:T311" ca="1" si="226">IF(Q303&gt;0,S303*100/Q303,0)</f>
        <v>12.459234350537193</v>
      </c>
      <c r="U303" s="132">
        <f t="shared" ref="U303:U311" ca="1" si="227">IF(R303&gt;0,S303*100/R303,0)</f>
        <v>12.459246708590726</v>
      </c>
    </row>
    <row r="304" spans="1:21" ht="18.75" hidden="1" x14ac:dyDescent="0.25">
      <c r="A304" s="128"/>
      <c r="B304" s="41"/>
      <c r="C304" s="41"/>
      <c r="D304" s="41"/>
      <c r="E304" s="48" t="s">
        <v>20</v>
      </c>
      <c r="F304" s="41"/>
      <c r="G304" s="43"/>
      <c r="H304" s="133" t="s">
        <v>14</v>
      </c>
      <c r="I304" s="45"/>
      <c r="J304" s="45"/>
      <c r="K304" s="46"/>
      <c r="L304" s="47">
        <f t="shared" ref="L304:N304" ca="1" si="228">L307+L310</f>
        <v>0</v>
      </c>
      <c r="M304" s="47">
        <f t="shared" ca="1" si="228"/>
        <v>0</v>
      </c>
      <c r="N304" s="47">
        <f t="shared" ca="1" si="228"/>
        <v>0</v>
      </c>
      <c r="O304" s="47">
        <f t="shared" ca="1" si="223"/>
        <v>0</v>
      </c>
      <c r="P304" s="47">
        <f t="shared" ca="1" si="224"/>
        <v>0</v>
      </c>
      <c r="Q304" s="47">
        <f t="shared" ref="Q304:S304" ca="1" si="229">Q307+Q310</f>
        <v>0</v>
      </c>
      <c r="R304" s="47">
        <f t="shared" ca="1" si="229"/>
        <v>0</v>
      </c>
      <c r="S304" s="47">
        <f t="shared" ca="1" si="229"/>
        <v>0</v>
      </c>
      <c r="T304" s="49">
        <f t="shared" ca="1" si="226"/>
        <v>0</v>
      </c>
      <c r="U304" s="49">
        <f t="shared" ca="1" si="227"/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7">
        <f t="shared" ref="L305:N305" ca="1" si="230">L308+L311</f>
        <v>426975</v>
      </c>
      <c r="M305" s="47">
        <f t="shared" ca="1" si="230"/>
        <v>426975</v>
      </c>
      <c r="N305" s="47">
        <f t="shared" ca="1" si="230"/>
        <v>277347.62</v>
      </c>
      <c r="O305" s="47">
        <f t="shared" ca="1" si="223"/>
        <v>64.956407283798811</v>
      </c>
      <c r="P305" s="47">
        <f t="shared" ca="1" si="224"/>
        <v>64.956407283798811</v>
      </c>
      <c r="Q305" s="47">
        <f t="shared" ref="Q305:S305" ca="1" si="231">Q308+Q311</f>
        <v>2086950.07</v>
      </c>
      <c r="R305" s="47">
        <f t="shared" ca="1" si="231"/>
        <v>2086948</v>
      </c>
      <c r="S305" s="47">
        <f t="shared" ca="1" si="231"/>
        <v>260018</v>
      </c>
      <c r="T305" s="47">
        <f t="shared" ca="1" si="226"/>
        <v>12.459234350537193</v>
      </c>
      <c r="U305" s="47">
        <f t="shared" ca="1" si="227"/>
        <v>12.459246708590726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7">
        <f t="shared" ref="L306:N306" ca="1" si="232">L307+L308</f>
        <v>426975</v>
      </c>
      <c r="M306" s="47">
        <f t="shared" ca="1" si="232"/>
        <v>426975</v>
      </c>
      <c r="N306" s="47">
        <f t="shared" ca="1" si="232"/>
        <v>277347.62</v>
      </c>
      <c r="O306" s="47">
        <f t="shared" ca="1" si="223"/>
        <v>64.956407283798811</v>
      </c>
      <c r="P306" s="47">
        <f t="shared" ca="1" si="224"/>
        <v>64.956407283798811</v>
      </c>
      <c r="Q306" s="47">
        <f t="shared" ref="Q306:S306" ca="1" si="233">Q307+Q308</f>
        <v>2086950.07</v>
      </c>
      <c r="R306" s="47">
        <f t="shared" ca="1" si="233"/>
        <v>2086948</v>
      </c>
      <c r="S306" s="47">
        <f t="shared" ca="1" si="233"/>
        <v>260018</v>
      </c>
      <c r="T306" s="47">
        <f t="shared" ca="1" si="226"/>
        <v>12.459234350537193</v>
      </c>
      <c r="U306" s="47">
        <f t="shared" ca="1" si="227"/>
        <v>12.459246708590726</v>
      </c>
    </row>
    <row r="307" spans="1:21" ht="18.75" hidden="1" x14ac:dyDescent="0.25">
      <c r="A307" s="128"/>
      <c r="B307" s="41"/>
      <c r="C307" s="41"/>
      <c r="D307" s="41"/>
      <c r="E307" s="48" t="s">
        <v>36</v>
      </c>
      <c r="F307" s="41"/>
      <c r="G307" s="43"/>
      <c r="H307" s="134" t="s">
        <v>14</v>
      </c>
      <c r="I307" s="135"/>
      <c r="J307" s="135"/>
      <c r="K307" s="136"/>
      <c r="L307" s="47">
        <f ca="1">IFERROR(__xludf.DUMMYFUNCTION("IMPORTRANGE(""https://docs.google.com/spreadsheets/d/1kKUcYdkIfrgTSj8iHHHB2MD2FAtwyyocFgqGQn6ADyI/edit?usp=sharing"",""กระบี่!L307"")+IMPORTRANGE(""https://docs.google.com/spreadsheets/d/1GwtLaSlNZkLk7iDqcyZz22giiy40b_usZZBXYciEN1U/edit?usp=sharing"",""ชุ"&amp;"มพร!L307"")+IMPORTRANGE(""https://docs.google.com/spreadsheets/d/16pAz3pOhQEZBhvFNMa5KGgZS6iKWpsKX0pg6tQmwFpo/edit?usp=sharing"",""ตรัง!L307"")+IMPORTRANGE(""https://docs.google.com/spreadsheets/d/1Dj4jcHCTV9JXKCaMoheSXS52JE63kDKyG7bPXnFogHk/edit?usp=shar"&amp;"ing"",""นครศรีธรรมราช!L307"")+IMPORTRANGE(""https://docs.google.com/spreadsheets/d/1iodCdmuK2GR3jzUwk8tpccY2JHQQA-87DLOtJP-ooyU/edit?usp=sharing"",""นราธิวาส!L307"")+IMPORTRANGE(""https://docs.google.com/spreadsheets/d/1SDNX3JhDdYRuIOsj0Wh2M-Qa_eaXl0NbWmh"&amp;"AOTbfQAs/edit?usp=sharing"",""ปัตตานี!L307"")+IMPORTRANGE(""https://docs.google.com/spreadsheets/d/16JDLGguT8s5DsGCND1KcwHP_AWR_zDMTqLHPLJUKhaU/edit?usp=sharing"",""พังงา!L307"")+IMPORTRANGE(""https://docs.google.com/spreadsheets/d/17ht0gPKzzT3PObBL1XJkeR"&amp;"mntBXI7wGjpLV7QorqlTk/edit?usp=sharing"",""พัทลุง!L307"")+IMPORTRANGE(""https://docs.google.com/spreadsheets/d/1rd4qoM1q_hsgaolqNGfrim9gbsoLxQsda4-vOz5x_BM/edit?usp=sharing"",""ภูเก็ต!L307"")+IMPORTRANGE(""https://docs.google.com/spreadsheets/d/1woKwKjgoL"&amp;"ssDvPcPeVyezB5izizAn4X1JDrys69n6xI/edit?usp=sharing"",""ยะลา!L307"")+IMPORTRANGE(""https://docs.google.com/spreadsheets/d/1qfrKjzMhm2HJfxQ-qVlJlJQ25Hne1d0khsySbZyGtPA/edit?usp=sharing"",""ระนอง!L307"")+IMPORTRANGE(""https://docs.google.com/spreadsheets/d/"&amp;"1IbSCnFOKpZsnFogBHJnL_isstZVaOMnFiIN0fGTPZZw/edit?usp=sharing"",""สงขลา!L307"")+IMPORTRANGE(""https://docs.google.com/spreadsheets/d/1q9nWasZJ-K8bFGvbE9n0qSRuKGA4Toe3Y89cKCiVtCU/edit?usp=sharing"",""สตูล!L307"")+IMPORTRANGE(""https://docs.google.com/sprea"&amp;"dsheets/d/18T20gbkS_WBjdscyTOV05cvq_JqvqQ17C81mpxf7Ncs/edit?usp=sharing"",""สุราษฎร์ธานี!L307"")"),0)</f>
        <v>0</v>
      </c>
      <c r="M307" s="47">
        <f ca="1">IFERROR(__xludf.DUMMYFUNCTION("IMPORTRANGE(""https://docs.google.com/spreadsheets/d/1kKUcYdkIfrgTSj8iHHHB2MD2FAtwyyocFgqGQn6ADyI/edit?usp=sharing"",""กระบี่!M307"")+IMPORTRANGE(""https://docs.google.com/spreadsheets/d/1GwtLaSlNZkLk7iDqcyZz22giiy40b_usZZBXYciEN1U/edit?usp=sharing"",""ชุ"&amp;"มพร!M307"")+IMPORTRANGE(""https://docs.google.com/spreadsheets/d/16pAz3pOhQEZBhvFNMa5KGgZS6iKWpsKX0pg6tQmwFpo/edit?usp=sharing"",""ตรัง!M307"")+IMPORTRANGE(""https://docs.google.com/spreadsheets/d/1Dj4jcHCTV9JXKCaMoheSXS52JE63kDKyG7bPXnFogHk/edit?usp=shar"&amp;"ing"",""นครศรีธรรมราช!M307"")+IMPORTRANGE(""https://docs.google.com/spreadsheets/d/1iodCdmuK2GR3jzUwk8tpccY2JHQQA-87DLOtJP-ooyU/edit?usp=sharing"",""นราธิวาส!M307"")+IMPORTRANGE(""https://docs.google.com/spreadsheets/d/1SDNX3JhDdYRuIOsj0Wh2M-Qa_eaXl0NbWmh"&amp;"AOTbfQAs/edit?usp=sharing"",""ปัตตานี!M307"")+IMPORTRANGE(""https://docs.google.com/spreadsheets/d/16JDLGguT8s5DsGCND1KcwHP_AWR_zDMTqLHPLJUKhaU/edit?usp=sharing"",""พังงา!M307"")+IMPORTRANGE(""https://docs.google.com/spreadsheets/d/17ht0gPKzzT3PObBL1XJkeR"&amp;"mntBXI7wGjpLV7QorqlTk/edit?usp=sharing"",""พัทลุง!M307"")+IMPORTRANGE(""https://docs.google.com/spreadsheets/d/1rd4qoM1q_hsgaolqNGfrim9gbsoLxQsda4-vOz5x_BM/edit?usp=sharing"",""ภูเก็ต!M307"")+IMPORTRANGE(""https://docs.google.com/spreadsheets/d/1woKwKjgoL"&amp;"ssDvPcPeVyezB5izizAn4X1JDrys69n6xI/edit?usp=sharing"",""ยะลา!M307"")+IMPORTRANGE(""https://docs.google.com/spreadsheets/d/1qfrKjzMhm2HJfxQ-qVlJlJQ25Hne1d0khsySbZyGtPA/edit?usp=sharing"",""ระนอง!M307"")+IMPORTRANGE(""https://docs.google.com/spreadsheets/d/"&amp;"1IbSCnFOKpZsnFogBHJnL_isstZVaOMnFiIN0fGTPZZw/edit?usp=sharing"",""สงขลา!M307"")+IMPORTRANGE(""https://docs.google.com/spreadsheets/d/1q9nWasZJ-K8bFGvbE9n0qSRuKGA4Toe3Y89cKCiVtCU/edit?usp=sharing"",""สตูล!M307"")+IMPORTRANGE(""https://docs.google.com/sprea"&amp;"dsheets/d/18T20gbkS_WBjdscyTOV05cvq_JqvqQ17C81mpxf7Ncs/edit?usp=sharing"",""สุราษฎร์ธานี!M307"")"),0)</f>
        <v>0</v>
      </c>
      <c r="N307" s="47">
        <f ca="1">IFERROR(__xludf.DUMMYFUNCTION("IMPORTRANGE(""https://docs.google.com/spreadsheets/d/1kKUcYdkIfrgTSj8iHHHB2MD2FAtwyyocFgqGQn6ADyI/edit?usp=sharing"",""กระบี่!N307"")+IMPORTRANGE(""https://docs.google.com/spreadsheets/d/1GwtLaSlNZkLk7iDqcyZz22giiy40b_usZZBXYciEN1U/edit?usp=sharing"",""ชุ"&amp;"มพร!N307"")+IMPORTRANGE(""https://docs.google.com/spreadsheets/d/16pAz3pOhQEZBhvFNMa5KGgZS6iKWpsKX0pg6tQmwFpo/edit?usp=sharing"",""ตรัง!N307"")+IMPORTRANGE(""https://docs.google.com/spreadsheets/d/1Dj4jcHCTV9JXKCaMoheSXS52JE63kDKyG7bPXnFogHk/edit?usp=shar"&amp;"ing"",""นครศรีธรรมราช!N307"")+IMPORTRANGE(""https://docs.google.com/spreadsheets/d/1iodCdmuK2GR3jzUwk8tpccY2JHQQA-87DLOtJP-ooyU/edit?usp=sharing"",""นราธิวาส!N307"")+IMPORTRANGE(""https://docs.google.com/spreadsheets/d/1SDNX3JhDdYRuIOsj0Wh2M-Qa_eaXl0NbWmh"&amp;"AOTbfQAs/edit?usp=sharing"",""ปัตตานี!N307"")+IMPORTRANGE(""https://docs.google.com/spreadsheets/d/16JDLGguT8s5DsGCND1KcwHP_AWR_zDMTqLHPLJUKhaU/edit?usp=sharing"",""พังงา!N307"")+IMPORTRANGE(""https://docs.google.com/spreadsheets/d/17ht0gPKzzT3PObBL1XJkeR"&amp;"mntBXI7wGjpLV7QorqlTk/edit?usp=sharing"",""พัทลุง!N307"")+IMPORTRANGE(""https://docs.google.com/spreadsheets/d/1rd4qoM1q_hsgaolqNGfrim9gbsoLxQsda4-vOz5x_BM/edit?usp=sharing"",""ภูเก็ต!N307"")+IMPORTRANGE(""https://docs.google.com/spreadsheets/d/1woKwKjgoL"&amp;"ssDvPcPeVyezB5izizAn4X1JDrys69n6xI/edit?usp=sharing"",""ยะลา!N307"")+IMPORTRANGE(""https://docs.google.com/spreadsheets/d/1qfrKjzMhm2HJfxQ-qVlJlJQ25Hne1d0khsySbZyGtPA/edit?usp=sharing"",""ระนอง!N307"")+IMPORTRANGE(""https://docs.google.com/spreadsheets/d/"&amp;"1IbSCnFOKpZsnFogBHJnL_isstZVaOMnFiIN0fGTPZZw/edit?usp=sharing"",""สงขลา!N307"")+IMPORTRANGE(""https://docs.google.com/spreadsheets/d/1q9nWasZJ-K8bFGvbE9n0qSRuKGA4Toe3Y89cKCiVtCU/edit?usp=sharing"",""สตูล!N307"")+IMPORTRANGE(""https://docs.google.com/sprea"&amp;"dsheets/d/18T20gbkS_WBjdscyTOV05cvq_JqvqQ17C81mpxf7Ncs/edit?usp=sharing"",""สุราษฎร์ธานี!N307"")"),0)</f>
        <v>0</v>
      </c>
      <c r="O307" s="47">
        <f t="shared" ca="1" si="223"/>
        <v>0</v>
      </c>
      <c r="P307" s="47">
        <f t="shared" ca="1" si="224"/>
        <v>0</v>
      </c>
      <c r="Q307" s="47">
        <f ca="1">IFERROR(__xludf.DUMMYFUNCTION("IMPORTRANGE(""https://docs.google.com/spreadsheets/d/1kKUcYdkIfrgTSj8iHHHB2MD2FAtwyyocFgqGQn6ADyI/edit?usp=sharing"",""กระบี่!Q307"")+IMPORTRANGE(""https://docs.google.com/spreadsheets/d/1GwtLaSlNZkLk7iDqcyZz22giiy40b_usZZBXYciEN1U/edit?usp=sharing"",""ชุ"&amp;"มพร!Q307"")+IMPORTRANGE(""https://docs.google.com/spreadsheets/d/16pAz3pOhQEZBhvFNMa5KGgZS6iKWpsKX0pg6tQmwFpo/edit?usp=sharing"",""ตรัง!Q307"")+IMPORTRANGE(""https://docs.google.com/spreadsheets/d/1Dj4jcHCTV9JXKCaMoheSXS52JE63kDKyG7bPXnFogHk/edit?usp=shar"&amp;"ing"",""นครศรีธรรมราช!Q307"")+IMPORTRANGE(""https://docs.google.com/spreadsheets/d/1iodCdmuK2GR3jzUwk8tpccY2JHQQA-87DLOtJP-ooyU/edit?usp=sharing"",""นราธิวาส!Q307"")+IMPORTRANGE(""https://docs.google.com/spreadsheets/d/1SDNX3JhDdYRuIOsj0Wh2M-Qa_eaXl0NbWmh"&amp;"AOTbfQAs/edit?usp=sharing"",""ปัตตานี!Q307"")+IMPORTRANGE(""https://docs.google.com/spreadsheets/d/16JDLGguT8s5DsGCND1KcwHP_AWR_zDMTqLHPLJUKhaU/edit?usp=sharing"",""พังงา!Q307"")+IMPORTRANGE(""https://docs.google.com/spreadsheets/d/17ht0gPKzzT3PObBL1XJkeR"&amp;"mntBXI7wGjpLV7QorqlTk/edit?usp=sharing"",""พัทลุง!Q307"")+IMPORTRANGE(""https://docs.google.com/spreadsheets/d/1rd4qoM1q_hsgaolqNGfrim9gbsoLxQsda4-vOz5x_BM/edit?usp=sharing"",""ภูเก็ต!Q307"")+IMPORTRANGE(""https://docs.google.com/spreadsheets/d/1woKwKjgoL"&amp;"ssDvPcPeVyezB5izizAn4X1JDrys69n6xI/edit?usp=sharing"",""ยะลา!Q307"")+IMPORTRANGE(""https://docs.google.com/spreadsheets/d/1qfrKjzMhm2HJfxQ-qVlJlJQ25Hne1d0khsySbZyGtPA/edit?usp=sharing"",""ระนอง!Q307"")+IMPORTRANGE(""https://docs.google.com/spreadsheets/d/"&amp;"1IbSCnFOKpZsnFogBHJnL_isstZVaOMnFiIN0fGTPZZw/edit?usp=sharing"",""สงขลา!Q307"")+IMPORTRANGE(""https://docs.google.com/spreadsheets/d/1q9nWasZJ-K8bFGvbE9n0qSRuKGA4Toe3Y89cKCiVtCU/edit?usp=sharing"",""สตูล!Q307"")+IMPORTRANGE(""https://docs.google.com/sprea"&amp;"dsheets/d/18T20gbkS_WBjdscyTOV05cvq_JqvqQ17C81mpxf7Ncs/edit?usp=sharing"",""สุราษฎร์ธานี!Q307"")"),0)</f>
        <v>0</v>
      </c>
      <c r="R307" s="47">
        <f ca="1">IFERROR(__xludf.DUMMYFUNCTION("IMPORTRANGE(""https://docs.google.com/spreadsheets/d/1kKUcYdkIfrgTSj8iHHHB2MD2FAtwyyocFgqGQn6ADyI/edit?usp=sharing"",""กระบี่!R307"")+IMPORTRANGE(""https://docs.google.com/spreadsheets/d/1GwtLaSlNZkLk7iDqcyZz22giiy40b_usZZBXYciEN1U/edit?usp=sharing"",""ชุ"&amp;"มพร!R307"")+IMPORTRANGE(""https://docs.google.com/spreadsheets/d/16pAz3pOhQEZBhvFNMa5KGgZS6iKWpsKX0pg6tQmwFpo/edit?usp=sharing"",""ตรัง!R307"")+IMPORTRANGE(""https://docs.google.com/spreadsheets/d/1Dj4jcHCTV9JXKCaMoheSXS52JE63kDKyG7bPXnFogHk/edit?usp=shar"&amp;"ing"",""นครศรีธรรมราช!R307"")+IMPORTRANGE(""https://docs.google.com/spreadsheets/d/1iodCdmuK2GR3jzUwk8tpccY2JHQQA-87DLOtJP-ooyU/edit?usp=sharing"",""นราธิวาส!R307"")+IMPORTRANGE(""https://docs.google.com/spreadsheets/d/1SDNX3JhDdYRuIOsj0Wh2M-Qa_eaXl0NbWmh"&amp;"AOTbfQAs/edit?usp=sharing"",""ปัตตานี!R307"")+IMPORTRANGE(""https://docs.google.com/spreadsheets/d/16JDLGguT8s5DsGCND1KcwHP_AWR_zDMTqLHPLJUKhaU/edit?usp=sharing"",""พังงา!R307"")+IMPORTRANGE(""https://docs.google.com/spreadsheets/d/17ht0gPKzzT3PObBL1XJkeR"&amp;"mntBXI7wGjpLV7QorqlTk/edit?usp=sharing"",""พัทลุง!R307"")+IMPORTRANGE(""https://docs.google.com/spreadsheets/d/1rd4qoM1q_hsgaolqNGfrim9gbsoLxQsda4-vOz5x_BM/edit?usp=sharing"",""ภูเก็ต!R307"")+IMPORTRANGE(""https://docs.google.com/spreadsheets/d/1woKwKjgoL"&amp;"ssDvPcPeVyezB5izizAn4X1JDrys69n6xI/edit?usp=sharing"",""ยะลา!R307"")+IMPORTRANGE(""https://docs.google.com/spreadsheets/d/1qfrKjzMhm2HJfxQ-qVlJlJQ25Hne1d0khsySbZyGtPA/edit?usp=sharing"",""ระนอง!R307"")+IMPORTRANGE(""https://docs.google.com/spreadsheets/d/"&amp;"1IbSCnFOKpZsnFogBHJnL_isstZVaOMnFiIN0fGTPZZw/edit?usp=sharing"",""สงขลา!R307"")+IMPORTRANGE(""https://docs.google.com/spreadsheets/d/1q9nWasZJ-K8bFGvbE9n0qSRuKGA4Toe3Y89cKCiVtCU/edit?usp=sharing"",""สตูล!R307"")+IMPORTRANGE(""https://docs.google.com/sprea"&amp;"dsheets/d/18T20gbkS_WBjdscyTOV05cvq_JqvqQ17C81mpxf7Ncs/edit?usp=sharing"",""สุราษฎร์ธานี!R307"")"),0)</f>
        <v>0</v>
      </c>
      <c r="S307" s="47">
        <f ca="1">IFERROR(__xludf.DUMMYFUNCTION("IMPORTRANGE(""https://docs.google.com/spreadsheets/d/1kKUcYdkIfrgTSj8iHHHB2MD2FAtwyyocFgqGQn6ADyI/edit?usp=sharing"",""กระบี่!S307"")+IMPORTRANGE(""https://docs.google.com/spreadsheets/d/1GwtLaSlNZkLk7iDqcyZz22giiy40b_usZZBXYciEN1U/edit?usp=sharing"",""ชุ"&amp;"มพร!S307"")+IMPORTRANGE(""https://docs.google.com/spreadsheets/d/16pAz3pOhQEZBhvFNMa5KGgZS6iKWpsKX0pg6tQmwFpo/edit?usp=sharing"",""ตรัง!S307"")+IMPORTRANGE(""https://docs.google.com/spreadsheets/d/1Dj4jcHCTV9JXKCaMoheSXS52JE63kDKyG7bPXnFogHk/edit?usp=shar"&amp;"ing"",""นครศรีธรรมราช!S307"")+IMPORTRANGE(""https://docs.google.com/spreadsheets/d/1iodCdmuK2GR3jzUwk8tpccY2JHQQA-87DLOtJP-ooyU/edit?usp=sharing"",""นราธิวาส!S307"")+IMPORTRANGE(""https://docs.google.com/spreadsheets/d/1SDNX3JhDdYRuIOsj0Wh2M-Qa_eaXl0NbWmh"&amp;"AOTbfQAs/edit?usp=sharing"",""ปัตตานี!S307"")+IMPORTRANGE(""https://docs.google.com/spreadsheets/d/16JDLGguT8s5DsGCND1KcwHP_AWR_zDMTqLHPLJUKhaU/edit?usp=sharing"",""พังงา!S307"")+IMPORTRANGE(""https://docs.google.com/spreadsheets/d/17ht0gPKzzT3PObBL1XJkeR"&amp;"mntBXI7wGjpLV7QorqlTk/edit?usp=sharing"",""พัทลุง!S307"")+IMPORTRANGE(""https://docs.google.com/spreadsheets/d/1rd4qoM1q_hsgaolqNGfrim9gbsoLxQsda4-vOz5x_BM/edit?usp=sharing"",""ภูเก็ต!S307"")+IMPORTRANGE(""https://docs.google.com/spreadsheets/d/1woKwKjgoL"&amp;"ssDvPcPeVyezB5izizAn4X1JDrys69n6xI/edit?usp=sharing"",""ยะลา!S307"")+IMPORTRANGE(""https://docs.google.com/spreadsheets/d/1qfrKjzMhm2HJfxQ-qVlJlJQ25Hne1d0khsySbZyGtPA/edit?usp=sharing"",""ระนอง!S307"")+IMPORTRANGE(""https://docs.google.com/spreadsheets/d/"&amp;"1IbSCnFOKpZsnFogBHJnL_isstZVaOMnFiIN0fGTPZZw/edit?usp=sharing"",""สงขลา!S307"")+IMPORTRANGE(""https://docs.google.com/spreadsheets/d/1q9nWasZJ-K8bFGvbE9n0qSRuKGA4Toe3Y89cKCiVtCU/edit?usp=sharing"",""สตูล!S307"")+IMPORTRANGE(""https://docs.google.com/sprea"&amp;"dsheets/d/18T20gbkS_WBjdscyTOV05cvq_JqvqQ17C81mpxf7Ncs/edit?usp=sharing"",""สุราษฎร์ธานี!S307"")"),0)</f>
        <v>0</v>
      </c>
      <c r="T307" s="49">
        <f t="shared" ca="1" si="226"/>
        <v>0</v>
      </c>
      <c r="U307" s="49">
        <f t="shared" ca="1" si="227"/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7">
        <f ca="1">IFERROR(__xludf.DUMMYFUNCTION("IMPORTRANGE(""https://docs.google.com/spreadsheets/d/1kKUcYdkIfrgTSj8iHHHB2MD2FAtwyyocFgqGQn6ADyI/edit?usp=sharing"",""กระบี่!L308"")+IMPORTRANGE(""https://docs.google.com/spreadsheets/d/1GwtLaSlNZkLk7iDqcyZz22giiy40b_usZZBXYciEN1U/edit?usp=sharing"",""ชุ"&amp;"มพร!L308"")+IMPORTRANGE(""https://docs.google.com/spreadsheets/d/16pAz3pOhQEZBhvFNMa5KGgZS6iKWpsKX0pg6tQmwFpo/edit?usp=sharing"",""ตรัง!L308"")+IMPORTRANGE(""https://docs.google.com/spreadsheets/d/1Dj4jcHCTV9JXKCaMoheSXS52JE63kDKyG7bPXnFogHk/edit?usp=shar"&amp;"ing"",""นครศรีธรรมราช!L308"")+IMPORTRANGE(""https://docs.google.com/spreadsheets/d/1iodCdmuK2GR3jzUwk8tpccY2JHQQA-87DLOtJP-ooyU/edit?usp=sharing"",""นราธิวาส!L308"")+IMPORTRANGE(""https://docs.google.com/spreadsheets/d/1SDNX3JhDdYRuIOsj0Wh2M-Qa_eaXl0NbWmh"&amp;"AOTbfQAs/edit?usp=sharing"",""ปัตตานี!L308"")+IMPORTRANGE(""https://docs.google.com/spreadsheets/d/16JDLGguT8s5DsGCND1KcwHP_AWR_zDMTqLHPLJUKhaU/edit?usp=sharing"",""พังงา!L308"")+IMPORTRANGE(""https://docs.google.com/spreadsheets/d/17ht0gPKzzT3PObBL1XJkeR"&amp;"mntBXI7wGjpLV7QorqlTk/edit?usp=sharing"",""พัทลุง!L308"")+IMPORTRANGE(""https://docs.google.com/spreadsheets/d/1rd4qoM1q_hsgaolqNGfrim9gbsoLxQsda4-vOz5x_BM/edit?usp=sharing"",""ภูเก็ต!L308"")+IMPORTRANGE(""https://docs.google.com/spreadsheets/d/1woKwKjgoL"&amp;"ssDvPcPeVyezB5izizAn4X1JDrys69n6xI/edit?usp=sharing"",""ยะลา!L308"")+IMPORTRANGE(""https://docs.google.com/spreadsheets/d/1qfrKjzMhm2HJfxQ-qVlJlJQ25Hne1d0khsySbZyGtPA/edit?usp=sharing"",""ระนอง!L308"")+IMPORTRANGE(""https://docs.google.com/spreadsheets/d/"&amp;"1IbSCnFOKpZsnFogBHJnL_isstZVaOMnFiIN0fGTPZZw/edit?usp=sharing"",""สงขลา!L308"")+IMPORTRANGE(""https://docs.google.com/spreadsheets/d/1q9nWasZJ-K8bFGvbE9n0qSRuKGA4Toe3Y89cKCiVtCU/edit?usp=sharing"",""สตูล!L308"")+IMPORTRANGE(""https://docs.google.com/sprea"&amp;"dsheets/d/18T20gbkS_WBjdscyTOV05cvq_JqvqQ17C81mpxf7Ncs/edit?usp=sharing"",""สุราษฎร์ธานี!L308"")"),426975)</f>
        <v>426975</v>
      </c>
      <c r="M308" s="47">
        <f ca="1">IFERROR(__xludf.DUMMYFUNCTION("IMPORTRANGE(""https://docs.google.com/spreadsheets/d/1kKUcYdkIfrgTSj8iHHHB2MD2FAtwyyocFgqGQn6ADyI/edit?usp=sharing"",""กระบี่!M308"")+IMPORTRANGE(""https://docs.google.com/spreadsheets/d/1GwtLaSlNZkLk7iDqcyZz22giiy40b_usZZBXYciEN1U/edit?usp=sharing"",""ชุ"&amp;"มพร!M308"")+IMPORTRANGE(""https://docs.google.com/spreadsheets/d/16pAz3pOhQEZBhvFNMa5KGgZS6iKWpsKX0pg6tQmwFpo/edit?usp=sharing"",""ตรัง!M308"")+IMPORTRANGE(""https://docs.google.com/spreadsheets/d/1Dj4jcHCTV9JXKCaMoheSXS52JE63kDKyG7bPXnFogHk/edit?usp=shar"&amp;"ing"",""นครศรีธรรมราช!M308"")+IMPORTRANGE(""https://docs.google.com/spreadsheets/d/1iodCdmuK2GR3jzUwk8tpccY2JHQQA-87DLOtJP-ooyU/edit?usp=sharing"",""นราธิวาส!M308"")+IMPORTRANGE(""https://docs.google.com/spreadsheets/d/1SDNX3JhDdYRuIOsj0Wh2M-Qa_eaXl0NbWmh"&amp;"AOTbfQAs/edit?usp=sharing"",""ปัตตานี!M308"")+IMPORTRANGE(""https://docs.google.com/spreadsheets/d/16JDLGguT8s5DsGCND1KcwHP_AWR_zDMTqLHPLJUKhaU/edit?usp=sharing"",""พังงา!M308"")+IMPORTRANGE(""https://docs.google.com/spreadsheets/d/17ht0gPKzzT3PObBL1XJkeR"&amp;"mntBXI7wGjpLV7QorqlTk/edit?usp=sharing"",""พัทลุง!M308"")+IMPORTRANGE(""https://docs.google.com/spreadsheets/d/1rd4qoM1q_hsgaolqNGfrim9gbsoLxQsda4-vOz5x_BM/edit?usp=sharing"",""ภูเก็ต!M308"")+IMPORTRANGE(""https://docs.google.com/spreadsheets/d/1woKwKjgoL"&amp;"ssDvPcPeVyezB5izizAn4X1JDrys69n6xI/edit?usp=sharing"",""ยะลา!M308"")+IMPORTRANGE(""https://docs.google.com/spreadsheets/d/1qfrKjzMhm2HJfxQ-qVlJlJQ25Hne1d0khsySbZyGtPA/edit?usp=sharing"",""ระนอง!M308"")+IMPORTRANGE(""https://docs.google.com/spreadsheets/d/"&amp;"1IbSCnFOKpZsnFogBHJnL_isstZVaOMnFiIN0fGTPZZw/edit?usp=sharing"",""สงขลา!M308"")+IMPORTRANGE(""https://docs.google.com/spreadsheets/d/1q9nWasZJ-K8bFGvbE9n0qSRuKGA4Toe3Y89cKCiVtCU/edit?usp=sharing"",""สตูล!M308"")+IMPORTRANGE(""https://docs.google.com/sprea"&amp;"dsheets/d/18T20gbkS_WBjdscyTOV05cvq_JqvqQ17C81mpxf7Ncs/edit?usp=sharing"",""สุราษฎร์ธานี!M308"")"),426975)</f>
        <v>426975</v>
      </c>
      <c r="N308" s="47">
        <f ca="1">IFERROR(__xludf.DUMMYFUNCTION("IMPORTRANGE(""https://docs.google.com/spreadsheets/d/1kKUcYdkIfrgTSj8iHHHB2MD2FAtwyyocFgqGQn6ADyI/edit?usp=sharing"",""กระบี่!N308"")+IMPORTRANGE(""https://docs.google.com/spreadsheets/d/1GwtLaSlNZkLk7iDqcyZz22giiy40b_usZZBXYciEN1U/edit?usp=sharing"",""ชุ"&amp;"มพร!N308"")+IMPORTRANGE(""https://docs.google.com/spreadsheets/d/16pAz3pOhQEZBhvFNMa5KGgZS6iKWpsKX0pg6tQmwFpo/edit?usp=sharing"",""ตรัง!N308"")+IMPORTRANGE(""https://docs.google.com/spreadsheets/d/1Dj4jcHCTV9JXKCaMoheSXS52JE63kDKyG7bPXnFogHk/edit?usp=shar"&amp;"ing"",""นครศรีธรรมราช!N308"")+IMPORTRANGE(""https://docs.google.com/spreadsheets/d/1iodCdmuK2GR3jzUwk8tpccY2JHQQA-87DLOtJP-ooyU/edit?usp=sharing"",""นราธิวาส!N308"")+IMPORTRANGE(""https://docs.google.com/spreadsheets/d/1SDNX3JhDdYRuIOsj0Wh2M-Qa_eaXl0NbWmh"&amp;"AOTbfQAs/edit?usp=sharing"",""ปัตตานี!N308"")+IMPORTRANGE(""https://docs.google.com/spreadsheets/d/16JDLGguT8s5DsGCND1KcwHP_AWR_zDMTqLHPLJUKhaU/edit?usp=sharing"",""พังงา!N308"")+IMPORTRANGE(""https://docs.google.com/spreadsheets/d/17ht0gPKzzT3PObBL1XJkeR"&amp;"mntBXI7wGjpLV7QorqlTk/edit?usp=sharing"",""พัทลุง!N308"")+IMPORTRANGE(""https://docs.google.com/spreadsheets/d/1rd4qoM1q_hsgaolqNGfrim9gbsoLxQsda4-vOz5x_BM/edit?usp=sharing"",""ภูเก็ต!N308"")+IMPORTRANGE(""https://docs.google.com/spreadsheets/d/1woKwKjgoL"&amp;"ssDvPcPeVyezB5izizAn4X1JDrys69n6xI/edit?usp=sharing"",""ยะลา!N308"")+IMPORTRANGE(""https://docs.google.com/spreadsheets/d/1qfrKjzMhm2HJfxQ-qVlJlJQ25Hne1d0khsySbZyGtPA/edit?usp=sharing"",""ระนอง!N308"")+IMPORTRANGE(""https://docs.google.com/spreadsheets/d/"&amp;"1IbSCnFOKpZsnFogBHJnL_isstZVaOMnFiIN0fGTPZZw/edit?usp=sharing"",""สงขลา!N308"")+IMPORTRANGE(""https://docs.google.com/spreadsheets/d/1q9nWasZJ-K8bFGvbE9n0qSRuKGA4Toe3Y89cKCiVtCU/edit?usp=sharing"",""สตูล!N308"")+IMPORTRANGE(""https://docs.google.com/sprea"&amp;"dsheets/d/18T20gbkS_WBjdscyTOV05cvq_JqvqQ17C81mpxf7Ncs/edit?usp=sharing"",""สุราษฎร์ธานี!N308"")"),277347.62)</f>
        <v>277347.62</v>
      </c>
      <c r="O308" s="47">
        <f t="shared" ca="1" si="223"/>
        <v>64.956407283798811</v>
      </c>
      <c r="P308" s="47">
        <f t="shared" ca="1" si="224"/>
        <v>64.956407283798811</v>
      </c>
      <c r="Q308" s="47">
        <f ca="1">IFERROR(__xludf.DUMMYFUNCTION("IMPORTRANGE(""https://docs.google.com/spreadsheets/d/1kKUcYdkIfrgTSj8iHHHB2MD2FAtwyyocFgqGQn6ADyI/edit?usp=sharing"",""กระบี่!Q308"")+IMPORTRANGE(""https://docs.google.com/spreadsheets/d/1GwtLaSlNZkLk7iDqcyZz22giiy40b_usZZBXYciEN1U/edit?usp=sharing"",""ชุ"&amp;"มพร!Q308"")+IMPORTRANGE(""https://docs.google.com/spreadsheets/d/16pAz3pOhQEZBhvFNMa5KGgZS6iKWpsKX0pg6tQmwFpo/edit?usp=sharing"",""ตรัง!Q308"")+IMPORTRANGE(""https://docs.google.com/spreadsheets/d/1Dj4jcHCTV9JXKCaMoheSXS52JE63kDKyG7bPXnFogHk/edit?usp=shar"&amp;"ing"",""นครศรีธรรมราช!Q308"")+IMPORTRANGE(""https://docs.google.com/spreadsheets/d/1iodCdmuK2GR3jzUwk8tpccY2JHQQA-87DLOtJP-ooyU/edit?usp=sharing"",""นราธิวาส!Q308"")+IMPORTRANGE(""https://docs.google.com/spreadsheets/d/1SDNX3JhDdYRuIOsj0Wh2M-Qa_eaXl0NbWmh"&amp;"AOTbfQAs/edit?usp=sharing"",""ปัตตานี!Q308"")+IMPORTRANGE(""https://docs.google.com/spreadsheets/d/16JDLGguT8s5DsGCND1KcwHP_AWR_zDMTqLHPLJUKhaU/edit?usp=sharing"",""พังงา!Q308"")+IMPORTRANGE(""https://docs.google.com/spreadsheets/d/17ht0gPKzzT3PObBL1XJkeR"&amp;"mntBXI7wGjpLV7QorqlTk/edit?usp=sharing"",""พัทลุง!Q308"")+IMPORTRANGE(""https://docs.google.com/spreadsheets/d/1rd4qoM1q_hsgaolqNGfrim9gbsoLxQsda4-vOz5x_BM/edit?usp=sharing"",""ภูเก็ต!Q308"")+IMPORTRANGE(""https://docs.google.com/spreadsheets/d/1woKwKjgoL"&amp;"ssDvPcPeVyezB5izizAn4X1JDrys69n6xI/edit?usp=sharing"",""ยะลา!Q308"")+IMPORTRANGE(""https://docs.google.com/spreadsheets/d/1qfrKjzMhm2HJfxQ-qVlJlJQ25Hne1d0khsySbZyGtPA/edit?usp=sharing"",""ระนอง!Q308"")+IMPORTRANGE(""https://docs.google.com/spreadsheets/d/"&amp;"1IbSCnFOKpZsnFogBHJnL_isstZVaOMnFiIN0fGTPZZw/edit?usp=sharing"",""สงขลา!Q308"")+IMPORTRANGE(""https://docs.google.com/spreadsheets/d/1q9nWasZJ-K8bFGvbE9n0qSRuKGA4Toe3Y89cKCiVtCU/edit?usp=sharing"",""สตูล!Q308"")+IMPORTRANGE(""https://docs.google.com/sprea"&amp;"dsheets/d/18T20gbkS_WBjdscyTOV05cvq_JqvqQ17C81mpxf7Ncs/edit?usp=sharing"",""สุราษฎร์ธานี!Q308"")"),2086950.07)</f>
        <v>2086950.07</v>
      </c>
      <c r="R308" s="47">
        <f ca="1">IFERROR(__xludf.DUMMYFUNCTION("IMPORTRANGE(""https://docs.google.com/spreadsheets/d/1kKUcYdkIfrgTSj8iHHHB2MD2FAtwyyocFgqGQn6ADyI/edit?usp=sharing"",""กระบี่!R308"")+IMPORTRANGE(""https://docs.google.com/spreadsheets/d/1GwtLaSlNZkLk7iDqcyZz22giiy40b_usZZBXYciEN1U/edit?usp=sharing"",""ชุ"&amp;"มพร!R308"")+IMPORTRANGE(""https://docs.google.com/spreadsheets/d/16pAz3pOhQEZBhvFNMa5KGgZS6iKWpsKX0pg6tQmwFpo/edit?usp=sharing"",""ตรัง!R308"")+IMPORTRANGE(""https://docs.google.com/spreadsheets/d/1Dj4jcHCTV9JXKCaMoheSXS52JE63kDKyG7bPXnFogHk/edit?usp=shar"&amp;"ing"",""นครศรีธรรมราช!R308"")+IMPORTRANGE(""https://docs.google.com/spreadsheets/d/1iodCdmuK2GR3jzUwk8tpccY2JHQQA-87DLOtJP-ooyU/edit?usp=sharing"",""นราธิวาส!R308"")+IMPORTRANGE(""https://docs.google.com/spreadsheets/d/1SDNX3JhDdYRuIOsj0Wh2M-Qa_eaXl0NbWmh"&amp;"AOTbfQAs/edit?usp=sharing"",""ปัตตานี!R308"")+IMPORTRANGE(""https://docs.google.com/spreadsheets/d/16JDLGguT8s5DsGCND1KcwHP_AWR_zDMTqLHPLJUKhaU/edit?usp=sharing"",""พังงา!R308"")+IMPORTRANGE(""https://docs.google.com/spreadsheets/d/17ht0gPKzzT3PObBL1XJkeR"&amp;"mntBXI7wGjpLV7QorqlTk/edit?usp=sharing"",""พัทลุง!R308"")+IMPORTRANGE(""https://docs.google.com/spreadsheets/d/1rd4qoM1q_hsgaolqNGfrim9gbsoLxQsda4-vOz5x_BM/edit?usp=sharing"",""ภูเก็ต!R308"")+IMPORTRANGE(""https://docs.google.com/spreadsheets/d/1woKwKjgoL"&amp;"ssDvPcPeVyezB5izizAn4X1JDrys69n6xI/edit?usp=sharing"",""ยะลา!R308"")+IMPORTRANGE(""https://docs.google.com/spreadsheets/d/1qfrKjzMhm2HJfxQ-qVlJlJQ25Hne1d0khsySbZyGtPA/edit?usp=sharing"",""ระนอง!R308"")+IMPORTRANGE(""https://docs.google.com/spreadsheets/d/"&amp;"1IbSCnFOKpZsnFogBHJnL_isstZVaOMnFiIN0fGTPZZw/edit?usp=sharing"",""สงขลา!R308"")+IMPORTRANGE(""https://docs.google.com/spreadsheets/d/1q9nWasZJ-K8bFGvbE9n0qSRuKGA4Toe3Y89cKCiVtCU/edit?usp=sharing"",""สตูล!R308"")+IMPORTRANGE(""https://docs.google.com/sprea"&amp;"dsheets/d/18T20gbkS_WBjdscyTOV05cvq_JqvqQ17C81mpxf7Ncs/edit?usp=sharing"",""สุราษฎร์ธานี!R308"")"),2086948)</f>
        <v>2086948</v>
      </c>
      <c r="S308" s="47">
        <f ca="1">IFERROR(__xludf.DUMMYFUNCTION("IMPORTRANGE(""https://docs.google.com/spreadsheets/d/1kKUcYdkIfrgTSj8iHHHB2MD2FAtwyyocFgqGQn6ADyI/edit?usp=sharing"",""กระบี่!S308"")+IMPORTRANGE(""https://docs.google.com/spreadsheets/d/1GwtLaSlNZkLk7iDqcyZz22giiy40b_usZZBXYciEN1U/edit?usp=sharing"",""ชุ"&amp;"มพร!S308"")+IMPORTRANGE(""https://docs.google.com/spreadsheets/d/16pAz3pOhQEZBhvFNMa5KGgZS6iKWpsKX0pg6tQmwFpo/edit?usp=sharing"",""ตรัง!S308"")+IMPORTRANGE(""https://docs.google.com/spreadsheets/d/1Dj4jcHCTV9JXKCaMoheSXS52JE63kDKyG7bPXnFogHk/edit?usp=shar"&amp;"ing"",""นครศรีธรรมราช!S308"")+IMPORTRANGE(""https://docs.google.com/spreadsheets/d/1iodCdmuK2GR3jzUwk8tpccY2JHQQA-87DLOtJP-ooyU/edit?usp=sharing"",""นราธิวาส!S308"")+IMPORTRANGE(""https://docs.google.com/spreadsheets/d/1SDNX3JhDdYRuIOsj0Wh2M-Qa_eaXl0NbWmh"&amp;"AOTbfQAs/edit?usp=sharing"",""ปัตตานี!S308"")+IMPORTRANGE(""https://docs.google.com/spreadsheets/d/16JDLGguT8s5DsGCND1KcwHP_AWR_zDMTqLHPLJUKhaU/edit?usp=sharing"",""พังงา!S308"")+IMPORTRANGE(""https://docs.google.com/spreadsheets/d/17ht0gPKzzT3PObBL1XJkeR"&amp;"mntBXI7wGjpLV7QorqlTk/edit?usp=sharing"",""พัทลุง!S308"")+IMPORTRANGE(""https://docs.google.com/spreadsheets/d/1rd4qoM1q_hsgaolqNGfrim9gbsoLxQsda4-vOz5x_BM/edit?usp=sharing"",""ภูเก็ต!S308"")+IMPORTRANGE(""https://docs.google.com/spreadsheets/d/1woKwKjgoL"&amp;"ssDvPcPeVyezB5izizAn4X1JDrys69n6xI/edit?usp=sharing"",""ยะลา!S308"")+IMPORTRANGE(""https://docs.google.com/spreadsheets/d/1qfrKjzMhm2HJfxQ-qVlJlJQ25Hne1d0khsySbZyGtPA/edit?usp=sharing"",""ระนอง!S308"")+IMPORTRANGE(""https://docs.google.com/spreadsheets/d/"&amp;"1IbSCnFOKpZsnFogBHJnL_isstZVaOMnFiIN0fGTPZZw/edit?usp=sharing"",""สงขลา!S308"")+IMPORTRANGE(""https://docs.google.com/spreadsheets/d/1q9nWasZJ-K8bFGvbE9n0qSRuKGA4Toe3Y89cKCiVtCU/edit?usp=sharing"",""สตูล!S308"")+IMPORTRANGE(""https://docs.google.com/sprea"&amp;"dsheets/d/18T20gbkS_WBjdscyTOV05cvq_JqvqQ17C81mpxf7Ncs/edit?usp=sharing"",""สุราษฎร์ธานี!S308"")"),260018)</f>
        <v>260018</v>
      </c>
      <c r="T308" s="47">
        <f t="shared" ca="1" si="226"/>
        <v>12.459234350537193</v>
      </c>
      <c r="U308" s="47">
        <f t="shared" ca="1" si="227"/>
        <v>12.459246708590726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7">
        <f t="shared" ref="L309:N309" ca="1" si="234">L310+L311</f>
        <v>0</v>
      </c>
      <c r="M309" s="47">
        <f t="shared" ca="1" si="234"/>
        <v>0</v>
      </c>
      <c r="N309" s="47">
        <f t="shared" ca="1" si="234"/>
        <v>0</v>
      </c>
      <c r="O309" s="47">
        <f t="shared" ca="1" si="223"/>
        <v>0</v>
      </c>
      <c r="P309" s="47">
        <f t="shared" ca="1" si="224"/>
        <v>0</v>
      </c>
      <c r="Q309" s="47">
        <f t="shared" ref="Q309:S309" ca="1" si="235">Q310+Q311</f>
        <v>0</v>
      </c>
      <c r="R309" s="47">
        <f t="shared" ca="1" si="235"/>
        <v>0</v>
      </c>
      <c r="S309" s="47">
        <f t="shared" ca="1" si="235"/>
        <v>0</v>
      </c>
      <c r="T309" s="47">
        <f t="shared" ca="1" si="226"/>
        <v>0</v>
      </c>
      <c r="U309" s="47">
        <f t="shared" ca="1" si="227"/>
        <v>0</v>
      </c>
    </row>
    <row r="310" spans="1:21" ht="18.75" hidden="1" x14ac:dyDescent="0.25">
      <c r="A310" s="128"/>
      <c r="B310" s="41"/>
      <c r="C310" s="41"/>
      <c r="D310" s="41"/>
      <c r="E310" s="48" t="s">
        <v>20</v>
      </c>
      <c r="F310" s="41"/>
      <c r="G310" s="43"/>
      <c r="H310" s="134" t="s">
        <v>14</v>
      </c>
      <c r="I310" s="135"/>
      <c r="J310" s="135"/>
      <c r="K310" s="136"/>
      <c r="L310" s="47">
        <f ca="1">IFERROR(__xludf.DUMMYFUNCTION("IMPORTRANGE(""https://docs.google.com/spreadsheets/d/1kKUcYdkIfrgTSj8iHHHB2MD2FAtwyyocFgqGQn6ADyI/edit?usp=sharing"",""กระบี่!L310"")+IMPORTRANGE(""https://docs.google.com/spreadsheets/d/1GwtLaSlNZkLk7iDqcyZz22giiy40b_usZZBXYciEN1U/edit?usp=sharing"",""ชุ"&amp;"มพร!L310"")+IMPORTRANGE(""https://docs.google.com/spreadsheets/d/16pAz3pOhQEZBhvFNMa5KGgZS6iKWpsKX0pg6tQmwFpo/edit?usp=sharing"",""ตรัง!L310"")+IMPORTRANGE(""https://docs.google.com/spreadsheets/d/1Dj4jcHCTV9JXKCaMoheSXS52JE63kDKyG7bPXnFogHk/edit?usp=shar"&amp;"ing"",""นครศรีธรรมราช!L310"")+IMPORTRANGE(""https://docs.google.com/spreadsheets/d/1iodCdmuK2GR3jzUwk8tpccY2JHQQA-87DLOtJP-ooyU/edit?usp=sharing"",""นราธิวาส!L310"")+IMPORTRANGE(""https://docs.google.com/spreadsheets/d/1SDNX3JhDdYRuIOsj0Wh2M-Qa_eaXl0NbWmh"&amp;"AOTbfQAs/edit?usp=sharing"",""ปัตตานี!L310"")+IMPORTRANGE(""https://docs.google.com/spreadsheets/d/16JDLGguT8s5DsGCND1KcwHP_AWR_zDMTqLHPLJUKhaU/edit?usp=sharing"",""พังงา!L310"")+IMPORTRANGE(""https://docs.google.com/spreadsheets/d/17ht0gPKzzT3PObBL1XJkeR"&amp;"mntBXI7wGjpLV7QorqlTk/edit?usp=sharing"",""พัทลุง!L310"")+IMPORTRANGE(""https://docs.google.com/spreadsheets/d/1rd4qoM1q_hsgaolqNGfrim9gbsoLxQsda4-vOz5x_BM/edit?usp=sharing"",""ภูเก็ต!L310"")+IMPORTRANGE(""https://docs.google.com/spreadsheets/d/1woKwKjgoL"&amp;"ssDvPcPeVyezB5izizAn4X1JDrys69n6xI/edit?usp=sharing"",""ยะลา!L310"")+IMPORTRANGE(""https://docs.google.com/spreadsheets/d/1qfrKjzMhm2HJfxQ-qVlJlJQ25Hne1d0khsySbZyGtPA/edit?usp=sharing"",""ระนอง!L310"")+IMPORTRANGE(""https://docs.google.com/spreadsheets/d/"&amp;"1IbSCnFOKpZsnFogBHJnL_isstZVaOMnFiIN0fGTPZZw/edit?usp=sharing"",""สงขลา!L310"")+IMPORTRANGE(""https://docs.google.com/spreadsheets/d/1q9nWasZJ-K8bFGvbE9n0qSRuKGA4Toe3Y89cKCiVtCU/edit?usp=sharing"",""สตูล!L310"")+IMPORTRANGE(""https://docs.google.com/sprea"&amp;"dsheets/d/18T20gbkS_WBjdscyTOV05cvq_JqvqQ17C81mpxf7Ncs/edit?usp=sharing"",""สุราษฎร์ธานี!L310"")"),0)</f>
        <v>0</v>
      </c>
      <c r="M310" s="47">
        <f ca="1">IFERROR(__xludf.DUMMYFUNCTION("IMPORTRANGE(""https://docs.google.com/spreadsheets/d/1kKUcYdkIfrgTSj8iHHHB2MD2FAtwyyocFgqGQn6ADyI/edit?usp=sharing"",""กระบี่!M310"")+IMPORTRANGE(""https://docs.google.com/spreadsheets/d/1GwtLaSlNZkLk7iDqcyZz22giiy40b_usZZBXYciEN1U/edit?usp=sharing"",""ชุ"&amp;"มพร!M310"")+IMPORTRANGE(""https://docs.google.com/spreadsheets/d/16pAz3pOhQEZBhvFNMa5KGgZS6iKWpsKX0pg6tQmwFpo/edit?usp=sharing"",""ตรัง!M310"")+IMPORTRANGE(""https://docs.google.com/spreadsheets/d/1Dj4jcHCTV9JXKCaMoheSXS52JE63kDKyG7bPXnFogHk/edit?usp=shar"&amp;"ing"",""นครศรีธรรมราช!M310"")+IMPORTRANGE(""https://docs.google.com/spreadsheets/d/1iodCdmuK2GR3jzUwk8tpccY2JHQQA-87DLOtJP-ooyU/edit?usp=sharing"",""นราธิวาส!M310"")+IMPORTRANGE(""https://docs.google.com/spreadsheets/d/1SDNX3JhDdYRuIOsj0Wh2M-Qa_eaXl0NbWmh"&amp;"AOTbfQAs/edit?usp=sharing"",""ปัตตานี!M310"")+IMPORTRANGE(""https://docs.google.com/spreadsheets/d/16JDLGguT8s5DsGCND1KcwHP_AWR_zDMTqLHPLJUKhaU/edit?usp=sharing"",""พังงา!M310"")+IMPORTRANGE(""https://docs.google.com/spreadsheets/d/17ht0gPKzzT3PObBL1XJkeR"&amp;"mntBXI7wGjpLV7QorqlTk/edit?usp=sharing"",""พัทลุง!M310"")+IMPORTRANGE(""https://docs.google.com/spreadsheets/d/1rd4qoM1q_hsgaolqNGfrim9gbsoLxQsda4-vOz5x_BM/edit?usp=sharing"",""ภูเก็ต!M310"")+IMPORTRANGE(""https://docs.google.com/spreadsheets/d/1woKwKjgoL"&amp;"ssDvPcPeVyezB5izizAn4X1JDrys69n6xI/edit?usp=sharing"",""ยะลา!M310"")+IMPORTRANGE(""https://docs.google.com/spreadsheets/d/1qfrKjzMhm2HJfxQ-qVlJlJQ25Hne1d0khsySbZyGtPA/edit?usp=sharing"",""ระนอง!M310"")+IMPORTRANGE(""https://docs.google.com/spreadsheets/d/"&amp;"1IbSCnFOKpZsnFogBHJnL_isstZVaOMnFiIN0fGTPZZw/edit?usp=sharing"",""สงขลา!M310"")+IMPORTRANGE(""https://docs.google.com/spreadsheets/d/1q9nWasZJ-K8bFGvbE9n0qSRuKGA4Toe3Y89cKCiVtCU/edit?usp=sharing"",""สตูล!M310"")+IMPORTRANGE(""https://docs.google.com/sprea"&amp;"dsheets/d/18T20gbkS_WBjdscyTOV05cvq_JqvqQ17C81mpxf7Ncs/edit?usp=sharing"",""สุราษฎร์ธานี!M310"")"),0)</f>
        <v>0</v>
      </c>
      <c r="N310" s="47">
        <f ca="1">IFERROR(__xludf.DUMMYFUNCTION("IMPORTRANGE(""https://docs.google.com/spreadsheets/d/1kKUcYdkIfrgTSj8iHHHB2MD2FAtwyyocFgqGQn6ADyI/edit?usp=sharing"",""กระบี่!N310"")+IMPORTRANGE(""https://docs.google.com/spreadsheets/d/1GwtLaSlNZkLk7iDqcyZz22giiy40b_usZZBXYciEN1U/edit?usp=sharing"",""ชุ"&amp;"มพร!N310"")+IMPORTRANGE(""https://docs.google.com/spreadsheets/d/16pAz3pOhQEZBhvFNMa5KGgZS6iKWpsKX0pg6tQmwFpo/edit?usp=sharing"",""ตรัง!N310"")+IMPORTRANGE(""https://docs.google.com/spreadsheets/d/1Dj4jcHCTV9JXKCaMoheSXS52JE63kDKyG7bPXnFogHk/edit?usp=shar"&amp;"ing"",""นครศรีธรรมราช!N310"")+IMPORTRANGE(""https://docs.google.com/spreadsheets/d/1iodCdmuK2GR3jzUwk8tpccY2JHQQA-87DLOtJP-ooyU/edit?usp=sharing"",""นราธิวาส!N310"")+IMPORTRANGE(""https://docs.google.com/spreadsheets/d/1SDNX3JhDdYRuIOsj0Wh2M-Qa_eaXl0NbWmh"&amp;"AOTbfQAs/edit?usp=sharing"",""ปัตตานี!N310"")+IMPORTRANGE(""https://docs.google.com/spreadsheets/d/16JDLGguT8s5DsGCND1KcwHP_AWR_zDMTqLHPLJUKhaU/edit?usp=sharing"",""พังงา!N310"")+IMPORTRANGE(""https://docs.google.com/spreadsheets/d/17ht0gPKzzT3PObBL1XJkeR"&amp;"mntBXI7wGjpLV7QorqlTk/edit?usp=sharing"",""พัทลุง!N310"")+IMPORTRANGE(""https://docs.google.com/spreadsheets/d/1rd4qoM1q_hsgaolqNGfrim9gbsoLxQsda4-vOz5x_BM/edit?usp=sharing"",""ภูเก็ต!N310"")+IMPORTRANGE(""https://docs.google.com/spreadsheets/d/1woKwKjgoL"&amp;"ssDvPcPeVyezB5izizAn4X1JDrys69n6xI/edit?usp=sharing"",""ยะลา!N310"")+IMPORTRANGE(""https://docs.google.com/spreadsheets/d/1qfrKjzMhm2HJfxQ-qVlJlJQ25Hne1d0khsySbZyGtPA/edit?usp=sharing"",""ระนอง!N310"")+IMPORTRANGE(""https://docs.google.com/spreadsheets/d/"&amp;"1IbSCnFOKpZsnFogBHJnL_isstZVaOMnFiIN0fGTPZZw/edit?usp=sharing"",""สงขลา!N310"")+IMPORTRANGE(""https://docs.google.com/spreadsheets/d/1q9nWasZJ-K8bFGvbE9n0qSRuKGA4Toe3Y89cKCiVtCU/edit?usp=sharing"",""สตูล!N310"")+IMPORTRANGE(""https://docs.google.com/sprea"&amp;"dsheets/d/18T20gbkS_WBjdscyTOV05cvq_JqvqQ17C81mpxf7Ncs/edit?usp=sharing"",""สุราษฎร์ธานี!N310"")"),0)</f>
        <v>0</v>
      </c>
      <c r="O310" s="47">
        <f t="shared" ca="1" si="223"/>
        <v>0</v>
      </c>
      <c r="P310" s="47">
        <f t="shared" ca="1" si="224"/>
        <v>0</v>
      </c>
      <c r="Q310" s="47">
        <f ca="1">IFERROR(__xludf.DUMMYFUNCTION("IMPORTRANGE(""https://docs.google.com/spreadsheets/d/1kKUcYdkIfrgTSj8iHHHB2MD2FAtwyyocFgqGQn6ADyI/edit?usp=sharing"",""กระบี่!Q310"")+IMPORTRANGE(""https://docs.google.com/spreadsheets/d/1GwtLaSlNZkLk7iDqcyZz22giiy40b_usZZBXYciEN1U/edit?usp=sharing"",""ชุ"&amp;"มพร!Q310"")+IMPORTRANGE(""https://docs.google.com/spreadsheets/d/16pAz3pOhQEZBhvFNMa5KGgZS6iKWpsKX0pg6tQmwFpo/edit?usp=sharing"",""ตรัง!Q310"")+IMPORTRANGE(""https://docs.google.com/spreadsheets/d/1Dj4jcHCTV9JXKCaMoheSXS52JE63kDKyG7bPXnFogHk/edit?usp=shar"&amp;"ing"",""นครศรีธรรมราช!Q310"")+IMPORTRANGE(""https://docs.google.com/spreadsheets/d/1iodCdmuK2GR3jzUwk8tpccY2JHQQA-87DLOtJP-ooyU/edit?usp=sharing"",""นราธิวาส!Q310"")+IMPORTRANGE(""https://docs.google.com/spreadsheets/d/1SDNX3JhDdYRuIOsj0Wh2M-Qa_eaXl0NbWmh"&amp;"AOTbfQAs/edit?usp=sharing"",""ปัตตานี!Q310"")+IMPORTRANGE(""https://docs.google.com/spreadsheets/d/16JDLGguT8s5DsGCND1KcwHP_AWR_zDMTqLHPLJUKhaU/edit?usp=sharing"",""พังงา!Q310"")+IMPORTRANGE(""https://docs.google.com/spreadsheets/d/17ht0gPKzzT3PObBL1XJkeR"&amp;"mntBXI7wGjpLV7QorqlTk/edit?usp=sharing"",""พัทลุง!Q310"")+IMPORTRANGE(""https://docs.google.com/spreadsheets/d/1rd4qoM1q_hsgaolqNGfrim9gbsoLxQsda4-vOz5x_BM/edit?usp=sharing"",""ภูเก็ต!Q310"")+IMPORTRANGE(""https://docs.google.com/spreadsheets/d/1woKwKjgoL"&amp;"ssDvPcPeVyezB5izizAn4X1JDrys69n6xI/edit?usp=sharing"",""ยะลา!Q310"")+IMPORTRANGE(""https://docs.google.com/spreadsheets/d/1qfrKjzMhm2HJfxQ-qVlJlJQ25Hne1d0khsySbZyGtPA/edit?usp=sharing"",""ระนอง!Q310"")+IMPORTRANGE(""https://docs.google.com/spreadsheets/d/"&amp;"1IbSCnFOKpZsnFogBHJnL_isstZVaOMnFiIN0fGTPZZw/edit?usp=sharing"",""สงขลา!Q310"")+IMPORTRANGE(""https://docs.google.com/spreadsheets/d/1q9nWasZJ-K8bFGvbE9n0qSRuKGA4Toe3Y89cKCiVtCU/edit?usp=sharing"",""สตูล!Q310"")+IMPORTRANGE(""https://docs.google.com/sprea"&amp;"dsheets/d/18T20gbkS_WBjdscyTOV05cvq_JqvqQ17C81mpxf7Ncs/edit?usp=sharing"",""สุราษฎร์ธานี!Q310"")"),0)</f>
        <v>0</v>
      </c>
      <c r="R310" s="47">
        <f ca="1">IFERROR(__xludf.DUMMYFUNCTION("IMPORTRANGE(""https://docs.google.com/spreadsheets/d/1kKUcYdkIfrgTSj8iHHHB2MD2FAtwyyocFgqGQn6ADyI/edit?usp=sharing"",""กระบี่!R310"")+IMPORTRANGE(""https://docs.google.com/spreadsheets/d/1GwtLaSlNZkLk7iDqcyZz22giiy40b_usZZBXYciEN1U/edit?usp=sharing"",""ชุ"&amp;"มพร!R310"")+IMPORTRANGE(""https://docs.google.com/spreadsheets/d/16pAz3pOhQEZBhvFNMa5KGgZS6iKWpsKX0pg6tQmwFpo/edit?usp=sharing"",""ตรัง!R310"")+IMPORTRANGE(""https://docs.google.com/spreadsheets/d/1Dj4jcHCTV9JXKCaMoheSXS52JE63kDKyG7bPXnFogHk/edit?usp=shar"&amp;"ing"",""นครศรีธรรมราช!R310"")+IMPORTRANGE(""https://docs.google.com/spreadsheets/d/1iodCdmuK2GR3jzUwk8tpccY2JHQQA-87DLOtJP-ooyU/edit?usp=sharing"",""นราธิวาส!R310"")+IMPORTRANGE(""https://docs.google.com/spreadsheets/d/1SDNX3JhDdYRuIOsj0Wh2M-Qa_eaXl0NbWmh"&amp;"AOTbfQAs/edit?usp=sharing"",""ปัตตานี!R310"")+IMPORTRANGE(""https://docs.google.com/spreadsheets/d/16JDLGguT8s5DsGCND1KcwHP_AWR_zDMTqLHPLJUKhaU/edit?usp=sharing"",""พังงา!R310"")+IMPORTRANGE(""https://docs.google.com/spreadsheets/d/17ht0gPKzzT3PObBL1XJkeR"&amp;"mntBXI7wGjpLV7QorqlTk/edit?usp=sharing"",""พัทลุง!R310"")+IMPORTRANGE(""https://docs.google.com/spreadsheets/d/1rd4qoM1q_hsgaolqNGfrim9gbsoLxQsda4-vOz5x_BM/edit?usp=sharing"",""ภูเก็ต!R310"")+IMPORTRANGE(""https://docs.google.com/spreadsheets/d/1woKwKjgoL"&amp;"ssDvPcPeVyezB5izizAn4X1JDrys69n6xI/edit?usp=sharing"",""ยะลา!R310"")+IMPORTRANGE(""https://docs.google.com/spreadsheets/d/1qfrKjzMhm2HJfxQ-qVlJlJQ25Hne1d0khsySbZyGtPA/edit?usp=sharing"",""ระนอง!R310"")+IMPORTRANGE(""https://docs.google.com/spreadsheets/d/"&amp;"1IbSCnFOKpZsnFogBHJnL_isstZVaOMnFiIN0fGTPZZw/edit?usp=sharing"",""สงขลา!R310"")+IMPORTRANGE(""https://docs.google.com/spreadsheets/d/1q9nWasZJ-K8bFGvbE9n0qSRuKGA4Toe3Y89cKCiVtCU/edit?usp=sharing"",""สตูล!R310"")+IMPORTRANGE(""https://docs.google.com/sprea"&amp;"dsheets/d/18T20gbkS_WBjdscyTOV05cvq_JqvqQ17C81mpxf7Ncs/edit?usp=sharing"",""สุราษฎร์ธานี!R310"")"),0)</f>
        <v>0</v>
      </c>
      <c r="S310" s="47">
        <f ca="1">IFERROR(__xludf.DUMMYFUNCTION("IMPORTRANGE(""https://docs.google.com/spreadsheets/d/1kKUcYdkIfrgTSj8iHHHB2MD2FAtwyyocFgqGQn6ADyI/edit?usp=sharing"",""กระบี่!S310"")+IMPORTRANGE(""https://docs.google.com/spreadsheets/d/1GwtLaSlNZkLk7iDqcyZz22giiy40b_usZZBXYciEN1U/edit?usp=sharing"",""ชุ"&amp;"มพร!S310"")+IMPORTRANGE(""https://docs.google.com/spreadsheets/d/16pAz3pOhQEZBhvFNMa5KGgZS6iKWpsKX0pg6tQmwFpo/edit?usp=sharing"",""ตรัง!S310"")+IMPORTRANGE(""https://docs.google.com/spreadsheets/d/1Dj4jcHCTV9JXKCaMoheSXS52JE63kDKyG7bPXnFogHk/edit?usp=shar"&amp;"ing"",""นครศรีธรรมราช!S310"")+IMPORTRANGE(""https://docs.google.com/spreadsheets/d/1iodCdmuK2GR3jzUwk8tpccY2JHQQA-87DLOtJP-ooyU/edit?usp=sharing"",""นราธิวาส!S310"")+IMPORTRANGE(""https://docs.google.com/spreadsheets/d/1SDNX3JhDdYRuIOsj0Wh2M-Qa_eaXl0NbWmh"&amp;"AOTbfQAs/edit?usp=sharing"",""ปัตตานี!S310"")+IMPORTRANGE(""https://docs.google.com/spreadsheets/d/16JDLGguT8s5DsGCND1KcwHP_AWR_zDMTqLHPLJUKhaU/edit?usp=sharing"",""พังงา!S310"")+IMPORTRANGE(""https://docs.google.com/spreadsheets/d/17ht0gPKzzT3PObBL1XJkeR"&amp;"mntBXI7wGjpLV7QorqlTk/edit?usp=sharing"",""พัทลุง!S310"")+IMPORTRANGE(""https://docs.google.com/spreadsheets/d/1rd4qoM1q_hsgaolqNGfrim9gbsoLxQsda4-vOz5x_BM/edit?usp=sharing"",""ภูเก็ต!S310"")+IMPORTRANGE(""https://docs.google.com/spreadsheets/d/1woKwKjgoL"&amp;"ssDvPcPeVyezB5izizAn4X1JDrys69n6xI/edit?usp=sharing"",""ยะลา!S310"")+IMPORTRANGE(""https://docs.google.com/spreadsheets/d/1qfrKjzMhm2HJfxQ-qVlJlJQ25Hne1d0khsySbZyGtPA/edit?usp=sharing"",""ระนอง!S310"")+IMPORTRANGE(""https://docs.google.com/spreadsheets/d/"&amp;"1IbSCnFOKpZsnFogBHJnL_isstZVaOMnFiIN0fGTPZZw/edit?usp=sharing"",""สงขลา!S310"")+IMPORTRANGE(""https://docs.google.com/spreadsheets/d/1q9nWasZJ-K8bFGvbE9n0qSRuKGA4Toe3Y89cKCiVtCU/edit?usp=sharing"",""สตูล!S310"")+IMPORTRANGE(""https://docs.google.com/sprea"&amp;"dsheets/d/18T20gbkS_WBjdscyTOV05cvq_JqvqQ17C81mpxf7Ncs/edit?usp=sharing"",""สุราษฎร์ธานี!S310"")"),0)</f>
        <v>0</v>
      </c>
      <c r="T310" s="49">
        <f t="shared" ca="1" si="226"/>
        <v>0</v>
      </c>
      <c r="U310" s="49">
        <f t="shared" ca="1" si="227"/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7">
        <f ca="1">IFERROR(__xludf.DUMMYFUNCTION("IMPORTRANGE(""https://docs.google.com/spreadsheets/d/1kKUcYdkIfrgTSj8iHHHB2MD2FAtwyyocFgqGQn6ADyI/edit?usp=sharing"",""กระบี่!L311"")+IMPORTRANGE(""https://docs.google.com/spreadsheets/d/1GwtLaSlNZkLk7iDqcyZz22giiy40b_usZZBXYciEN1U/edit?usp=sharing"",""ชุ"&amp;"มพร!L311"")+IMPORTRANGE(""https://docs.google.com/spreadsheets/d/16pAz3pOhQEZBhvFNMa5KGgZS6iKWpsKX0pg6tQmwFpo/edit?usp=sharing"",""ตรัง!L311"")+IMPORTRANGE(""https://docs.google.com/spreadsheets/d/1Dj4jcHCTV9JXKCaMoheSXS52JE63kDKyG7bPXnFogHk/edit?usp=shar"&amp;"ing"",""นครศรีธรรมราช!L311"")+IMPORTRANGE(""https://docs.google.com/spreadsheets/d/1iodCdmuK2GR3jzUwk8tpccY2JHQQA-87DLOtJP-ooyU/edit?usp=sharing"",""นราธิวาส!L311"")+IMPORTRANGE(""https://docs.google.com/spreadsheets/d/1SDNX3JhDdYRuIOsj0Wh2M-Qa_eaXl0NbWmh"&amp;"AOTbfQAs/edit?usp=sharing"",""ปัตตานี!L311"")+IMPORTRANGE(""https://docs.google.com/spreadsheets/d/16JDLGguT8s5DsGCND1KcwHP_AWR_zDMTqLHPLJUKhaU/edit?usp=sharing"",""พังงา!L311"")+IMPORTRANGE(""https://docs.google.com/spreadsheets/d/17ht0gPKzzT3PObBL1XJkeR"&amp;"mntBXI7wGjpLV7QorqlTk/edit?usp=sharing"",""พัทลุง!L311"")+IMPORTRANGE(""https://docs.google.com/spreadsheets/d/1rd4qoM1q_hsgaolqNGfrim9gbsoLxQsda4-vOz5x_BM/edit?usp=sharing"",""ภูเก็ต!L311"")+IMPORTRANGE(""https://docs.google.com/spreadsheets/d/1woKwKjgoL"&amp;"ssDvPcPeVyezB5izizAn4X1JDrys69n6xI/edit?usp=sharing"",""ยะลา!L311"")+IMPORTRANGE(""https://docs.google.com/spreadsheets/d/1qfrKjzMhm2HJfxQ-qVlJlJQ25Hne1d0khsySbZyGtPA/edit?usp=sharing"",""ระนอง!L311"")+IMPORTRANGE(""https://docs.google.com/spreadsheets/d/"&amp;"1IbSCnFOKpZsnFogBHJnL_isstZVaOMnFiIN0fGTPZZw/edit?usp=sharing"",""สงขลา!L311"")+IMPORTRANGE(""https://docs.google.com/spreadsheets/d/1q9nWasZJ-K8bFGvbE9n0qSRuKGA4Toe3Y89cKCiVtCU/edit?usp=sharing"",""สตูล!L311"")+IMPORTRANGE(""https://docs.google.com/sprea"&amp;"dsheets/d/18T20gbkS_WBjdscyTOV05cvq_JqvqQ17C81mpxf7Ncs/edit?usp=sharing"",""สุราษฎร์ธานี!L311"")"),0)</f>
        <v>0</v>
      </c>
      <c r="M311" s="47">
        <f ca="1">IFERROR(__xludf.DUMMYFUNCTION("IMPORTRANGE(""https://docs.google.com/spreadsheets/d/1kKUcYdkIfrgTSj8iHHHB2MD2FAtwyyocFgqGQn6ADyI/edit?usp=sharing"",""กระบี่!M311"")+IMPORTRANGE(""https://docs.google.com/spreadsheets/d/1GwtLaSlNZkLk7iDqcyZz22giiy40b_usZZBXYciEN1U/edit?usp=sharing"",""ชุ"&amp;"มพร!M311"")+IMPORTRANGE(""https://docs.google.com/spreadsheets/d/16pAz3pOhQEZBhvFNMa5KGgZS6iKWpsKX0pg6tQmwFpo/edit?usp=sharing"",""ตรัง!M311"")+IMPORTRANGE(""https://docs.google.com/spreadsheets/d/1Dj4jcHCTV9JXKCaMoheSXS52JE63kDKyG7bPXnFogHk/edit?usp=shar"&amp;"ing"",""นครศรีธรรมราช!M311"")+IMPORTRANGE(""https://docs.google.com/spreadsheets/d/1iodCdmuK2GR3jzUwk8tpccY2JHQQA-87DLOtJP-ooyU/edit?usp=sharing"",""นราธิวาส!M311"")+IMPORTRANGE(""https://docs.google.com/spreadsheets/d/1SDNX3JhDdYRuIOsj0Wh2M-Qa_eaXl0NbWmh"&amp;"AOTbfQAs/edit?usp=sharing"",""ปัตตานี!M311"")+IMPORTRANGE(""https://docs.google.com/spreadsheets/d/16JDLGguT8s5DsGCND1KcwHP_AWR_zDMTqLHPLJUKhaU/edit?usp=sharing"",""พังงา!M311"")+IMPORTRANGE(""https://docs.google.com/spreadsheets/d/17ht0gPKzzT3PObBL1XJkeR"&amp;"mntBXI7wGjpLV7QorqlTk/edit?usp=sharing"",""พัทลุง!M311"")+IMPORTRANGE(""https://docs.google.com/spreadsheets/d/1rd4qoM1q_hsgaolqNGfrim9gbsoLxQsda4-vOz5x_BM/edit?usp=sharing"",""ภูเก็ต!M311"")+IMPORTRANGE(""https://docs.google.com/spreadsheets/d/1woKwKjgoL"&amp;"ssDvPcPeVyezB5izizAn4X1JDrys69n6xI/edit?usp=sharing"",""ยะลา!M311"")+IMPORTRANGE(""https://docs.google.com/spreadsheets/d/1qfrKjzMhm2HJfxQ-qVlJlJQ25Hne1d0khsySbZyGtPA/edit?usp=sharing"",""ระนอง!M311"")+IMPORTRANGE(""https://docs.google.com/spreadsheets/d/"&amp;"1IbSCnFOKpZsnFogBHJnL_isstZVaOMnFiIN0fGTPZZw/edit?usp=sharing"",""สงขลา!M311"")+IMPORTRANGE(""https://docs.google.com/spreadsheets/d/1q9nWasZJ-K8bFGvbE9n0qSRuKGA4Toe3Y89cKCiVtCU/edit?usp=sharing"",""สตูล!M311"")+IMPORTRANGE(""https://docs.google.com/sprea"&amp;"dsheets/d/18T20gbkS_WBjdscyTOV05cvq_JqvqQ17C81mpxf7Ncs/edit?usp=sharing"",""สุราษฎร์ธานี!M311"")"),0)</f>
        <v>0</v>
      </c>
      <c r="N311" s="47">
        <f ca="1">IFERROR(__xludf.DUMMYFUNCTION("IMPORTRANGE(""https://docs.google.com/spreadsheets/d/1kKUcYdkIfrgTSj8iHHHB2MD2FAtwyyocFgqGQn6ADyI/edit?usp=sharing"",""กระบี่!N311"")+IMPORTRANGE(""https://docs.google.com/spreadsheets/d/1GwtLaSlNZkLk7iDqcyZz22giiy40b_usZZBXYciEN1U/edit?usp=sharing"",""ชุ"&amp;"มพร!N311"")+IMPORTRANGE(""https://docs.google.com/spreadsheets/d/16pAz3pOhQEZBhvFNMa5KGgZS6iKWpsKX0pg6tQmwFpo/edit?usp=sharing"",""ตรัง!N311"")+IMPORTRANGE(""https://docs.google.com/spreadsheets/d/1Dj4jcHCTV9JXKCaMoheSXS52JE63kDKyG7bPXnFogHk/edit?usp=shar"&amp;"ing"",""นครศรีธรรมราช!N311"")+IMPORTRANGE(""https://docs.google.com/spreadsheets/d/1iodCdmuK2GR3jzUwk8tpccY2JHQQA-87DLOtJP-ooyU/edit?usp=sharing"",""นราธิวาส!N311"")+IMPORTRANGE(""https://docs.google.com/spreadsheets/d/1SDNX3JhDdYRuIOsj0Wh2M-Qa_eaXl0NbWmh"&amp;"AOTbfQAs/edit?usp=sharing"",""ปัตตานี!N311"")+IMPORTRANGE(""https://docs.google.com/spreadsheets/d/16JDLGguT8s5DsGCND1KcwHP_AWR_zDMTqLHPLJUKhaU/edit?usp=sharing"",""พังงา!N311"")+IMPORTRANGE(""https://docs.google.com/spreadsheets/d/17ht0gPKzzT3PObBL1XJkeR"&amp;"mntBXI7wGjpLV7QorqlTk/edit?usp=sharing"",""พัทลุง!N311"")+IMPORTRANGE(""https://docs.google.com/spreadsheets/d/1rd4qoM1q_hsgaolqNGfrim9gbsoLxQsda4-vOz5x_BM/edit?usp=sharing"",""ภูเก็ต!N311"")+IMPORTRANGE(""https://docs.google.com/spreadsheets/d/1woKwKjgoL"&amp;"ssDvPcPeVyezB5izizAn4X1JDrys69n6xI/edit?usp=sharing"",""ยะลา!N311"")+IMPORTRANGE(""https://docs.google.com/spreadsheets/d/1qfrKjzMhm2HJfxQ-qVlJlJQ25Hne1d0khsySbZyGtPA/edit?usp=sharing"",""ระนอง!N311"")+IMPORTRANGE(""https://docs.google.com/spreadsheets/d/"&amp;"1IbSCnFOKpZsnFogBHJnL_isstZVaOMnFiIN0fGTPZZw/edit?usp=sharing"",""สงขลา!N311"")+IMPORTRANGE(""https://docs.google.com/spreadsheets/d/1q9nWasZJ-K8bFGvbE9n0qSRuKGA4Toe3Y89cKCiVtCU/edit?usp=sharing"",""สตูล!N311"")+IMPORTRANGE(""https://docs.google.com/sprea"&amp;"dsheets/d/18T20gbkS_WBjdscyTOV05cvq_JqvqQ17C81mpxf7Ncs/edit?usp=sharing"",""สุราษฎร์ธานี!N311"")"),0)</f>
        <v>0</v>
      </c>
      <c r="O311" s="47">
        <f t="shared" ca="1" si="223"/>
        <v>0</v>
      </c>
      <c r="P311" s="47">
        <f t="shared" ca="1" si="224"/>
        <v>0</v>
      </c>
      <c r="Q311" s="47">
        <f ca="1">IFERROR(__xludf.DUMMYFUNCTION("IMPORTRANGE(""https://docs.google.com/spreadsheets/d/1kKUcYdkIfrgTSj8iHHHB2MD2FAtwyyocFgqGQn6ADyI/edit?usp=sharing"",""กระบี่!Q311"")+IMPORTRANGE(""https://docs.google.com/spreadsheets/d/1GwtLaSlNZkLk7iDqcyZz22giiy40b_usZZBXYciEN1U/edit?usp=sharing"",""ชุ"&amp;"มพร!Q311"")+IMPORTRANGE(""https://docs.google.com/spreadsheets/d/16pAz3pOhQEZBhvFNMa5KGgZS6iKWpsKX0pg6tQmwFpo/edit?usp=sharing"",""ตรัง!Q311"")+IMPORTRANGE(""https://docs.google.com/spreadsheets/d/1Dj4jcHCTV9JXKCaMoheSXS52JE63kDKyG7bPXnFogHk/edit?usp=shar"&amp;"ing"",""นครศรีธรรมราช!Q311"")+IMPORTRANGE(""https://docs.google.com/spreadsheets/d/1iodCdmuK2GR3jzUwk8tpccY2JHQQA-87DLOtJP-ooyU/edit?usp=sharing"",""นราธิวาส!Q311"")+IMPORTRANGE(""https://docs.google.com/spreadsheets/d/1SDNX3JhDdYRuIOsj0Wh2M-Qa_eaXl0NbWmh"&amp;"AOTbfQAs/edit?usp=sharing"",""ปัตตานี!Q311"")+IMPORTRANGE(""https://docs.google.com/spreadsheets/d/16JDLGguT8s5DsGCND1KcwHP_AWR_zDMTqLHPLJUKhaU/edit?usp=sharing"",""พังงา!Q311"")+IMPORTRANGE(""https://docs.google.com/spreadsheets/d/17ht0gPKzzT3PObBL1XJkeR"&amp;"mntBXI7wGjpLV7QorqlTk/edit?usp=sharing"",""พัทลุง!Q311"")+IMPORTRANGE(""https://docs.google.com/spreadsheets/d/1rd4qoM1q_hsgaolqNGfrim9gbsoLxQsda4-vOz5x_BM/edit?usp=sharing"",""ภูเก็ต!Q311"")+IMPORTRANGE(""https://docs.google.com/spreadsheets/d/1woKwKjgoL"&amp;"ssDvPcPeVyezB5izizAn4X1JDrys69n6xI/edit?usp=sharing"",""ยะลา!Q311"")+IMPORTRANGE(""https://docs.google.com/spreadsheets/d/1qfrKjzMhm2HJfxQ-qVlJlJQ25Hne1d0khsySbZyGtPA/edit?usp=sharing"",""ระนอง!Q311"")+IMPORTRANGE(""https://docs.google.com/spreadsheets/d/"&amp;"1IbSCnFOKpZsnFogBHJnL_isstZVaOMnFiIN0fGTPZZw/edit?usp=sharing"",""สงขลา!Q311"")+IMPORTRANGE(""https://docs.google.com/spreadsheets/d/1q9nWasZJ-K8bFGvbE9n0qSRuKGA4Toe3Y89cKCiVtCU/edit?usp=sharing"",""สตูล!Q311"")+IMPORTRANGE(""https://docs.google.com/sprea"&amp;"dsheets/d/18T20gbkS_WBjdscyTOV05cvq_JqvqQ17C81mpxf7Ncs/edit?usp=sharing"",""สุราษฎร์ธานี!Q311"")"),0)</f>
        <v>0</v>
      </c>
      <c r="R311" s="47">
        <f ca="1">IFERROR(__xludf.DUMMYFUNCTION("IMPORTRANGE(""https://docs.google.com/spreadsheets/d/1kKUcYdkIfrgTSj8iHHHB2MD2FAtwyyocFgqGQn6ADyI/edit?usp=sharing"",""กระบี่!R311"")+IMPORTRANGE(""https://docs.google.com/spreadsheets/d/1GwtLaSlNZkLk7iDqcyZz22giiy40b_usZZBXYciEN1U/edit?usp=sharing"",""ชุ"&amp;"มพร!R311"")+IMPORTRANGE(""https://docs.google.com/spreadsheets/d/16pAz3pOhQEZBhvFNMa5KGgZS6iKWpsKX0pg6tQmwFpo/edit?usp=sharing"",""ตรัง!R311"")+IMPORTRANGE(""https://docs.google.com/spreadsheets/d/1Dj4jcHCTV9JXKCaMoheSXS52JE63kDKyG7bPXnFogHk/edit?usp=shar"&amp;"ing"",""นครศรีธรรมราช!R311"")+IMPORTRANGE(""https://docs.google.com/spreadsheets/d/1iodCdmuK2GR3jzUwk8tpccY2JHQQA-87DLOtJP-ooyU/edit?usp=sharing"",""นราธิวาส!R311"")+IMPORTRANGE(""https://docs.google.com/spreadsheets/d/1SDNX3JhDdYRuIOsj0Wh2M-Qa_eaXl0NbWmh"&amp;"AOTbfQAs/edit?usp=sharing"",""ปัตตานี!R311"")+IMPORTRANGE(""https://docs.google.com/spreadsheets/d/16JDLGguT8s5DsGCND1KcwHP_AWR_zDMTqLHPLJUKhaU/edit?usp=sharing"",""พังงา!R311"")+IMPORTRANGE(""https://docs.google.com/spreadsheets/d/17ht0gPKzzT3PObBL1XJkeR"&amp;"mntBXI7wGjpLV7QorqlTk/edit?usp=sharing"",""พัทลุง!R311"")+IMPORTRANGE(""https://docs.google.com/spreadsheets/d/1rd4qoM1q_hsgaolqNGfrim9gbsoLxQsda4-vOz5x_BM/edit?usp=sharing"",""ภูเก็ต!R311"")+IMPORTRANGE(""https://docs.google.com/spreadsheets/d/1woKwKjgoL"&amp;"ssDvPcPeVyezB5izizAn4X1JDrys69n6xI/edit?usp=sharing"",""ยะลา!R311"")+IMPORTRANGE(""https://docs.google.com/spreadsheets/d/1qfrKjzMhm2HJfxQ-qVlJlJQ25Hne1d0khsySbZyGtPA/edit?usp=sharing"",""ระนอง!R311"")+IMPORTRANGE(""https://docs.google.com/spreadsheets/d/"&amp;"1IbSCnFOKpZsnFogBHJnL_isstZVaOMnFiIN0fGTPZZw/edit?usp=sharing"",""สงขลา!R311"")+IMPORTRANGE(""https://docs.google.com/spreadsheets/d/1q9nWasZJ-K8bFGvbE9n0qSRuKGA4Toe3Y89cKCiVtCU/edit?usp=sharing"",""สตูล!R311"")+IMPORTRANGE(""https://docs.google.com/sprea"&amp;"dsheets/d/18T20gbkS_WBjdscyTOV05cvq_JqvqQ17C81mpxf7Ncs/edit?usp=sharing"",""สุราษฎร์ธานี!R311"")"),0)</f>
        <v>0</v>
      </c>
      <c r="S311" s="47">
        <f ca="1">IFERROR(__xludf.DUMMYFUNCTION("IMPORTRANGE(""https://docs.google.com/spreadsheets/d/1kKUcYdkIfrgTSj8iHHHB2MD2FAtwyyocFgqGQn6ADyI/edit?usp=sharing"",""กระบี่!S311"")+IMPORTRANGE(""https://docs.google.com/spreadsheets/d/1GwtLaSlNZkLk7iDqcyZz22giiy40b_usZZBXYciEN1U/edit?usp=sharing"",""ชุ"&amp;"มพร!S311"")+IMPORTRANGE(""https://docs.google.com/spreadsheets/d/16pAz3pOhQEZBhvFNMa5KGgZS6iKWpsKX0pg6tQmwFpo/edit?usp=sharing"",""ตรัง!S311"")+IMPORTRANGE(""https://docs.google.com/spreadsheets/d/1Dj4jcHCTV9JXKCaMoheSXS52JE63kDKyG7bPXnFogHk/edit?usp=shar"&amp;"ing"",""นครศรีธรรมราช!S311"")+IMPORTRANGE(""https://docs.google.com/spreadsheets/d/1iodCdmuK2GR3jzUwk8tpccY2JHQQA-87DLOtJP-ooyU/edit?usp=sharing"",""นราธิวาส!S311"")+IMPORTRANGE(""https://docs.google.com/spreadsheets/d/1SDNX3JhDdYRuIOsj0Wh2M-Qa_eaXl0NbWmh"&amp;"AOTbfQAs/edit?usp=sharing"",""ปัตตานี!S311"")+IMPORTRANGE(""https://docs.google.com/spreadsheets/d/16JDLGguT8s5DsGCND1KcwHP_AWR_zDMTqLHPLJUKhaU/edit?usp=sharing"",""พังงา!S311"")+IMPORTRANGE(""https://docs.google.com/spreadsheets/d/17ht0gPKzzT3PObBL1XJkeR"&amp;"mntBXI7wGjpLV7QorqlTk/edit?usp=sharing"",""พัทลุง!S311"")+IMPORTRANGE(""https://docs.google.com/spreadsheets/d/1rd4qoM1q_hsgaolqNGfrim9gbsoLxQsda4-vOz5x_BM/edit?usp=sharing"",""ภูเก็ต!S311"")+IMPORTRANGE(""https://docs.google.com/spreadsheets/d/1woKwKjgoL"&amp;"ssDvPcPeVyezB5izizAn4X1JDrys69n6xI/edit?usp=sharing"",""ยะลา!S311"")+IMPORTRANGE(""https://docs.google.com/spreadsheets/d/1qfrKjzMhm2HJfxQ-qVlJlJQ25Hne1d0khsySbZyGtPA/edit?usp=sharing"",""ระนอง!S311"")+IMPORTRANGE(""https://docs.google.com/spreadsheets/d/"&amp;"1IbSCnFOKpZsnFogBHJnL_isstZVaOMnFiIN0fGTPZZw/edit?usp=sharing"",""สงขลา!S311"")+IMPORTRANGE(""https://docs.google.com/spreadsheets/d/1q9nWasZJ-K8bFGvbE9n0qSRuKGA4Toe3Y89cKCiVtCU/edit?usp=sharing"",""สตูล!S311"")+IMPORTRANGE(""https://docs.google.com/sprea"&amp;"dsheets/d/18T20gbkS_WBjdscyTOV05cvq_JqvqQ17C81mpxf7Ncs/edit?usp=sharing"",""สุราษฎร์ธานี!S311"")"),0)</f>
        <v>0</v>
      </c>
      <c r="T311" s="47">
        <f t="shared" ca="1" si="226"/>
        <v>0</v>
      </c>
      <c r="U311" s="47">
        <f t="shared" ca="1" si="227"/>
        <v>0</v>
      </c>
    </row>
    <row r="312" spans="1:21" ht="19.5" x14ac:dyDescent="0.3">
      <c r="A312" s="138"/>
      <c r="B312" s="139"/>
      <c r="C312" s="129" t="s">
        <v>18</v>
      </c>
      <c r="D312" s="140" t="s">
        <v>38</v>
      </c>
      <c r="E312" s="141"/>
      <c r="F312" s="141"/>
      <c r="G312" s="142"/>
      <c r="H312" s="143"/>
      <c r="I312" s="45"/>
      <c r="J312" s="45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x14ac:dyDescent="0.25">
      <c r="A313" s="138"/>
      <c r="B313" s="139"/>
      <c r="C313" s="139"/>
      <c r="D313" s="149" t="s">
        <v>128</v>
      </c>
      <c r="E313" s="145"/>
      <c r="F313" s="145"/>
      <c r="G313" s="143"/>
      <c r="H313" s="143"/>
      <c r="I313" s="45"/>
      <c r="J313" s="152">
        <f ca="1">IFERROR(__xludf.DUMMYFUNCTION("IMPORTRANGE(""https://docs.google.com/spreadsheets/d/1kKUcYdkIfrgTSj8iHHHB2MD2FAtwyyocFgqGQn6ADyI/edit?usp=sharing"",""กระบี่!J313"")+IMPORTRANGE(""https://docs.google.com/spreadsheets/d/1GwtLaSlNZkLk7iDqcyZz22giiy40b_usZZBXYciEN1U/edit?usp=sharing"",""ชุ"&amp;"มพร!J313"")+IMPORTRANGE(""https://docs.google.com/spreadsheets/d/16pAz3pOhQEZBhvFNMa5KGgZS6iKWpsKX0pg6tQmwFpo/edit?usp=sharing"",""ตรัง!J313"")+IMPORTRANGE(""https://docs.google.com/spreadsheets/d/1Dj4jcHCTV9JXKCaMoheSXS52JE63kDKyG7bPXnFogHk/edit?usp=shar"&amp;"ing"",""นครศรีธรรมราช!J313"")+IMPORTRANGE(""https://docs.google.com/spreadsheets/d/1iodCdmuK2GR3jzUwk8tpccY2JHQQA-87DLOtJP-ooyU/edit?usp=sharing"",""นราธิวาส!J313"")+IMPORTRANGE(""https://docs.google.com/spreadsheets/d/1SDNX3JhDdYRuIOsj0Wh2M-Qa_eaXl0NbWmh"&amp;"AOTbfQAs/edit?usp=sharing"",""ปัตตานี!J313"")+IMPORTRANGE(""https://docs.google.com/spreadsheets/d/16JDLGguT8s5DsGCND1KcwHP_AWR_zDMTqLHPLJUKhaU/edit?usp=sharing"",""พังงา!J313"")+IMPORTRANGE(""https://docs.google.com/spreadsheets/d/17ht0gPKzzT3PObBL1XJkeR"&amp;"mntBXI7wGjpLV7QorqlTk/edit?usp=sharing"",""พัทลุง!J313"")+IMPORTRANGE(""https://docs.google.com/spreadsheets/d/1rd4qoM1q_hsgaolqNGfrim9gbsoLxQsda4-vOz5x_BM/edit?usp=sharing"",""ภูเก็ต!J313"")+IMPORTRANGE(""https://docs.google.com/spreadsheets/d/1woKwKjgoL"&amp;"ssDvPcPeVyezB5izizAn4X1JDrys69n6xI/edit?usp=sharing"",""ยะลา!J313"")+IMPORTRANGE(""https://docs.google.com/spreadsheets/d/1qfrKjzMhm2HJfxQ-qVlJlJQ25Hne1d0khsySbZyGtPA/edit?usp=sharing"",""ระนอง!J313"")+IMPORTRANGE(""https://docs.google.com/spreadsheets/d/"&amp;"1IbSCnFOKpZsnFogBHJnL_isstZVaOMnFiIN0fGTPZZw/edit?usp=sharing"",""สงขลา!J313"")+IMPORTRANGE(""https://docs.google.com/spreadsheets/d/1q9nWasZJ-K8bFGvbE9n0qSRuKGA4Toe3Y89cKCiVtCU/edit?usp=sharing"",""สตูล!J313"")+IMPORTRANGE(""https://docs.google.com/sprea"&amp;"dsheets/d/18T20gbkS_WBjdscyTOV05cvq_JqvqQ17C81mpxf7Ncs/edit?usp=sharing"",""สุราษฎร์ธานี!J313"")"),0)</f>
        <v>0</v>
      </c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kKUcYdkIfrgTSj8iHHHB2MD2FAtwyyocFgqGQn6ADyI/edit?usp=sharing"",""กระบี่!I314"")+IMPORTRANGE(""https://docs.google.com/spreadsheets/d/1GwtLaSlNZkLk7iDqcyZz22giiy40b_usZZBXYciEN1U/edit?usp=sharing"",""ชุ"&amp;"มพร!I314"")+IMPORTRANGE(""https://docs.google.com/spreadsheets/d/16pAz3pOhQEZBhvFNMa5KGgZS6iKWpsKX0pg6tQmwFpo/edit?usp=sharing"",""ตรัง!I314"")+IMPORTRANGE(""https://docs.google.com/spreadsheets/d/1Dj4jcHCTV9JXKCaMoheSXS52JE63kDKyG7bPXnFogHk/edit?usp=shar"&amp;"ing"",""นครศรีธรรมราช!I314"")+IMPORTRANGE(""https://docs.google.com/spreadsheets/d/1iodCdmuK2GR3jzUwk8tpccY2JHQQA-87DLOtJP-ooyU/edit?usp=sharing"",""นราธิวาส!I314"")+IMPORTRANGE(""https://docs.google.com/spreadsheets/d/1SDNX3JhDdYRuIOsj0Wh2M-Qa_eaXl0NbWmh"&amp;"AOTbfQAs/edit?usp=sharing"",""ปัตตานี!I314"")+IMPORTRANGE(""https://docs.google.com/spreadsheets/d/16JDLGguT8s5DsGCND1KcwHP_AWR_zDMTqLHPLJUKhaU/edit?usp=sharing"",""พังงา!I314"")+IMPORTRANGE(""https://docs.google.com/spreadsheets/d/17ht0gPKzzT3PObBL1XJkeR"&amp;"mntBXI7wGjpLV7QorqlTk/edit?usp=sharing"",""พัทลุง!I314"")+IMPORTRANGE(""https://docs.google.com/spreadsheets/d/1rd4qoM1q_hsgaolqNGfrim9gbsoLxQsda4-vOz5x_BM/edit?usp=sharing"",""ภูเก็ต!I314"")+IMPORTRANGE(""https://docs.google.com/spreadsheets/d/1woKwKjgoL"&amp;"ssDvPcPeVyezB5izizAn4X1JDrys69n6xI/edit?usp=sharing"",""ยะลา!I314"")+IMPORTRANGE(""https://docs.google.com/spreadsheets/d/1qfrKjzMhm2HJfxQ-qVlJlJQ25Hne1d0khsySbZyGtPA/edit?usp=sharing"",""ระนอง!I314"")+IMPORTRANGE(""https://docs.google.com/spreadsheets/d/"&amp;"1IbSCnFOKpZsnFogBHJnL_isstZVaOMnFiIN0fGTPZZw/edit?usp=sharing"",""สงขลา!I314"")+IMPORTRANGE(""https://docs.google.com/spreadsheets/d/1q9nWasZJ-K8bFGvbE9n0qSRuKGA4Toe3Y89cKCiVtCU/edit?usp=sharing"",""สตูล!I314"")+IMPORTRANGE(""https://docs.google.com/sprea"&amp;"dsheets/d/18T20gbkS_WBjdscyTOV05cvq_JqvqQ17C81mpxf7Ncs/edit?usp=sharing"",""สุราษฎร์ธานี!I314"")"),235)</f>
        <v>235</v>
      </c>
      <c r="J314" s="152">
        <f ca="1">IFERROR(__xludf.DUMMYFUNCTION("IMPORTRANGE(""https://docs.google.com/spreadsheets/d/1kKUcYdkIfrgTSj8iHHHB2MD2FAtwyyocFgqGQn6ADyI/edit?usp=sharing"",""กระบี่!J314"")+IMPORTRANGE(""https://docs.google.com/spreadsheets/d/1GwtLaSlNZkLk7iDqcyZz22giiy40b_usZZBXYciEN1U/edit?usp=sharing"",""ชุ"&amp;"มพร!J314"")+IMPORTRANGE(""https://docs.google.com/spreadsheets/d/16pAz3pOhQEZBhvFNMa5KGgZS6iKWpsKX0pg6tQmwFpo/edit?usp=sharing"",""ตรัง!J314"")+IMPORTRANGE(""https://docs.google.com/spreadsheets/d/1Dj4jcHCTV9JXKCaMoheSXS52JE63kDKyG7bPXnFogHk/edit?usp=shar"&amp;"ing"",""นครศรีธรรมราช!J314"")+IMPORTRANGE(""https://docs.google.com/spreadsheets/d/1iodCdmuK2GR3jzUwk8tpccY2JHQQA-87DLOtJP-ooyU/edit?usp=sharing"",""นราธิวาส!J314"")+IMPORTRANGE(""https://docs.google.com/spreadsheets/d/1SDNX3JhDdYRuIOsj0Wh2M-Qa_eaXl0NbWmh"&amp;"AOTbfQAs/edit?usp=sharing"",""ปัตตานี!J314"")+IMPORTRANGE(""https://docs.google.com/spreadsheets/d/16JDLGguT8s5DsGCND1KcwHP_AWR_zDMTqLHPLJUKhaU/edit?usp=sharing"",""พังงา!J314"")+IMPORTRANGE(""https://docs.google.com/spreadsheets/d/17ht0gPKzzT3PObBL1XJkeR"&amp;"mntBXI7wGjpLV7QorqlTk/edit?usp=sharing"",""พัทลุง!J314"")+IMPORTRANGE(""https://docs.google.com/spreadsheets/d/1rd4qoM1q_hsgaolqNGfrim9gbsoLxQsda4-vOz5x_BM/edit?usp=sharing"",""ภูเก็ต!J314"")+IMPORTRANGE(""https://docs.google.com/spreadsheets/d/1woKwKjgoL"&amp;"ssDvPcPeVyezB5izizAn4X1JDrys69n6xI/edit?usp=sharing"",""ยะลา!J314"")+IMPORTRANGE(""https://docs.google.com/spreadsheets/d/1qfrKjzMhm2HJfxQ-qVlJlJQ25Hne1d0khsySbZyGtPA/edit?usp=sharing"",""ระนอง!J314"")+IMPORTRANGE(""https://docs.google.com/spreadsheets/d/"&amp;"1IbSCnFOKpZsnFogBHJnL_isstZVaOMnFiIN0fGTPZZw/edit?usp=sharing"",""สงขลา!J314"")+IMPORTRANGE(""https://docs.google.com/spreadsheets/d/1q9nWasZJ-K8bFGvbE9n0qSRuKGA4Toe3Y89cKCiVtCU/edit?usp=sharing"",""สตูล!J314"")+IMPORTRANGE(""https://docs.google.com/sprea"&amp;"dsheets/d/18T20gbkS_WBjdscyTOV05cvq_JqvqQ17C81mpxf7Ncs/edit?usp=sharing"",""สุราษฎร์ธานี!J314"")"),50)</f>
        <v>50</v>
      </c>
      <c r="K314" s="47">
        <f t="shared" ref="K314:K317" ca="1" si="236">IF(I314&gt;0,J314*100/I314,0)</f>
        <v>21.276595744680851</v>
      </c>
      <c r="L314" s="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x14ac:dyDescent="0.25">
      <c r="A315" s="138"/>
      <c r="B315" s="139"/>
      <c r="C315" s="139"/>
      <c r="D315" s="149" t="s">
        <v>129</v>
      </c>
      <c r="E315" s="145"/>
      <c r="F315" s="145"/>
      <c r="G315" s="143"/>
      <c r="H315" s="150" t="s">
        <v>35</v>
      </c>
      <c r="I315" s="152">
        <f ca="1">IFERROR(__xludf.DUMMYFUNCTION("IMPORTRANGE(""https://docs.google.com/spreadsheets/d/1kKUcYdkIfrgTSj8iHHHB2MD2FAtwyyocFgqGQn6ADyI/edit?usp=sharing"",""กระบี่!I315"")+IMPORTRANGE(""https://docs.google.com/spreadsheets/d/1GwtLaSlNZkLk7iDqcyZz22giiy40b_usZZBXYciEN1U/edit?usp=sharing"",""ชุ"&amp;"มพร!I315"")+IMPORTRANGE(""https://docs.google.com/spreadsheets/d/16pAz3pOhQEZBhvFNMa5KGgZS6iKWpsKX0pg6tQmwFpo/edit?usp=sharing"",""ตรัง!I315"")+IMPORTRANGE(""https://docs.google.com/spreadsheets/d/1Dj4jcHCTV9JXKCaMoheSXS52JE63kDKyG7bPXnFogHk/edit?usp=shar"&amp;"ing"",""นครศรีธรรมราช!I315"")+IMPORTRANGE(""https://docs.google.com/spreadsheets/d/1iodCdmuK2GR3jzUwk8tpccY2JHQQA-87DLOtJP-ooyU/edit?usp=sharing"",""นราธิวาส!I315"")+IMPORTRANGE(""https://docs.google.com/spreadsheets/d/1SDNX3JhDdYRuIOsj0Wh2M-Qa_eaXl0NbWmh"&amp;"AOTbfQAs/edit?usp=sharing"",""ปัตตานี!I315"")+IMPORTRANGE(""https://docs.google.com/spreadsheets/d/16JDLGguT8s5DsGCND1KcwHP_AWR_zDMTqLHPLJUKhaU/edit?usp=sharing"",""พังงา!I315"")+IMPORTRANGE(""https://docs.google.com/spreadsheets/d/17ht0gPKzzT3PObBL1XJkeR"&amp;"mntBXI7wGjpLV7QorqlTk/edit?usp=sharing"",""พัทลุง!I315"")+IMPORTRANGE(""https://docs.google.com/spreadsheets/d/1rd4qoM1q_hsgaolqNGfrim9gbsoLxQsda4-vOz5x_BM/edit?usp=sharing"",""ภูเก็ต!I315"")+IMPORTRANGE(""https://docs.google.com/spreadsheets/d/1woKwKjgoL"&amp;"ssDvPcPeVyezB5izizAn4X1JDrys69n6xI/edit?usp=sharing"",""ยะลา!I315"")+IMPORTRANGE(""https://docs.google.com/spreadsheets/d/1qfrKjzMhm2HJfxQ-qVlJlJQ25Hne1d0khsySbZyGtPA/edit?usp=sharing"",""ระนอง!I315"")+IMPORTRANGE(""https://docs.google.com/spreadsheets/d/"&amp;"1IbSCnFOKpZsnFogBHJnL_isstZVaOMnFiIN0fGTPZZw/edit?usp=sharing"",""สงขลา!I315"")+IMPORTRANGE(""https://docs.google.com/spreadsheets/d/1q9nWasZJ-K8bFGvbE9n0qSRuKGA4Toe3Y89cKCiVtCU/edit?usp=sharing"",""สตูล!I315"")+IMPORTRANGE(""https://docs.google.com/sprea"&amp;"dsheets/d/18T20gbkS_WBjdscyTOV05cvq_JqvqQ17C81mpxf7Ncs/edit?usp=sharing"",""สุราษฎร์ธานี!I315"")"),0)</f>
        <v>0</v>
      </c>
      <c r="J315" s="152">
        <f ca="1">IFERROR(__xludf.DUMMYFUNCTION("IMPORTRANGE(""https://docs.google.com/spreadsheets/d/1kKUcYdkIfrgTSj8iHHHB2MD2FAtwyyocFgqGQn6ADyI/edit?usp=sharing"",""กระบี่!J315"")+IMPORTRANGE(""https://docs.google.com/spreadsheets/d/1GwtLaSlNZkLk7iDqcyZz22giiy40b_usZZBXYciEN1U/edit?usp=sharing"",""ชุ"&amp;"มพร!J315"")+IMPORTRANGE(""https://docs.google.com/spreadsheets/d/16pAz3pOhQEZBhvFNMa5KGgZS6iKWpsKX0pg6tQmwFpo/edit?usp=sharing"",""ตรัง!J315"")+IMPORTRANGE(""https://docs.google.com/spreadsheets/d/1Dj4jcHCTV9JXKCaMoheSXS52JE63kDKyG7bPXnFogHk/edit?usp=shar"&amp;"ing"",""นครศรีธรรมราช!J315"")+IMPORTRANGE(""https://docs.google.com/spreadsheets/d/1iodCdmuK2GR3jzUwk8tpccY2JHQQA-87DLOtJP-ooyU/edit?usp=sharing"",""นราธิวาส!J315"")+IMPORTRANGE(""https://docs.google.com/spreadsheets/d/1SDNX3JhDdYRuIOsj0Wh2M-Qa_eaXl0NbWmh"&amp;"AOTbfQAs/edit?usp=sharing"",""ปัตตานี!J315"")+IMPORTRANGE(""https://docs.google.com/spreadsheets/d/16JDLGguT8s5DsGCND1KcwHP_AWR_zDMTqLHPLJUKhaU/edit?usp=sharing"",""พังงา!J315"")+IMPORTRANGE(""https://docs.google.com/spreadsheets/d/17ht0gPKzzT3PObBL1XJkeR"&amp;"mntBXI7wGjpLV7QorqlTk/edit?usp=sharing"",""พัทลุง!J315"")+IMPORTRANGE(""https://docs.google.com/spreadsheets/d/1rd4qoM1q_hsgaolqNGfrim9gbsoLxQsda4-vOz5x_BM/edit?usp=sharing"",""ภูเก็ต!J315"")+IMPORTRANGE(""https://docs.google.com/spreadsheets/d/1woKwKjgoL"&amp;"ssDvPcPeVyezB5izizAn4X1JDrys69n6xI/edit?usp=sharing"",""ยะลา!J315"")+IMPORTRANGE(""https://docs.google.com/spreadsheets/d/1qfrKjzMhm2HJfxQ-qVlJlJQ25Hne1d0khsySbZyGtPA/edit?usp=sharing"",""ระนอง!J315"")+IMPORTRANGE(""https://docs.google.com/spreadsheets/d/"&amp;"1IbSCnFOKpZsnFogBHJnL_isstZVaOMnFiIN0fGTPZZw/edit?usp=sharing"",""สงขลา!J315"")+IMPORTRANGE(""https://docs.google.com/spreadsheets/d/1q9nWasZJ-K8bFGvbE9n0qSRuKGA4Toe3Y89cKCiVtCU/edit?usp=sharing"",""สตูล!J315"")+IMPORTRANGE(""https://docs.google.com/sprea"&amp;"dsheets/d/18T20gbkS_WBjdscyTOV05cvq_JqvqQ17C81mpxf7Ncs/edit?usp=sharing"",""สุราษฎร์ธานี!J315"")"),0)</f>
        <v>0</v>
      </c>
      <c r="K315" s="47">
        <f t="shared" ca="1" si="236"/>
        <v>0</v>
      </c>
      <c r="L315" s="46"/>
      <c r="M315" s="46"/>
      <c r="N315" s="46"/>
      <c r="O315" s="46"/>
      <c r="P315" s="46"/>
      <c r="Q315" s="46"/>
      <c r="R315" s="46"/>
      <c r="S315" s="46"/>
      <c r="T315" s="46"/>
      <c r="U315" s="46"/>
    </row>
    <row r="316" spans="1:21" ht="18.75" x14ac:dyDescent="0.25">
      <c r="A316" s="138"/>
      <c r="B316" s="139"/>
      <c r="C316" s="139"/>
      <c r="D316" s="149" t="s">
        <v>50</v>
      </c>
      <c r="E316" s="145"/>
      <c r="F316" s="145"/>
      <c r="G316" s="143"/>
      <c r="H316" s="150" t="s">
        <v>35</v>
      </c>
      <c r="I316" s="152">
        <f ca="1">IFERROR(__xludf.DUMMYFUNCTION("IMPORTRANGE(""https://docs.google.com/spreadsheets/d/1kKUcYdkIfrgTSj8iHHHB2MD2FAtwyyocFgqGQn6ADyI/edit?usp=sharing"",""กระบี่!I316"")+IMPORTRANGE(""https://docs.google.com/spreadsheets/d/1GwtLaSlNZkLk7iDqcyZz22giiy40b_usZZBXYciEN1U/edit?usp=sharing"",""ชุ"&amp;"มพร!I316"")+IMPORTRANGE(""https://docs.google.com/spreadsheets/d/16pAz3pOhQEZBhvFNMa5KGgZS6iKWpsKX0pg6tQmwFpo/edit?usp=sharing"",""ตรัง!I316"")+IMPORTRANGE(""https://docs.google.com/spreadsheets/d/1Dj4jcHCTV9JXKCaMoheSXS52JE63kDKyG7bPXnFogHk/edit?usp=shar"&amp;"ing"",""นครศรีธรรมราช!I316"")+IMPORTRANGE(""https://docs.google.com/spreadsheets/d/1iodCdmuK2GR3jzUwk8tpccY2JHQQA-87DLOtJP-ooyU/edit?usp=sharing"",""นราธิวาส!I316"")+IMPORTRANGE(""https://docs.google.com/spreadsheets/d/1SDNX3JhDdYRuIOsj0Wh2M-Qa_eaXl0NbWmh"&amp;"AOTbfQAs/edit?usp=sharing"",""ปัตตานี!I316"")+IMPORTRANGE(""https://docs.google.com/spreadsheets/d/16JDLGguT8s5DsGCND1KcwHP_AWR_zDMTqLHPLJUKhaU/edit?usp=sharing"",""พังงา!I316"")+IMPORTRANGE(""https://docs.google.com/spreadsheets/d/17ht0gPKzzT3PObBL1XJkeR"&amp;"mntBXI7wGjpLV7QorqlTk/edit?usp=sharing"",""พัทลุง!I316"")+IMPORTRANGE(""https://docs.google.com/spreadsheets/d/1rd4qoM1q_hsgaolqNGfrim9gbsoLxQsda4-vOz5x_BM/edit?usp=sharing"",""ภูเก็ต!I316"")+IMPORTRANGE(""https://docs.google.com/spreadsheets/d/1woKwKjgoL"&amp;"ssDvPcPeVyezB5izizAn4X1JDrys69n6xI/edit?usp=sharing"",""ยะลา!I316"")+IMPORTRANGE(""https://docs.google.com/spreadsheets/d/1qfrKjzMhm2HJfxQ-qVlJlJQ25Hne1d0khsySbZyGtPA/edit?usp=sharing"",""ระนอง!I316"")+IMPORTRANGE(""https://docs.google.com/spreadsheets/d/"&amp;"1IbSCnFOKpZsnFogBHJnL_isstZVaOMnFiIN0fGTPZZw/edit?usp=sharing"",""สงขลา!I316"")+IMPORTRANGE(""https://docs.google.com/spreadsheets/d/1q9nWasZJ-K8bFGvbE9n0qSRuKGA4Toe3Y89cKCiVtCU/edit?usp=sharing"",""สตูล!I316"")+IMPORTRANGE(""https://docs.google.com/sprea"&amp;"dsheets/d/18T20gbkS_WBjdscyTOV05cvq_JqvqQ17C81mpxf7Ncs/edit?usp=sharing"",""สุราษฎร์ธานี!I316"")"),0)</f>
        <v>0</v>
      </c>
      <c r="J316" s="152">
        <f ca="1">IFERROR(__xludf.DUMMYFUNCTION("IMPORTRANGE(""https://docs.google.com/spreadsheets/d/1kKUcYdkIfrgTSj8iHHHB2MD2FAtwyyocFgqGQn6ADyI/edit?usp=sharing"",""กระบี่!J316"")+IMPORTRANGE(""https://docs.google.com/spreadsheets/d/1GwtLaSlNZkLk7iDqcyZz22giiy40b_usZZBXYciEN1U/edit?usp=sharing"",""ชุ"&amp;"มพร!J316"")+IMPORTRANGE(""https://docs.google.com/spreadsheets/d/16pAz3pOhQEZBhvFNMa5KGgZS6iKWpsKX0pg6tQmwFpo/edit?usp=sharing"",""ตรัง!J316"")+IMPORTRANGE(""https://docs.google.com/spreadsheets/d/1Dj4jcHCTV9JXKCaMoheSXS52JE63kDKyG7bPXnFogHk/edit?usp=shar"&amp;"ing"",""นครศรีธรรมราช!J316"")+IMPORTRANGE(""https://docs.google.com/spreadsheets/d/1iodCdmuK2GR3jzUwk8tpccY2JHQQA-87DLOtJP-ooyU/edit?usp=sharing"",""นราธิวาส!J316"")+IMPORTRANGE(""https://docs.google.com/spreadsheets/d/1SDNX3JhDdYRuIOsj0Wh2M-Qa_eaXl0NbWmh"&amp;"AOTbfQAs/edit?usp=sharing"",""ปัตตานี!J316"")+IMPORTRANGE(""https://docs.google.com/spreadsheets/d/16JDLGguT8s5DsGCND1KcwHP_AWR_zDMTqLHPLJUKhaU/edit?usp=sharing"",""พังงา!J316"")+IMPORTRANGE(""https://docs.google.com/spreadsheets/d/17ht0gPKzzT3PObBL1XJkeR"&amp;"mntBXI7wGjpLV7QorqlTk/edit?usp=sharing"",""พัทลุง!J316"")+IMPORTRANGE(""https://docs.google.com/spreadsheets/d/1rd4qoM1q_hsgaolqNGfrim9gbsoLxQsda4-vOz5x_BM/edit?usp=sharing"",""ภูเก็ต!J316"")+IMPORTRANGE(""https://docs.google.com/spreadsheets/d/1woKwKjgoL"&amp;"ssDvPcPeVyezB5izizAn4X1JDrys69n6xI/edit?usp=sharing"",""ยะลา!J316"")+IMPORTRANGE(""https://docs.google.com/spreadsheets/d/1qfrKjzMhm2HJfxQ-qVlJlJQ25Hne1d0khsySbZyGtPA/edit?usp=sharing"",""ระนอง!J316"")+IMPORTRANGE(""https://docs.google.com/spreadsheets/d/"&amp;"1IbSCnFOKpZsnFogBHJnL_isstZVaOMnFiIN0fGTPZZw/edit?usp=sharing"",""สงขลา!J316"")+IMPORTRANGE(""https://docs.google.com/spreadsheets/d/1q9nWasZJ-K8bFGvbE9n0qSRuKGA4Toe3Y89cKCiVtCU/edit?usp=sharing"",""สตูล!J316"")+IMPORTRANGE(""https://docs.google.com/sprea"&amp;"dsheets/d/18T20gbkS_WBjdscyTOV05cvq_JqvqQ17C81mpxf7Ncs/edit?usp=sharing"",""สุราษฎร์ธานี!J316"")"),0)</f>
        <v>0</v>
      </c>
      <c r="K316" s="47">
        <f t="shared" ca="1" si="236"/>
        <v>0</v>
      </c>
      <c r="L316" s="46"/>
      <c r="M316" s="46"/>
      <c r="N316" s="46"/>
      <c r="O316" s="46"/>
      <c r="P316" s="46"/>
      <c r="Q316" s="46"/>
      <c r="R316" s="46"/>
      <c r="S316" s="46"/>
      <c r="T316" s="46"/>
      <c r="U316" s="46"/>
    </row>
    <row r="317" spans="1:21" ht="18.75" x14ac:dyDescent="0.25">
      <c r="A317" s="217"/>
      <c r="B317" s="159"/>
      <c r="C317" s="159"/>
      <c r="D317" s="48" t="s">
        <v>130</v>
      </c>
      <c r="E317" s="41"/>
      <c r="F317" s="41"/>
      <c r="G317" s="43"/>
      <c r="H317" s="44" t="s">
        <v>35</v>
      </c>
      <c r="I317" s="152">
        <f ca="1">IFERROR(__xludf.DUMMYFUNCTION("IMPORTRANGE(""https://docs.google.com/spreadsheets/d/1kKUcYdkIfrgTSj8iHHHB2MD2FAtwyyocFgqGQn6ADyI/edit?usp=sharing"",""กระบี่!I317"")+IMPORTRANGE(""https://docs.google.com/spreadsheets/d/1GwtLaSlNZkLk7iDqcyZz22giiy40b_usZZBXYciEN1U/edit?usp=sharing"",""ชุ"&amp;"มพร!I317"")+IMPORTRANGE(""https://docs.google.com/spreadsheets/d/16pAz3pOhQEZBhvFNMa5KGgZS6iKWpsKX0pg6tQmwFpo/edit?usp=sharing"",""ตรัง!I317"")+IMPORTRANGE(""https://docs.google.com/spreadsheets/d/1Dj4jcHCTV9JXKCaMoheSXS52JE63kDKyG7bPXnFogHk/edit?usp=shar"&amp;"ing"",""นครศรีธรรมราช!I317"")+IMPORTRANGE(""https://docs.google.com/spreadsheets/d/1iodCdmuK2GR3jzUwk8tpccY2JHQQA-87DLOtJP-ooyU/edit?usp=sharing"",""นราธิวาส!I317"")+IMPORTRANGE(""https://docs.google.com/spreadsheets/d/1SDNX3JhDdYRuIOsj0Wh2M-Qa_eaXl0NbWmh"&amp;"AOTbfQAs/edit?usp=sharing"",""ปัตตานี!I317"")+IMPORTRANGE(""https://docs.google.com/spreadsheets/d/16JDLGguT8s5DsGCND1KcwHP_AWR_zDMTqLHPLJUKhaU/edit?usp=sharing"",""พังงา!I317"")+IMPORTRANGE(""https://docs.google.com/spreadsheets/d/17ht0gPKzzT3PObBL1XJkeR"&amp;"mntBXI7wGjpLV7QorqlTk/edit?usp=sharing"",""พัทลุง!I317"")+IMPORTRANGE(""https://docs.google.com/spreadsheets/d/1rd4qoM1q_hsgaolqNGfrim9gbsoLxQsda4-vOz5x_BM/edit?usp=sharing"",""ภูเก็ต!I317"")+IMPORTRANGE(""https://docs.google.com/spreadsheets/d/1woKwKjgoL"&amp;"ssDvPcPeVyezB5izizAn4X1JDrys69n6xI/edit?usp=sharing"",""ยะลา!I317"")+IMPORTRANGE(""https://docs.google.com/spreadsheets/d/1qfrKjzMhm2HJfxQ-qVlJlJQ25Hne1d0khsySbZyGtPA/edit?usp=sharing"",""ระนอง!I317"")+IMPORTRANGE(""https://docs.google.com/spreadsheets/d/"&amp;"1IbSCnFOKpZsnFogBHJnL_isstZVaOMnFiIN0fGTPZZw/edit?usp=sharing"",""สงขลา!I317"")+IMPORTRANGE(""https://docs.google.com/spreadsheets/d/1q9nWasZJ-K8bFGvbE9n0qSRuKGA4Toe3Y89cKCiVtCU/edit?usp=sharing"",""สตูล!I317"")+IMPORTRANGE(""https://docs.google.com/sprea"&amp;"dsheets/d/18T20gbkS_WBjdscyTOV05cvq_JqvqQ17C81mpxf7Ncs/edit?usp=sharing"",""สุราษฎร์ธานี!I317"")"),0)</f>
        <v>0</v>
      </c>
      <c r="J317" s="152">
        <f ca="1">IFERROR(__xludf.DUMMYFUNCTION("IMPORTRANGE(""https://docs.google.com/spreadsheets/d/1kKUcYdkIfrgTSj8iHHHB2MD2FAtwyyocFgqGQn6ADyI/edit?usp=sharing"",""กระบี่!J317"")+IMPORTRANGE(""https://docs.google.com/spreadsheets/d/1GwtLaSlNZkLk7iDqcyZz22giiy40b_usZZBXYciEN1U/edit?usp=sharing"",""ชุ"&amp;"มพร!J317"")+IMPORTRANGE(""https://docs.google.com/spreadsheets/d/16pAz3pOhQEZBhvFNMa5KGgZS6iKWpsKX0pg6tQmwFpo/edit?usp=sharing"",""ตรัง!J317"")+IMPORTRANGE(""https://docs.google.com/spreadsheets/d/1Dj4jcHCTV9JXKCaMoheSXS52JE63kDKyG7bPXnFogHk/edit?usp=shar"&amp;"ing"",""นครศรีธรรมราช!J317"")+IMPORTRANGE(""https://docs.google.com/spreadsheets/d/1iodCdmuK2GR3jzUwk8tpccY2JHQQA-87DLOtJP-ooyU/edit?usp=sharing"",""นราธิวาส!J317"")+IMPORTRANGE(""https://docs.google.com/spreadsheets/d/1SDNX3JhDdYRuIOsj0Wh2M-Qa_eaXl0NbWmh"&amp;"AOTbfQAs/edit?usp=sharing"",""ปัตตานี!J317"")+IMPORTRANGE(""https://docs.google.com/spreadsheets/d/16JDLGguT8s5DsGCND1KcwHP_AWR_zDMTqLHPLJUKhaU/edit?usp=sharing"",""พังงา!J317"")+IMPORTRANGE(""https://docs.google.com/spreadsheets/d/17ht0gPKzzT3PObBL1XJkeR"&amp;"mntBXI7wGjpLV7QorqlTk/edit?usp=sharing"",""พัทลุง!J317"")+IMPORTRANGE(""https://docs.google.com/spreadsheets/d/1rd4qoM1q_hsgaolqNGfrim9gbsoLxQsda4-vOz5x_BM/edit?usp=sharing"",""ภูเก็ต!J317"")+IMPORTRANGE(""https://docs.google.com/spreadsheets/d/1woKwKjgoL"&amp;"ssDvPcPeVyezB5izizAn4X1JDrys69n6xI/edit?usp=sharing"",""ยะลา!J317"")+IMPORTRANGE(""https://docs.google.com/spreadsheets/d/1qfrKjzMhm2HJfxQ-qVlJlJQ25Hne1d0khsySbZyGtPA/edit?usp=sharing"",""ระนอง!J317"")+IMPORTRANGE(""https://docs.google.com/spreadsheets/d/"&amp;"1IbSCnFOKpZsnFogBHJnL_isstZVaOMnFiIN0fGTPZZw/edit?usp=sharing"",""สงขลา!J317"")+IMPORTRANGE(""https://docs.google.com/spreadsheets/d/1q9nWasZJ-K8bFGvbE9n0qSRuKGA4Toe3Y89cKCiVtCU/edit?usp=sharing"",""สตูล!J317"")+IMPORTRANGE(""https://docs.google.com/sprea"&amp;"dsheets/d/18T20gbkS_WBjdscyTOV05cvq_JqvqQ17C81mpxf7Ncs/edit?usp=sharing"",""สุราษฎร์ธานี!J317"")"),0)</f>
        <v>0</v>
      </c>
      <c r="K317" s="47">
        <f t="shared" ca="1" si="236"/>
        <v>0</v>
      </c>
      <c r="L317" s="46"/>
      <c r="M317" s="46"/>
      <c r="N317" s="46"/>
      <c r="O317" s="46"/>
      <c r="P317" s="46"/>
      <c r="Q317" s="46"/>
      <c r="R317" s="46"/>
      <c r="S317" s="46"/>
      <c r="T317" s="46"/>
      <c r="U317" s="46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304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t="shared" ref="I319:J319" ca="1" si="237">I330</f>
        <v>4</v>
      </c>
      <c r="J319" s="310">
        <f t="shared" ca="1" si="237"/>
        <v>2</v>
      </c>
      <c r="K319" s="311">
        <f ca="1">IF(I319&gt;0,J319*100/I319,0)</f>
        <v>50</v>
      </c>
      <c r="L319" s="312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13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132">
        <f t="shared" ref="L320:N320" ca="1" si="238">L321+L322</f>
        <v>5097000</v>
      </c>
      <c r="M320" s="132">
        <f t="shared" ca="1" si="238"/>
        <v>5097000</v>
      </c>
      <c r="N320" s="132">
        <f t="shared" ca="1" si="238"/>
        <v>181680.09</v>
      </c>
      <c r="O320" s="132">
        <f t="shared" ref="O320:O328" ca="1" si="239">IF(L320&gt;0,N320*100/L320,0)</f>
        <v>3.5644514420247204</v>
      </c>
      <c r="P320" s="132">
        <f t="shared" ref="P320:P328" ca="1" si="240">IF(M320&gt;0,N320*100/M320,0)</f>
        <v>3.5644514420247204</v>
      </c>
      <c r="Q320" s="132">
        <f t="shared" ref="Q320:S320" ca="1" si="241">Q321+Q322</f>
        <v>0</v>
      </c>
      <c r="R320" s="132">
        <f t="shared" ca="1" si="241"/>
        <v>0</v>
      </c>
      <c r="S320" s="132">
        <f t="shared" ca="1" si="241"/>
        <v>0</v>
      </c>
      <c r="T320" s="132">
        <f t="shared" ref="T320:T328" ca="1" si="242">IF(Q320&gt;0,S320*100/Q320,0)</f>
        <v>0</v>
      </c>
      <c r="U320" s="132">
        <f t="shared" ref="U320:U328" ca="1" si="243"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48" t="s">
        <v>20</v>
      </c>
      <c r="F321" s="41"/>
      <c r="G321" s="43"/>
      <c r="H321" s="133" t="s">
        <v>14</v>
      </c>
      <c r="I321" s="45"/>
      <c r="J321" s="45"/>
      <c r="K321" s="46"/>
      <c r="L321" s="47">
        <f t="shared" ref="L321:N321" ca="1" si="244">L324+L327</f>
        <v>0</v>
      </c>
      <c r="M321" s="47">
        <f t="shared" ca="1" si="244"/>
        <v>0</v>
      </c>
      <c r="N321" s="47">
        <f t="shared" ca="1" si="244"/>
        <v>0</v>
      </c>
      <c r="O321" s="47">
        <f t="shared" ca="1" si="239"/>
        <v>0</v>
      </c>
      <c r="P321" s="47">
        <f t="shared" ca="1" si="240"/>
        <v>0</v>
      </c>
      <c r="Q321" s="47">
        <f t="shared" ref="Q321:S321" ca="1" si="245">Q324+Q327</f>
        <v>0</v>
      </c>
      <c r="R321" s="47">
        <f t="shared" ca="1" si="245"/>
        <v>0</v>
      </c>
      <c r="S321" s="47">
        <f t="shared" ca="1" si="245"/>
        <v>0</v>
      </c>
      <c r="T321" s="49">
        <f t="shared" ca="1" si="242"/>
        <v>0</v>
      </c>
      <c r="U321" s="49">
        <f t="shared" ca="1" si="243"/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7">
        <f t="shared" ref="L322:N322" ca="1" si="246">L325+L328</f>
        <v>5097000</v>
      </c>
      <c r="M322" s="47">
        <f t="shared" ca="1" si="246"/>
        <v>5097000</v>
      </c>
      <c r="N322" s="47">
        <f t="shared" ca="1" si="246"/>
        <v>181680.09</v>
      </c>
      <c r="O322" s="47">
        <f t="shared" ca="1" si="239"/>
        <v>3.5644514420247204</v>
      </c>
      <c r="P322" s="47">
        <f t="shared" ca="1" si="240"/>
        <v>3.5644514420247204</v>
      </c>
      <c r="Q322" s="47">
        <f t="shared" ref="Q322:S322" ca="1" si="247">Q325+Q328</f>
        <v>0</v>
      </c>
      <c r="R322" s="47">
        <f t="shared" ca="1" si="247"/>
        <v>0</v>
      </c>
      <c r="S322" s="47">
        <f t="shared" ca="1" si="247"/>
        <v>0</v>
      </c>
      <c r="T322" s="47">
        <f t="shared" ca="1" si="242"/>
        <v>0</v>
      </c>
      <c r="U322" s="47">
        <f t="shared" ca="1" si="243"/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7">
        <f t="shared" ref="L323:N323" ca="1" si="248">L324+L325</f>
        <v>610000</v>
      </c>
      <c r="M323" s="47">
        <f t="shared" ca="1" si="248"/>
        <v>610000</v>
      </c>
      <c r="N323" s="47">
        <f t="shared" ca="1" si="248"/>
        <v>181680.09</v>
      </c>
      <c r="O323" s="47">
        <f t="shared" ca="1" si="239"/>
        <v>29.783621311475411</v>
      </c>
      <c r="P323" s="47">
        <f t="shared" ca="1" si="240"/>
        <v>29.783621311475411</v>
      </c>
      <c r="Q323" s="47">
        <f t="shared" ref="Q323:S323" ca="1" si="249">Q324+Q325</f>
        <v>0</v>
      </c>
      <c r="R323" s="47">
        <f t="shared" ca="1" si="249"/>
        <v>0</v>
      </c>
      <c r="S323" s="47">
        <f t="shared" ca="1" si="249"/>
        <v>0</v>
      </c>
      <c r="T323" s="47">
        <f t="shared" ca="1" si="242"/>
        <v>0</v>
      </c>
      <c r="U323" s="47">
        <f t="shared" ca="1" si="243"/>
        <v>0</v>
      </c>
    </row>
    <row r="324" spans="1:21" ht="18.75" hidden="1" x14ac:dyDescent="0.25">
      <c r="A324" s="128"/>
      <c r="B324" s="41"/>
      <c r="C324" s="41"/>
      <c r="D324" s="41"/>
      <c r="E324" s="48" t="s">
        <v>36</v>
      </c>
      <c r="F324" s="41"/>
      <c r="G324" s="43"/>
      <c r="H324" s="134" t="s">
        <v>14</v>
      </c>
      <c r="I324" s="135"/>
      <c r="J324" s="135"/>
      <c r="K324" s="136"/>
      <c r="L324" s="47">
        <f ca="1">IFERROR(__xludf.DUMMYFUNCTION("IMPORTRANGE(""https://docs.google.com/spreadsheets/d/1kKUcYdkIfrgTSj8iHHHB2MD2FAtwyyocFgqGQn6ADyI/edit?usp=sharing"",""กระบี่!L324"")+IMPORTRANGE(""https://docs.google.com/spreadsheets/d/1GwtLaSlNZkLk7iDqcyZz22giiy40b_usZZBXYciEN1U/edit?usp=sharing"",""ชุ"&amp;"มพร!L324"")+IMPORTRANGE(""https://docs.google.com/spreadsheets/d/16pAz3pOhQEZBhvFNMa5KGgZS6iKWpsKX0pg6tQmwFpo/edit?usp=sharing"",""ตรัง!L324"")+IMPORTRANGE(""https://docs.google.com/spreadsheets/d/1Dj4jcHCTV9JXKCaMoheSXS52JE63kDKyG7bPXnFogHk/edit?usp=shar"&amp;"ing"",""นครศรีธรรมราช!L324"")+IMPORTRANGE(""https://docs.google.com/spreadsheets/d/1iodCdmuK2GR3jzUwk8tpccY2JHQQA-87DLOtJP-ooyU/edit?usp=sharing"",""นราธิวาส!L324"")+IMPORTRANGE(""https://docs.google.com/spreadsheets/d/1SDNX3JhDdYRuIOsj0Wh2M-Qa_eaXl0NbWmh"&amp;"AOTbfQAs/edit?usp=sharing"",""ปัตตานี!L324"")+IMPORTRANGE(""https://docs.google.com/spreadsheets/d/16JDLGguT8s5DsGCND1KcwHP_AWR_zDMTqLHPLJUKhaU/edit?usp=sharing"",""พังงา!L324"")+IMPORTRANGE(""https://docs.google.com/spreadsheets/d/17ht0gPKzzT3PObBL1XJkeR"&amp;"mntBXI7wGjpLV7QorqlTk/edit?usp=sharing"",""พัทลุง!L324"")+IMPORTRANGE(""https://docs.google.com/spreadsheets/d/1rd4qoM1q_hsgaolqNGfrim9gbsoLxQsda4-vOz5x_BM/edit?usp=sharing"",""ภูเก็ต!L324"")+IMPORTRANGE(""https://docs.google.com/spreadsheets/d/1woKwKjgoL"&amp;"ssDvPcPeVyezB5izizAn4X1JDrys69n6xI/edit?usp=sharing"",""ยะลา!L324"")+IMPORTRANGE(""https://docs.google.com/spreadsheets/d/1qfrKjzMhm2HJfxQ-qVlJlJQ25Hne1d0khsySbZyGtPA/edit?usp=sharing"",""ระนอง!L324"")+IMPORTRANGE(""https://docs.google.com/spreadsheets/d/"&amp;"1IbSCnFOKpZsnFogBHJnL_isstZVaOMnFiIN0fGTPZZw/edit?usp=sharing"",""สงขลา!L324"")+IMPORTRANGE(""https://docs.google.com/spreadsheets/d/1q9nWasZJ-K8bFGvbE9n0qSRuKGA4Toe3Y89cKCiVtCU/edit?usp=sharing"",""สตูล!L324"")+IMPORTRANGE(""https://docs.google.com/sprea"&amp;"dsheets/d/18T20gbkS_WBjdscyTOV05cvq_JqvqQ17C81mpxf7Ncs/edit?usp=sharing"",""สุราษฎร์ธานี!L324"")"),0)</f>
        <v>0</v>
      </c>
      <c r="M324" s="47">
        <f ca="1">IFERROR(__xludf.DUMMYFUNCTION("IMPORTRANGE(""https://docs.google.com/spreadsheets/d/1kKUcYdkIfrgTSj8iHHHB2MD2FAtwyyocFgqGQn6ADyI/edit?usp=sharing"",""กระบี่!M324"")+IMPORTRANGE(""https://docs.google.com/spreadsheets/d/1GwtLaSlNZkLk7iDqcyZz22giiy40b_usZZBXYciEN1U/edit?usp=sharing"",""ชุ"&amp;"มพร!M324"")+IMPORTRANGE(""https://docs.google.com/spreadsheets/d/16pAz3pOhQEZBhvFNMa5KGgZS6iKWpsKX0pg6tQmwFpo/edit?usp=sharing"",""ตรัง!M324"")+IMPORTRANGE(""https://docs.google.com/spreadsheets/d/1Dj4jcHCTV9JXKCaMoheSXS52JE63kDKyG7bPXnFogHk/edit?usp=shar"&amp;"ing"",""นครศรีธรรมราช!M324"")+IMPORTRANGE(""https://docs.google.com/spreadsheets/d/1iodCdmuK2GR3jzUwk8tpccY2JHQQA-87DLOtJP-ooyU/edit?usp=sharing"",""นราธิวาส!M324"")+IMPORTRANGE(""https://docs.google.com/spreadsheets/d/1SDNX3JhDdYRuIOsj0Wh2M-Qa_eaXl0NbWmh"&amp;"AOTbfQAs/edit?usp=sharing"",""ปัตตานี!M324"")+IMPORTRANGE(""https://docs.google.com/spreadsheets/d/16JDLGguT8s5DsGCND1KcwHP_AWR_zDMTqLHPLJUKhaU/edit?usp=sharing"",""พังงา!M324"")+IMPORTRANGE(""https://docs.google.com/spreadsheets/d/17ht0gPKzzT3PObBL1XJkeR"&amp;"mntBXI7wGjpLV7QorqlTk/edit?usp=sharing"",""พัทลุง!M324"")+IMPORTRANGE(""https://docs.google.com/spreadsheets/d/1rd4qoM1q_hsgaolqNGfrim9gbsoLxQsda4-vOz5x_BM/edit?usp=sharing"",""ภูเก็ต!M324"")+IMPORTRANGE(""https://docs.google.com/spreadsheets/d/1woKwKjgoL"&amp;"ssDvPcPeVyezB5izizAn4X1JDrys69n6xI/edit?usp=sharing"",""ยะลา!M324"")+IMPORTRANGE(""https://docs.google.com/spreadsheets/d/1qfrKjzMhm2HJfxQ-qVlJlJQ25Hne1d0khsySbZyGtPA/edit?usp=sharing"",""ระนอง!M324"")+IMPORTRANGE(""https://docs.google.com/spreadsheets/d/"&amp;"1IbSCnFOKpZsnFogBHJnL_isstZVaOMnFiIN0fGTPZZw/edit?usp=sharing"",""สงขลา!M324"")+IMPORTRANGE(""https://docs.google.com/spreadsheets/d/1q9nWasZJ-K8bFGvbE9n0qSRuKGA4Toe3Y89cKCiVtCU/edit?usp=sharing"",""สตูล!M324"")+IMPORTRANGE(""https://docs.google.com/sprea"&amp;"dsheets/d/18T20gbkS_WBjdscyTOV05cvq_JqvqQ17C81mpxf7Ncs/edit?usp=sharing"",""สุราษฎร์ธานี!M324"")"),0)</f>
        <v>0</v>
      </c>
      <c r="N324" s="47">
        <f ca="1">IFERROR(__xludf.DUMMYFUNCTION("IMPORTRANGE(""https://docs.google.com/spreadsheets/d/1kKUcYdkIfrgTSj8iHHHB2MD2FAtwyyocFgqGQn6ADyI/edit?usp=sharing"",""กระบี่!N324"")+IMPORTRANGE(""https://docs.google.com/spreadsheets/d/1GwtLaSlNZkLk7iDqcyZz22giiy40b_usZZBXYciEN1U/edit?usp=sharing"",""ชุ"&amp;"มพร!N324"")+IMPORTRANGE(""https://docs.google.com/spreadsheets/d/16pAz3pOhQEZBhvFNMa5KGgZS6iKWpsKX0pg6tQmwFpo/edit?usp=sharing"",""ตรัง!N324"")+IMPORTRANGE(""https://docs.google.com/spreadsheets/d/1Dj4jcHCTV9JXKCaMoheSXS52JE63kDKyG7bPXnFogHk/edit?usp=shar"&amp;"ing"",""นครศรีธรรมราช!N324"")+IMPORTRANGE(""https://docs.google.com/spreadsheets/d/1iodCdmuK2GR3jzUwk8tpccY2JHQQA-87DLOtJP-ooyU/edit?usp=sharing"",""นราธิวาส!N324"")+IMPORTRANGE(""https://docs.google.com/spreadsheets/d/1SDNX3JhDdYRuIOsj0Wh2M-Qa_eaXl0NbWmh"&amp;"AOTbfQAs/edit?usp=sharing"",""ปัตตานี!N324"")+IMPORTRANGE(""https://docs.google.com/spreadsheets/d/16JDLGguT8s5DsGCND1KcwHP_AWR_zDMTqLHPLJUKhaU/edit?usp=sharing"",""พังงา!N324"")+IMPORTRANGE(""https://docs.google.com/spreadsheets/d/17ht0gPKzzT3PObBL1XJkeR"&amp;"mntBXI7wGjpLV7QorqlTk/edit?usp=sharing"",""พัทลุง!N324"")+IMPORTRANGE(""https://docs.google.com/spreadsheets/d/1rd4qoM1q_hsgaolqNGfrim9gbsoLxQsda4-vOz5x_BM/edit?usp=sharing"",""ภูเก็ต!N324"")+IMPORTRANGE(""https://docs.google.com/spreadsheets/d/1woKwKjgoL"&amp;"ssDvPcPeVyezB5izizAn4X1JDrys69n6xI/edit?usp=sharing"",""ยะลา!N324"")+IMPORTRANGE(""https://docs.google.com/spreadsheets/d/1qfrKjzMhm2HJfxQ-qVlJlJQ25Hne1d0khsySbZyGtPA/edit?usp=sharing"",""ระนอง!N324"")+IMPORTRANGE(""https://docs.google.com/spreadsheets/d/"&amp;"1IbSCnFOKpZsnFogBHJnL_isstZVaOMnFiIN0fGTPZZw/edit?usp=sharing"",""สงขลา!N324"")+IMPORTRANGE(""https://docs.google.com/spreadsheets/d/1q9nWasZJ-K8bFGvbE9n0qSRuKGA4Toe3Y89cKCiVtCU/edit?usp=sharing"",""สตูล!N324"")+IMPORTRANGE(""https://docs.google.com/sprea"&amp;"dsheets/d/18T20gbkS_WBjdscyTOV05cvq_JqvqQ17C81mpxf7Ncs/edit?usp=sharing"",""สุราษฎร์ธานี!N324"")"),0)</f>
        <v>0</v>
      </c>
      <c r="O324" s="47">
        <f t="shared" ca="1" si="239"/>
        <v>0</v>
      </c>
      <c r="P324" s="47">
        <f t="shared" ca="1" si="240"/>
        <v>0</v>
      </c>
      <c r="Q324" s="47">
        <f ca="1">IFERROR(__xludf.DUMMYFUNCTION("IMPORTRANGE(""https://docs.google.com/spreadsheets/d/1kKUcYdkIfrgTSj8iHHHB2MD2FAtwyyocFgqGQn6ADyI/edit?usp=sharing"",""กระบี่!Q324"")+IMPORTRANGE(""https://docs.google.com/spreadsheets/d/1GwtLaSlNZkLk7iDqcyZz22giiy40b_usZZBXYciEN1U/edit?usp=sharing"",""ชุ"&amp;"มพร!Q324"")+IMPORTRANGE(""https://docs.google.com/spreadsheets/d/16pAz3pOhQEZBhvFNMa5KGgZS6iKWpsKX0pg6tQmwFpo/edit?usp=sharing"",""ตรัง!Q324"")+IMPORTRANGE(""https://docs.google.com/spreadsheets/d/1Dj4jcHCTV9JXKCaMoheSXS52JE63kDKyG7bPXnFogHk/edit?usp=shar"&amp;"ing"",""นครศรีธรรมราช!Q324"")+IMPORTRANGE(""https://docs.google.com/spreadsheets/d/1iodCdmuK2GR3jzUwk8tpccY2JHQQA-87DLOtJP-ooyU/edit?usp=sharing"",""นราธิวาส!Q324"")+IMPORTRANGE(""https://docs.google.com/spreadsheets/d/1SDNX3JhDdYRuIOsj0Wh2M-Qa_eaXl0NbWmh"&amp;"AOTbfQAs/edit?usp=sharing"",""ปัตตานี!Q324"")+IMPORTRANGE(""https://docs.google.com/spreadsheets/d/16JDLGguT8s5DsGCND1KcwHP_AWR_zDMTqLHPLJUKhaU/edit?usp=sharing"",""พังงา!Q324"")+IMPORTRANGE(""https://docs.google.com/spreadsheets/d/17ht0gPKzzT3PObBL1XJkeR"&amp;"mntBXI7wGjpLV7QorqlTk/edit?usp=sharing"",""พัทลุง!Q324"")+IMPORTRANGE(""https://docs.google.com/spreadsheets/d/1rd4qoM1q_hsgaolqNGfrim9gbsoLxQsda4-vOz5x_BM/edit?usp=sharing"",""ภูเก็ต!Q324"")+IMPORTRANGE(""https://docs.google.com/spreadsheets/d/1woKwKjgoL"&amp;"ssDvPcPeVyezB5izizAn4X1JDrys69n6xI/edit?usp=sharing"",""ยะลา!Q324"")+IMPORTRANGE(""https://docs.google.com/spreadsheets/d/1qfrKjzMhm2HJfxQ-qVlJlJQ25Hne1d0khsySbZyGtPA/edit?usp=sharing"",""ระนอง!Q324"")+IMPORTRANGE(""https://docs.google.com/spreadsheets/d/"&amp;"1IbSCnFOKpZsnFogBHJnL_isstZVaOMnFiIN0fGTPZZw/edit?usp=sharing"",""สงขลา!Q324"")+IMPORTRANGE(""https://docs.google.com/spreadsheets/d/1q9nWasZJ-K8bFGvbE9n0qSRuKGA4Toe3Y89cKCiVtCU/edit?usp=sharing"",""สตูล!Q324"")+IMPORTRANGE(""https://docs.google.com/sprea"&amp;"dsheets/d/18T20gbkS_WBjdscyTOV05cvq_JqvqQ17C81mpxf7Ncs/edit?usp=sharing"",""สุราษฎร์ธานี!Q324"")"),0)</f>
        <v>0</v>
      </c>
      <c r="R324" s="47">
        <f ca="1">IFERROR(__xludf.DUMMYFUNCTION("IMPORTRANGE(""https://docs.google.com/spreadsheets/d/1kKUcYdkIfrgTSj8iHHHB2MD2FAtwyyocFgqGQn6ADyI/edit?usp=sharing"",""กระบี่!R324"")+IMPORTRANGE(""https://docs.google.com/spreadsheets/d/1GwtLaSlNZkLk7iDqcyZz22giiy40b_usZZBXYciEN1U/edit?usp=sharing"",""ชุ"&amp;"มพร!R324"")+IMPORTRANGE(""https://docs.google.com/spreadsheets/d/16pAz3pOhQEZBhvFNMa5KGgZS6iKWpsKX0pg6tQmwFpo/edit?usp=sharing"",""ตรัง!R324"")+IMPORTRANGE(""https://docs.google.com/spreadsheets/d/1Dj4jcHCTV9JXKCaMoheSXS52JE63kDKyG7bPXnFogHk/edit?usp=shar"&amp;"ing"",""นครศรีธรรมราช!R324"")+IMPORTRANGE(""https://docs.google.com/spreadsheets/d/1iodCdmuK2GR3jzUwk8tpccY2JHQQA-87DLOtJP-ooyU/edit?usp=sharing"",""นราธิวาส!R324"")+IMPORTRANGE(""https://docs.google.com/spreadsheets/d/1SDNX3JhDdYRuIOsj0Wh2M-Qa_eaXl0NbWmh"&amp;"AOTbfQAs/edit?usp=sharing"",""ปัตตานี!R324"")+IMPORTRANGE(""https://docs.google.com/spreadsheets/d/16JDLGguT8s5DsGCND1KcwHP_AWR_zDMTqLHPLJUKhaU/edit?usp=sharing"",""พังงา!R324"")+IMPORTRANGE(""https://docs.google.com/spreadsheets/d/17ht0gPKzzT3PObBL1XJkeR"&amp;"mntBXI7wGjpLV7QorqlTk/edit?usp=sharing"",""พัทลุง!R324"")+IMPORTRANGE(""https://docs.google.com/spreadsheets/d/1rd4qoM1q_hsgaolqNGfrim9gbsoLxQsda4-vOz5x_BM/edit?usp=sharing"",""ภูเก็ต!R324"")+IMPORTRANGE(""https://docs.google.com/spreadsheets/d/1woKwKjgoL"&amp;"ssDvPcPeVyezB5izizAn4X1JDrys69n6xI/edit?usp=sharing"",""ยะลา!R324"")+IMPORTRANGE(""https://docs.google.com/spreadsheets/d/1qfrKjzMhm2HJfxQ-qVlJlJQ25Hne1d0khsySbZyGtPA/edit?usp=sharing"",""ระนอง!R324"")+IMPORTRANGE(""https://docs.google.com/spreadsheets/d/"&amp;"1IbSCnFOKpZsnFogBHJnL_isstZVaOMnFiIN0fGTPZZw/edit?usp=sharing"",""สงขลา!R324"")+IMPORTRANGE(""https://docs.google.com/spreadsheets/d/1q9nWasZJ-K8bFGvbE9n0qSRuKGA4Toe3Y89cKCiVtCU/edit?usp=sharing"",""สตูล!R324"")+IMPORTRANGE(""https://docs.google.com/sprea"&amp;"dsheets/d/18T20gbkS_WBjdscyTOV05cvq_JqvqQ17C81mpxf7Ncs/edit?usp=sharing"",""สุราษฎร์ธานี!R324"")"),0)</f>
        <v>0</v>
      </c>
      <c r="S324" s="47">
        <f ca="1">IFERROR(__xludf.DUMMYFUNCTION("IMPORTRANGE(""https://docs.google.com/spreadsheets/d/1kKUcYdkIfrgTSj8iHHHB2MD2FAtwyyocFgqGQn6ADyI/edit?usp=sharing"",""กระบี่!S324"")+IMPORTRANGE(""https://docs.google.com/spreadsheets/d/1GwtLaSlNZkLk7iDqcyZz22giiy40b_usZZBXYciEN1U/edit?usp=sharing"",""ชุ"&amp;"มพร!S324"")+IMPORTRANGE(""https://docs.google.com/spreadsheets/d/16pAz3pOhQEZBhvFNMa5KGgZS6iKWpsKX0pg6tQmwFpo/edit?usp=sharing"",""ตรัง!S324"")+IMPORTRANGE(""https://docs.google.com/spreadsheets/d/1Dj4jcHCTV9JXKCaMoheSXS52JE63kDKyG7bPXnFogHk/edit?usp=shar"&amp;"ing"",""นครศรีธรรมราช!S324"")+IMPORTRANGE(""https://docs.google.com/spreadsheets/d/1iodCdmuK2GR3jzUwk8tpccY2JHQQA-87DLOtJP-ooyU/edit?usp=sharing"",""นราธิวาส!S324"")+IMPORTRANGE(""https://docs.google.com/spreadsheets/d/1SDNX3JhDdYRuIOsj0Wh2M-Qa_eaXl0NbWmh"&amp;"AOTbfQAs/edit?usp=sharing"",""ปัตตานี!S324"")+IMPORTRANGE(""https://docs.google.com/spreadsheets/d/16JDLGguT8s5DsGCND1KcwHP_AWR_zDMTqLHPLJUKhaU/edit?usp=sharing"",""พังงา!S324"")+IMPORTRANGE(""https://docs.google.com/spreadsheets/d/17ht0gPKzzT3PObBL1XJkeR"&amp;"mntBXI7wGjpLV7QorqlTk/edit?usp=sharing"",""พัทลุง!S324"")+IMPORTRANGE(""https://docs.google.com/spreadsheets/d/1rd4qoM1q_hsgaolqNGfrim9gbsoLxQsda4-vOz5x_BM/edit?usp=sharing"",""ภูเก็ต!S324"")+IMPORTRANGE(""https://docs.google.com/spreadsheets/d/1woKwKjgoL"&amp;"ssDvPcPeVyezB5izizAn4X1JDrys69n6xI/edit?usp=sharing"",""ยะลา!S324"")+IMPORTRANGE(""https://docs.google.com/spreadsheets/d/1qfrKjzMhm2HJfxQ-qVlJlJQ25Hne1d0khsySbZyGtPA/edit?usp=sharing"",""ระนอง!S324"")+IMPORTRANGE(""https://docs.google.com/spreadsheets/d/"&amp;"1IbSCnFOKpZsnFogBHJnL_isstZVaOMnFiIN0fGTPZZw/edit?usp=sharing"",""สงขลา!S324"")+IMPORTRANGE(""https://docs.google.com/spreadsheets/d/1q9nWasZJ-K8bFGvbE9n0qSRuKGA4Toe3Y89cKCiVtCU/edit?usp=sharing"",""สตูล!S324"")+IMPORTRANGE(""https://docs.google.com/sprea"&amp;"dsheets/d/18T20gbkS_WBjdscyTOV05cvq_JqvqQ17C81mpxf7Ncs/edit?usp=sharing"",""สุราษฎร์ธานี!S324"")"),0)</f>
        <v>0</v>
      </c>
      <c r="T324" s="49">
        <f t="shared" ca="1" si="242"/>
        <v>0</v>
      </c>
      <c r="U324" s="49">
        <f t="shared" ca="1" si="243"/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7">
        <f ca="1">IFERROR(__xludf.DUMMYFUNCTION("IMPORTRANGE(""https://docs.google.com/spreadsheets/d/1kKUcYdkIfrgTSj8iHHHB2MD2FAtwyyocFgqGQn6ADyI/edit?usp=sharing"",""กระบี่!L325"")+IMPORTRANGE(""https://docs.google.com/spreadsheets/d/1GwtLaSlNZkLk7iDqcyZz22giiy40b_usZZBXYciEN1U/edit?usp=sharing"",""ชุ"&amp;"มพร!L325"")+IMPORTRANGE(""https://docs.google.com/spreadsheets/d/16pAz3pOhQEZBhvFNMa5KGgZS6iKWpsKX0pg6tQmwFpo/edit?usp=sharing"",""ตรัง!L325"")+IMPORTRANGE(""https://docs.google.com/spreadsheets/d/1Dj4jcHCTV9JXKCaMoheSXS52JE63kDKyG7bPXnFogHk/edit?usp=shar"&amp;"ing"",""นครศรีธรรมราช!L325"")+IMPORTRANGE(""https://docs.google.com/spreadsheets/d/1iodCdmuK2GR3jzUwk8tpccY2JHQQA-87DLOtJP-ooyU/edit?usp=sharing"",""นราธิวาส!L325"")+IMPORTRANGE(""https://docs.google.com/spreadsheets/d/1SDNX3JhDdYRuIOsj0Wh2M-Qa_eaXl0NbWmh"&amp;"AOTbfQAs/edit?usp=sharing"",""ปัตตานี!L325"")+IMPORTRANGE(""https://docs.google.com/spreadsheets/d/16JDLGguT8s5DsGCND1KcwHP_AWR_zDMTqLHPLJUKhaU/edit?usp=sharing"",""พังงา!L325"")+IMPORTRANGE(""https://docs.google.com/spreadsheets/d/17ht0gPKzzT3PObBL1XJkeR"&amp;"mntBXI7wGjpLV7QorqlTk/edit?usp=sharing"",""พัทลุง!L325"")+IMPORTRANGE(""https://docs.google.com/spreadsheets/d/1rd4qoM1q_hsgaolqNGfrim9gbsoLxQsda4-vOz5x_BM/edit?usp=sharing"",""ภูเก็ต!L325"")+IMPORTRANGE(""https://docs.google.com/spreadsheets/d/1woKwKjgoL"&amp;"ssDvPcPeVyezB5izizAn4X1JDrys69n6xI/edit?usp=sharing"",""ยะลา!L325"")+IMPORTRANGE(""https://docs.google.com/spreadsheets/d/1qfrKjzMhm2HJfxQ-qVlJlJQ25Hne1d0khsySbZyGtPA/edit?usp=sharing"",""ระนอง!L325"")+IMPORTRANGE(""https://docs.google.com/spreadsheets/d/"&amp;"1IbSCnFOKpZsnFogBHJnL_isstZVaOMnFiIN0fGTPZZw/edit?usp=sharing"",""สงขลา!L325"")+IMPORTRANGE(""https://docs.google.com/spreadsheets/d/1q9nWasZJ-K8bFGvbE9n0qSRuKGA4Toe3Y89cKCiVtCU/edit?usp=sharing"",""สตูล!L325"")+IMPORTRANGE(""https://docs.google.com/sprea"&amp;"dsheets/d/18T20gbkS_WBjdscyTOV05cvq_JqvqQ17C81mpxf7Ncs/edit?usp=sharing"",""สุราษฎร์ธานี!L325"")"),610000)</f>
        <v>610000</v>
      </c>
      <c r="M325" s="47">
        <f ca="1">IFERROR(__xludf.DUMMYFUNCTION("IMPORTRANGE(""https://docs.google.com/spreadsheets/d/1kKUcYdkIfrgTSj8iHHHB2MD2FAtwyyocFgqGQn6ADyI/edit?usp=sharing"",""กระบี่!M325"")+IMPORTRANGE(""https://docs.google.com/spreadsheets/d/1GwtLaSlNZkLk7iDqcyZz22giiy40b_usZZBXYciEN1U/edit?usp=sharing"",""ชุ"&amp;"มพร!M325"")+IMPORTRANGE(""https://docs.google.com/spreadsheets/d/16pAz3pOhQEZBhvFNMa5KGgZS6iKWpsKX0pg6tQmwFpo/edit?usp=sharing"",""ตรัง!M325"")+IMPORTRANGE(""https://docs.google.com/spreadsheets/d/1Dj4jcHCTV9JXKCaMoheSXS52JE63kDKyG7bPXnFogHk/edit?usp=shar"&amp;"ing"",""นครศรีธรรมราช!M325"")+IMPORTRANGE(""https://docs.google.com/spreadsheets/d/1iodCdmuK2GR3jzUwk8tpccY2JHQQA-87DLOtJP-ooyU/edit?usp=sharing"",""นราธิวาส!M325"")+IMPORTRANGE(""https://docs.google.com/spreadsheets/d/1SDNX3JhDdYRuIOsj0Wh2M-Qa_eaXl0NbWmh"&amp;"AOTbfQAs/edit?usp=sharing"",""ปัตตานี!M325"")+IMPORTRANGE(""https://docs.google.com/spreadsheets/d/16JDLGguT8s5DsGCND1KcwHP_AWR_zDMTqLHPLJUKhaU/edit?usp=sharing"",""พังงา!M325"")+IMPORTRANGE(""https://docs.google.com/spreadsheets/d/17ht0gPKzzT3PObBL1XJkeR"&amp;"mntBXI7wGjpLV7QorqlTk/edit?usp=sharing"",""พัทลุง!M325"")+IMPORTRANGE(""https://docs.google.com/spreadsheets/d/1rd4qoM1q_hsgaolqNGfrim9gbsoLxQsda4-vOz5x_BM/edit?usp=sharing"",""ภูเก็ต!M325"")+IMPORTRANGE(""https://docs.google.com/spreadsheets/d/1woKwKjgoL"&amp;"ssDvPcPeVyezB5izizAn4X1JDrys69n6xI/edit?usp=sharing"",""ยะลา!M325"")+IMPORTRANGE(""https://docs.google.com/spreadsheets/d/1qfrKjzMhm2HJfxQ-qVlJlJQ25Hne1d0khsySbZyGtPA/edit?usp=sharing"",""ระนอง!M325"")+IMPORTRANGE(""https://docs.google.com/spreadsheets/d/"&amp;"1IbSCnFOKpZsnFogBHJnL_isstZVaOMnFiIN0fGTPZZw/edit?usp=sharing"",""สงขลา!M325"")+IMPORTRANGE(""https://docs.google.com/spreadsheets/d/1q9nWasZJ-K8bFGvbE9n0qSRuKGA4Toe3Y89cKCiVtCU/edit?usp=sharing"",""สตูล!M325"")+IMPORTRANGE(""https://docs.google.com/sprea"&amp;"dsheets/d/18T20gbkS_WBjdscyTOV05cvq_JqvqQ17C81mpxf7Ncs/edit?usp=sharing"",""สุราษฎร์ธานี!M325"")"),610000)</f>
        <v>610000</v>
      </c>
      <c r="N325" s="47">
        <f ca="1">IFERROR(__xludf.DUMMYFUNCTION("IMPORTRANGE(""https://docs.google.com/spreadsheets/d/1kKUcYdkIfrgTSj8iHHHB2MD2FAtwyyocFgqGQn6ADyI/edit?usp=sharing"",""กระบี่!N325"")+IMPORTRANGE(""https://docs.google.com/spreadsheets/d/1GwtLaSlNZkLk7iDqcyZz22giiy40b_usZZBXYciEN1U/edit?usp=sharing"",""ชุ"&amp;"มพร!N325"")+IMPORTRANGE(""https://docs.google.com/spreadsheets/d/16pAz3pOhQEZBhvFNMa5KGgZS6iKWpsKX0pg6tQmwFpo/edit?usp=sharing"",""ตรัง!N325"")+IMPORTRANGE(""https://docs.google.com/spreadsheets/d/1Dj4jcHCTV9JXKCaMoheSXS52JE63kDKyG7bPXnFogHk/edit?usp=shar"&amp;"ing"",""นครศรีธรรมราช!N325"")+IMPORTRANGE(""https://docs.google.com/spreadsheets/d/1iodCdmuK2GR3jzUwk8tpccY2JHQQA-87DLOtJP-ooyU/edit?usp=sharing"",""นราธิวาส!N325"")+IMPORTRANGE(""https://docs.google.com/spreadsheets/d/1SDNX3JhDdYRuIOsj0Wh2M-Qa_eaXl0NbWmh"&amp;"AOTbfQAs/edit?usp=sharing"",""ปัตตานี!N325"")+IMPORTRANGE(""https://docs.google.com/spreadsheets/d/16JDLGguT8s5DsGCND1KcwHP_AWR_zDMTqLHPLJUKhaU/edit?usp=sharing"",""พังงา!N325"")+IMPORTRANGE(""https://docs.google.com/spreadsheets/d/17ht0gPKzzT3PObBL1XJkeR"&amp;"mntBXI7wGjpLV7QorqlTk/edit?usp=sharing"",""พัทลุง!N325"")+IMPORTRANGE(""https://docs.google.com/spreadsheets/d/1rd4qoM1q_hsgaolqNGfrim9gbsoLxQsda4-vOz5x_BM/edit?usp=sharing"",""ภูเก็ต!N325"")+IMPORTRANGE(""https://docs.google.com/spreadsheets/d/1woKwKjgoL"&amp;"ssDvPcPeVyezB5izizAn4X1JDrys69n6xI/edit?usp=sharing"",""ยะลา!N325"")+IMPORTRANGE(""https://docs.google.com/spreadsheets/d/1qfrKjzMhm2HJfxQ-qVlJlJQ25Hne1d0khsySbZyGtPA/edit?usp=sharing"",""ระนอง!N325"")+IMPORTRANGE(""https://docs.google.com/spreadsheets/d/"&amp;"1IbSCnFOKpZsnFogBHJnL_isstZVaOMnFiIN0fGTPZZw/edit?usp=sharing"",""สงขลา!N325"")+IMPORTRANGE(""https://docs.google.com/spreadsheets/d/1q9nWasZJ-K8bFGvbE9n0qSRuKGA4Toe3Y89cKCiVtCU/edit?usp=sharing"",""สตูล!N325"")+IMPORTRANGE(""https://docs.google.com/sprea"&amp;"dsheets/d/18T20gbkS_WBjdscyTOV05cvq_JqvqQ17C81mpxf7Ncs/edit?usp=sharing"",""สุราษฎร์ธานี!N325"")"),181680.09)</f>
        <v>181680.09</v>
      </c>
      <c r="O325" s="47">
        <f t="shared" ca="1" si="239"/>
        <v>29.783621311475411</v>
      </c>
      <c r="P325" s="47">
        <f t="shared" ca="1" si="240"/>
        <v>29.783621311475411</v>
      </c>
      <c r="Q325" s="47">
        <f ca="1">IFERROR(__xludf.DUMMYFUNCTION("IMPORTRANGE(""https://docs.google.com/spreadsheets/d/1kKUcYdkIfrgTSj8iHHHB2MD2FAtwyyocFgqGQn6ADyI/edit?usp=sharing"",""กระบี่!Q325"")+IMPORTRANGE(""https://docs.google.com/spreadsheets/d/1GwtLaSlNZkLk7iDqcyZz22giiy40b_usZZBXYciEN1U/edit?usp=sharing"",""ชุ"&amp;"มพร!Q325"")+IMPORTRANGE(""https://docs.google.com/spreadsheets/d/16pAz3pOhQEZBhvFNMa5KGgZS6iKWpsKX0pg6tQmwFpo/edit?usp=sharing"",""ตรัง!Q325"")+IMPORTRANGE(""https://docs.google.com/spreadsheets/d/1Dj4jcHCTV9JXKCaMoheSXS52JE63kDKyG7bPXnFogHk/edit?usp=shar"&amp;"ing"",""นครศรีธรรมราช!Q325"")+IMPORTRANGE(""https://docs.google.com/spreadsheets/d/1iodCdmuK2GR3jzUwk8tpccY2JHQQA-87DLOtJP-ooyU/edit?usp=sharing"",""นราธิวาส!Q325"")+IMPORTRANGE(""https://docs.google.com/spreadsheets/d/1SDNX3JhDdYRuIOsj0Wh2M-Qa_eaXl0NbWmh"&amp;"AOTbfQAs/edit?usp=sharing"",""ปัตตานี!Q325"")+IMPORTRANGE(""https://docs.google.com/spreadsheets/d/16JDLGguT8s5DsGCND1KcwHP_AWR_zDMTqLHPLJUKhaU/edit?usp=sharing"",""พังงา!Q325"")+IMPORTRANGE(""https://docs.google.com/spreadsheets/d/17ht0gPKzzT3PObBL1XJkeR"&amp;"mntBXI7wGjpLV7QorqlTk/edit?usp=sharing"",""พัทลุง!Q325"")+IMPORTRANGE(""https://docs.google.com/spreadsheets/d/1rd4qoM1q_hsgaolqNGfrim9gbsoLxQsda4-vOz5x_BM/edit?usp=sharing"",""ภูเก็ต!Q325"")+IMPORTRANGE(""https://docs.google.com/spreadsheets/d/1woKwKjgoL"&amp;"ssDvPcPeVyezB5izizAn4X1JDrys69n6xI/edit?usp=sharing"",""ยะลา!Q325"")+IMPORTRANGE(""https://docs.google.com/spreadsheets/d/1qfrKjzMhm2HJfxQ-qVlJlJQ25Hne1d0khsySbZyGtPA/edit?usp=sharing"",""ระนอง!Q325"")+IMPORTRANGE(""https://docs.google.com/spreadsheets/d/"&amp;"1IbSCnFOKpZsnFogBHJnL_isstZVaOMnFiIN0fGTPZZw/edit?usp=sharing"",""สงขลา!Q325"")+IMPORTRANGE(""https://docs.google.com/spreadsheets/d/1q9nWasZJ-K8bFGvbE9n0qSRuKGA4Toe3Y89cKCiVtCU/edit?usp=sharing"",""สตูล!Q325"")+IMPORTRANGE(""https://docs.google.com/sprea"&amp;"dsheets/d/18T20gbkS_WBjdscyTOV05cvq_JqvqQ17C81mpxf7Ncs/edit?usp=sharing"",""สุราษฎร์ธานี!Q325"")"),0)</f>
        <v>0</v>
      </c>
      <c r="R325" s="47">
        <f ca="1">IFERROR(__xludf.DUMMYFUNCTION("IMPORTRANGE(""https://docs.google.com/spreadsheets/d/1kKUcYdkIfrgTSj8iHHHB2MD2FAtwyyocFgqGQn6ADyI/edit?usp=sharing"",""กระบี่!R325"")+IMPORTRANGE(""https://docs.google.com/spreadsheets/d/1GwtLaSlNZkLk7iDqcyZz22giiy40b_usZZBXYciEN1U/edit?usp=sharing"",""ชุ"&amp;"มพร!R325"")+IMPORTRANGE(""https://docs.google.com/spreadsheets/d/16pAz3pOhQEZBhvFNMa5KGgZS6iKWpsKX0pg6tQmwFpo/edit?usp=sharing"",""ตรัง!R325"")+IMPORTRANGE(""https://docs.google.com/spreadsheets/d/1Dj4jcHCTV9JXKCaMoheSXS52JE63kDKyG7bPXnFogHk/edit?usp=shar"&amp;"ing"",""นครศรีธรรมราช!R325"")+IMPORTRANGE(""https://docs.google.com/spreadsheets/d/1iodCdmuK2GR3jzUwk8tpccY2JHQQA-87DLOtJP-ooyU/edit?usp=sharing"",""นราธิวาส!R325"")+IMPORTRANGE(""https://docs.google.com/spreadsheets/d/1SDNX3JhDdYRuIOsj0Wh2M-Qa_eaXl0NbWmh"&amp;"AOTbfQAs/edit?usp=sharing"",""ปัตตานี!R325"")+IMPORTRANGE(""https://docs.google.com/spreadsheets/d/16JDLGguT8s5DsGCND1KcwHP_AWR_zDMTqLHPLJUKhaU/edit?usp=sharing"",""พังงา!R325"")+IMPORTRANGE(""https://docs.google.com/spreadsheets/d/17ht0gPKzzT3PObBL1XJkeR"&amp;"mntBXI7wGjpLV7QorqlTk/edit?usp=sharing"",""พัทลุง!R325"")+IMPORTRANGE(""https://docs.google.com/spreadsheets/d/1rd4qoM1q_hsgaolqNGfrim9gbsoLxQsda4-vOz5x_BM/edit?usp=sharing"",""ภูเก็ต!R325"")+IMPORTRANGE(""https://docs.google.com/spreadsheets/d/1woKwKjgoL"&amp;"ssDvPcPeVyezB5izizAn4X1JDrys69n6xI/edit?usp=sharing"",""ยะลา!R325"")+IMPORTRANGE(""https://docs.google.com/spreadsheets/d/1qfrKjzMhm2HJfxQ-qVlJlJQ25Hne1d0khsySbZyGtPA/edit?usp=sharing"",""ระนอง!R325"")+IMPORTRANGE(""https://docs.google.com/spreadsheets/d/"&amp;"1IbSCnFOKpZsnFogBHJnL_isstZVaOMnFiIN0fGTPZZw/edit?usp=sharing"",""สงขลา!R325"")+IMPORTRANGE(""https://docs.google.com/spreadsheets/d/1q9nWasZJ-K8bFGvbE9n0qSRuKGA4Toe3Y89cKCiVtCU/edit?usp=sharing"",""สตูล!R325"")+IMPORTRANGE(""https://docs.google.com/sprea"&amp;"dsheets/d/18T20gbkS_WBjdscyTOV05cvq_JqvqQ17C81mpxf7Ncs/edit?usp=sharing"",""สุราษฎร์ธานี!R325"")"),0)</f>
        <v>0</v>
      </c>
      <c r="S325" s="47">
        <f ca="1">IFERROR(__xludf.DUMMYFUNCTION("IMPORTRANGE(""https://docs.google.com/spreadsheets/d/1kKUcYdkIfrgTSj8iHHHB2MD2FAtwyyocFgqGQn6ADyI/edit?usp=sharing"",""กระบี่!S325"")+IMPORTRANGE(""https://docs.google.com/spreadsheets/d/1GwtLaSlNZkLk7iDqcyZz22giiy40b_usZZBXYciEN1U/edit?usp=sharing"",""ชุ"&amp;"มพร!S325"")+IMPORTRANGE(""https://docs.google.com/spreadsheets/d/16pAz3pOhQEZBhvFNMa5KGgZS6iKWpsKX0pg6tQmwFpo/edit?usp=sharing"",""ตรัง!S325"")+IMPORTRANGE(""https://docs.google.com/spreadsheets/d/1Dj4jcHCTV9JXKCaMoheSXS52JE63kDKyG7bPXnFogHk/edit?usp=shar"&amp;"ing"",""นครศรีธรรมราช!S325"")+IMPORTRANGE(""https://docs.google.com/spreadsheets/d/1iodCdmuK2GR3jzUwk8tpccY2JHQQA-87DLOtJP-ooyU/edit?usp=sharing"",""นราธิวาส!S325"")+IMPORTRANGE(""https://docs.google.com/spreadsheets/d/1SDNX3JhDdYRuIOsj0Wh2M-Qa_eaXl0NbWmh"&amp;"AOTbfQAs/edit?usp=sharing"",""ปัตตานี!S325"")+IMPORTRANGE(""https://docs.google.com/spreadsheets/d/16JDLGguT8s5DsGCND1KcwHP_AWR_zDMTqLHPLJUKhaU/edit?usp=sharing"",""พังงา!S325"")+IMPORTRANGE(""https://docs.google.com/spreadsheets/d/17ht0gPKzzT3PObBL1XJkeR"&amp;"mntBXI7wGjpLV7QorqlTk/edit?usp=sharing"",""พัทลุง!S325"")+IMPORTRANGE(""https://docs.google.com/spreadsheets/d/1rd4qoM1q_hsgaolqNGfrim9gbsoLxQsda4-vOz5x_BM/edit?usp=sharing"",""ภูเก็ต!S325"")+IMPORTRANGE(""https://docs.google.com/spreadsheets/d/1woKwKjgoL"&amp;"ssDvPcPeVyezB5izizAn4X1JDrys69n6xI/edit?usp=sharing"",""ยะลา!S325"")+IMPORTRANGE(""https://docs.google.com/spreadsheets/d/1qfrKjzMhm2HJfxQ-qVlJlJQ25Hne1d0khsySbZyGtPA/edit?usp=sharing"",""ระนอง!S325"")+IMPORTRANGE(""https://docs.google.com/spreadsheets/d/"&amp;"1IbSCnFOKpZsnFogBHJnL_isstZVaOMnFiIN0fGTPZZw/edit?usp=sharing"",""สงขลา!S325"")+IMPORTRANGE(""https://docs.google.com/spreadsheets/d/1q9nWasZJ-K8bFGvbE9n0qSRuKGA4Toe3Y89cKCiVtCU/edit?usp=sharing"",""สตูล!S325"")+IMPORTRANGE(""https://docs.google.com/sprea"&amp;"dsheets/d/18T20gbkS_WBjdscyTOV05cvq_JqvqQ17C81mpxf7Ncs/edit?usp=sharing"",""สุราษฎร์ธานี!S325"")"),0)</f>
        <v>0</v>
      </c>
      <c r="T325" s="47">
        <f t="shared" ca="1" si="242"/>
        <v>0</v>
      </c>
      <c r="U325" s="47">
        <f t="shared" ca="1" si="243"/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7">
        <f t="shared" ref="L326:N326" ca="1" si="250">L327+L328</f>
        <v>4487000</v>
      </c>
      <c r="M326" s="47">
        <f t="shared" ca="1" si="250"/>
        <v>4487000</v>
      </c>
      <c r="N326" s="47">
        <f t="shared" ca="1" si="250"/>
        <v>0</v>
      </c>
      <c r="O326" s="47">
        <f t="shared" ca="1" si="239"/>
        <v>0</v>
      </c>
      <c r="P326" s="47">
        <f t="shared" ca="1" si="240"/>
        <v>0</v>
      </c>
      <c r="Q326" s="47">
        <f t="shared" ref="Q326:S326" ca="1" si="251">Q327+Q328</f>
        <v>0</v>
      </c>
      <c r="R326" s="47">
        <f t="shared" ca="1" si="251"/>
        <v>0</v>
      </c>
      <c r="S326" s="47">
        <f t="shared" ca="1" si="251"/>
        <v>0</v>
      </c>
      <c r="T326" s="47">
        <f t="shared" ca="1" si="242"/>
        <v>0</v>
      </c>
      <c r="U326" s="47">
        <f t="shared" ca="1" si="243"/>
        <v>0</v>
      </c>
    </row>
    <row r="327" spans="1:21" ht="18.75" hidden="1" x14ac:dyDescent="0.25">
      <c r="A327" s="128"/>
      <c r="B327" s="41"/>
      <c r="C327" s="41"/>
      <c r="D327" s="41"/>
      <c r="E327" s="48" t="s">
        <v>20</v>
      </c>
      <c r="F327" s="41"/>
      <c r="G327" s="43"/>
      <c r="H327" s="134" t="s">
        <v>14</v>
      </c>
      <c r="I327" s="135"/>
      <c r="J327" s="135"/>
      <c r="K327" s="136"/>
      <c r="L327" s="47">
        <f ca="1">IFERROR(__xludf.DUMMYFUNCTION("IMPORTRANGE(""https://docs.google.com/spreadsheets/d/1kKUcYdkIfrgTSj8iHHHB2MD2FAtwyyocFgqGQn6ADyI/edit?usp=sharing"",""กระบี่!L327"")+IMPORTRANGE(""https://docs.google.com/spreadsheets/d/1GwtLaSlNZkLk7iDqcyZz22giiy40b_usZZBXYciEN1U/edit?usp=sharing"",""ชุ"&amp;"มพร!L327"")+IMPORTRANGE(""https://docs.google.com/spreadsheets/d/16pAz3pOhQEZBhvFNMa5KGgZS6iKWpsKX0pg6tQmwFpo/edit?usp=sharing"",""ตรัง!L327"")+IMPORTRANGE(""https://docs.google.com/spreadsheets/d/1Dj4jcHCTV9JXKCaMoheSXS52JE63kDKyG7bPXnFogHk/edit?usp=shar"&amp;"ing"",""นครศรีธรรมราช!L327"")+IMPORTRANGE(""https://docs.google.com/spreadsheets/d/1iodCdmuK2GR3jzUwk8tpccY2JHQQA-87DLOtJP-ooyU/edit?usp=sharing"",""นราธิวาส!L327"")+IMPORTRANGE(""https://docs.google.com/spreadsheets/d/1SDNX3JhDdYRuIOsj0Wh2M-Qa_eaXl0NbWmh"&amp;"AOTbfQAs/edit?usp=sharing"",""ปัตตานี!L327"")+IMPORTRANGE(""https://docs.google.com/spreadsheets/d/16JDLGguT8s5DsGCND1KcwHP_AWR_zDMTqLHPLJUKhaU/edit?usp=sharing"",""พังงา!L327"")+IMPORTRANGE(""https://docs.google.com/spreadsheets/d/17ht0gPKzzT3PObBL1XJkeR"&amp;"mntBXI7wGjpLV7QorqlTk/edit?usp=sharing"",""พัทลุง!L327"")+IMPORTRANGE(""https://docs.google.com/spreadsheets/d/1rd4qoM1q_hsgaolqNGfrim9gbsoLxQsda4-vOz5x_BM/edit?usp=sharing"",""ภูเก็ต!L327"")+IMPORTRANGE(""https://docs.google.com/spreadsheets/d/1woKwKjgoL"&amp;"ssDvPcPeVyezB5izizAn4X1JDrys69n6xI/edit?usp=sharing"",""ยะลา!L327"")+IMPORTRANGE(""https://docs.google.com/spreadsheets/d/1qfrKjzMhm2HJfxQ-qVlJlJQ25Hne1d0khsySbZyGtPA/edit?usp=sharing"",""ระนอง!L327"")+IMPORTRANGE(""https://docs.google.com/spreadsheets/d/"&amp;"1IbSCnFOKpZsnFogBHJnL_isstZVaOMnFiIN0fGTPZZw/edit?usp=sharing"",""สงขลา!L327"")+IMPORTRANGE(""https://docs.google.com/spreadsheets/d/1q9nWasZJ-K8bFGvbE9n0qSRuKGA4Toe3Y89cKCiVtCU/edit?usp=sharing"",""สตูล!L327"")+IMPORTRANGE(""https://docs.google.com/sprea"&amp;"dsheets/d/18T20gbkS_WBjdscyTOV05cvq_JqvqQ17C81mpxf7Ncs/edit?usp=sharing"",""สุราษฎร์ธานี!L327"")"),0)</f>
        <v>0</v>
      </c>
      <c r="M327" s="47">
        <f ca="1">IFERROR(__xludf.DUMMYFUNCTION("IMPORTRANGE(""https://docs.google.com/spreadsheets/d/1kKUcYdkIfrgTSj8iHHHB2MD2FAtwyyocFgqGQn6ADyI/edit?usp=sharing"",""กระบี่!M327"")+IMPORTRANGE(""https://docs.google.com/spreadsheets/d/1GwtLaSlNZkLk7iDqcyZz22giiy40b_usZZBXYciEN1U/edit?usp=sharing"",""ชุ"&amp;"มพร!M327"")+IMPORTRANGE(""https://docs.google.com/spreadsheets/d/16pAz3pOhQEZBhvFNMa5KGgZS6iKWpsKX0pg6tQmwFpo/edit?usp=sharing"",""ตรัง!M327"")+IMPORTRANGE(""https://docs.google.com/spreadsheets/d/1Dj4jcHCTV9JXKCaMoheSXS52JE63kDKyG7bPXnFogHk/edit?usp=shar"&amp;"ing"",""นครศรีธรรมราช!M327"")+IMPORTRANGE(""https://docs.google.com/spreadsheets/d/1iodCdmuK2GR3jzUwk8tpccY2JHQQA-87DLOtJP-ooyU/edit?usp=sharing"",""นราธิวาส!M327"")+IMPORTRANGE(""https://docs.google.com/spreadsheets/d/1SDNX3JhDdYRuIOsj0Wh2M-Qa_eaXl0NbWmh"&amp;"AOTbfQAs/edit?usp=sharing"",""ปัตตานี!M327"")+IMPORTRANGE(""https://docs.google.com/spreadsheets/d/16JDLGguT8s5DsGCND1KcwHP_AWR_zDMTqLHPLJUKhaU/edit?usp=sharing"",""พังงา!M327"")+IMPORTRANGE(""https://docs.google.com/spreadsheets/d/17ht0gPKzzT3PObBL1XJkeR"&amp;"mntBXI7wGjpLV7QorqlTk/edit?usp=sharing"",""พัทลุง!M327"")+IMPORTRANGE(""https://docs.google.com/spreadsheets/d/1rd4qoM1q_hsgaolqNGfrim9gbsoLxQsda4-vOz5x_BM/edit?usp=sharing"",""ภูเก็ต!M327"")+IMPORTRANGE(""https://docs.google.com/spreadsheets/d/1woKwKjgoL"&amp;"ssDvPcPeVyezB5izizAn4X1JDrys69n6xI/edit?usp=sharing"",""ยะลา!M327"")+IMPORTRANGE(""https://docs.google.com/spreadsheets/d/1qfrKjzMhm2HJfxQ-qVlJlJQ25Hne1d0khsySbZyGtPA/edit?usp=sharing"",""ระนอง!M327"")+IMPORTRANGE(""https://docs.google.com/spreadsheets/d/"&amp;"1IbSCnFOKpZsnFogBHJnL_isstZVaOMnFiIN0fGTPZZw/edit?usp=sharing"",""สงขลา!M327"")+IMPORTRANGE(""https://docs.google.com/spreadsheets/d/1q9nWasZJ-K8bFGvbE9n0qSRuKGA4Toe3Y89cKCiVtCU/edit?usp=sharing"",""สตูล!M327"")+IMPORTRANGE(""https://docs.google.com/sprea"&amp;"dsheets/d/18T20gbkS_WBjdscyTOV05cvq_JqvqQ17C81mpxf7Ncs/edit?usp=sharing"",""สุราษฎร์ธานี!M327"")"),0)</f>
        <v>0</v>
      </c>
      <c r="N327" s="47">
        <f ca="1">IFERROR(__xludf.DUMMYFUNCTION("IMPORTRANGE(""https://docs.google.com/spreadsheets/d/1kKUcYdkIfrgTSj8iHHHB2MD2FAtwyyocFgqGQn6ADyI/edit?usp=sharing"",""กระบี่!N327"")+IMPORTRANGE(""https://docs.google.com/spreadsheets/d/1GwtLaSlNZkLk7iDqcyZz22giiy40b_usZZBXYciEN1U/edit?usp=sharing"",""ชุ"&amp;"มพร!N327"")+IMPORTRANGE(""https://docs.google.com/spreadsheets/d/16pAz3pOhQEZBhvFNMa5KGgZS6iKWpsKX0pg6tQmwFpo/edit?usp=sharing"",""ตรัง!N327"")+IMPORTRANGE(""https://docs.google.com/spreadsheets/d/1Dj4jcHCTV9JXKCaMoheSXS52JE63kDKyG7bPXnFogHk/edit?usp=shar"&amp;"ing"",""นครศรีธรรมราช!N327"")+IMPORTRANGE(""https://docs.google.com/spreadsheets/d/1iodCdmuK2GR3jzUwk8tpccY2JHQQA-87DLOtJP-ooyU/edit?usp=sharing"",""นราธิวาส!N327"")+IMPORTRANGE(""https://docs.google.com/spreadsheets/d/1SDNX3JhDdYRuIOsj0Wh2M-Qa_eaXl0NbWmh"&amp;"AOTbfQAs/edit?usp=sharing"",""ปัตตานี!N327"")+IMPORTRANGE(""https://docs.google.com/spreadsheets/d/16JDLGguT8s5DsGCND1KcwHP_AWR_zDMTqLHPLJUKhaU/edit?usp=sharing"",""พังงา!N327"")+IMPORTRANGE(""https://docs.google.com/spreadsheets/d/17ht0gPKzzT3PObBL1XJkeR"&amp;"mntBXI7wGjpLV7QorqlTk/edit?usp=sharing"",""พัทลุง!N327"")+IMPORTRANGE(""https://docs.google.com/spreadsheets/d/1rd4qoM1q_hsgaolqNGfrim9gbsoLxQsda4-vOz5x_BM/edit?usp=sharing"",""ภูเก็ต!N327"")+IMPORTRANGE(""https://docs.google.com/spreadsheets/d/1woKwKjgoL"&amp;"ssDvPcPeVyezB5izizAn4X1JDrys69n6xI/edit?usp=sharing"",""ยะลา!N327"")+IMPORTRANGE(""https://docs.google.com/spreadsheets/d/1qfrKjzMhm2HJfxQ-qVlJlJQ25Hne1d0khsySbZyGtPA/edit?usp=sharing"",""ระนอง!N327"")+IMPORTRANGE(""https://docs.google.com/spreadsheets/d/"&amp;"1IbSCnFOKpZsnFogBHJnL_isstZVaOMnFiIN0fGTPZZw/edit?usp=sharing"",""สงขลา!N327"")+IMPORTRANGE(""https://docs.google.com/spreadsheets/d/1q9nWasZJ-K8bFGvbE9n0qSRuKGA4Toe3Y89cKCiVtCU/edit?usp=sharing"",""สตูล!N327"")+IMPORTRANGE(""https://docs.google.com/sprea"&amp;"dsheets/d/18T20gbkS_WBjdscyTOV05cvq_JqvqQ17C81mpxf7Ncs/edit?usp=sharing"",""สุราษฎร์ธานี!N327"")"),0)</f>
        <v>0</v>
      </c>
      <c r="O327" s="47">
        <f t="shared" ca="1" si="239"/>
        <v>0</v>
      </c>
      <c r="P327" s="47">
        <f t="shared" ca="1" si="240"/>
        <v>0</v>
      </c>
      <c r="Q327" s="47">
        <f ca="1">IFERROR(__xludf.DUMMYFUNCTION("IMPORTRANGE(""https://docs.google.com/spreadsheets/d/1kKUcYdkIfrgTSj8iHHHB2MD2FAtwyyocFgqGQn6ADyI/edit?usp=sharing"",""กระบี่!Q327"")+IMPORTRANGE(""https://docs.google.com/spreadsheets/d/1GwtLaSlNZkLk7iDqcyZz22giiy40b_usZZBXYciEN1U/edit?usp=sharing"",""ชุ"&amp;"มพร!Q327"")+IMPORTRANGE(""https://docs.google.com/spreadsheets/d/16pAz3pOhQEZBhvFNMa5KGgZS6iKWpsKX0pg6tQmwFpo/edit?usp=sharing"",""ตรัง!Q327"")+IMPORTRANGE(""https://docs.google.com/spreadsheets/d/1Dj4jcHCTV9JXKCaMoheSXS52JE63kDKyG7bPXnFogHk/edit?usp=shar"&amp;"ing"",""นครศรีธรรมราช!Q327"")+IMPORTRANGE(""https://docs.google.com/spreadsheets/d/1iodCdmuK2GR3jzUwk8tpccY2JHQQA-87DLOtJP-ooyU/edit?usp=sharing"",""นราธิวาส!Q327"")+IMPORTRANGE(""https://docs.google.com/spreadsheets/d/1SDNX3JhDdYRuIOsj0Wh2M-Qa_eaXl0NbWmh"&amp;"AOTbfQAs/edit?usp=sharing"",""ปัตตานี!Q327"")+IMPORTRANGE(""https://docs.google.com/spreadsheets/d/16JDLGguT8s5DsGCND1KcwHP_AWR_zDMTqLHPLJUKhaU/edit?usp=sharing"",""พังงา!Q327"")+IMPORTRANGE(""https://docs.google.com/spreadsheets/d/17ht0gPKzzT3PObBL1XJkeR"&amp;"mntBXI7wGjpLV7QorqlTk/edit?usp=sharing"",""พัทลุง!Q327"")+IMPORTRANGE(""https://docs.google.com/spreadsheets/d/1rd4qoM1q_hsgaolqNGfrim9gbsoLxQsda4-vOz5x_BM/edit?usp=sharing"",""ภูเก็ต!Q327"")+IMPORTRANGE(""https://docs.google.com/spreadsheets/d/1woKwKjgoL"&amp;"ssDvPcPeVyezB5izizAn4X1JDrys69n6xI/edit?usp=sharing"",""ยะลา!Q327"")+IMPORTRANGE(""https://docs.google.com/spreadsheets/d/1qfrKjzMhm2HJfxQ-qVlJlJQ25Hne1d0khsySbZyGtPA/edit?usp=sharing"",""ระนอง!Q327"")+IMPORTRANGE(""https://docs.google.com/spreadsheets/d/"&amp;"1IbSCnFOKpZsnFogBHJnL_isstZVaOMnFiIN0fGTPZZw/edit?usp=sharing"",""สงขลา!Q327"")+IMPORTRANGE(""https://docs.google.com/spreadsheets/d/1q9nWasZJ-K8bFGvbE9n0qSRuKGA4Toe3Y89cKCiVtCU/edit?usp=sharing"",""สตูล!Q327"")+IMPORTRANGE(""https://docs.google.com/sprea"&amp;"dsheets/d/18T20gbkS_WBjdscyTOV05cvq_JqvqQ17C81mpxf7Ncs/edit?usp=sharing"",""สุราษฎร์ธานี!Q327"")"),0)</f>
        <v>0</v>
      </c>
      <c r="R327" s="47">
        <f ca="1">IFERROR(__xludf.DUMMYFUNCTION("IMPORTRANGE(""https://docs.google.com/spreadsheets/d/1kKUcYdkIfrgTSj8iHHHB2MD2FAtwyyocFgqGQn6ADyI/edit?usp=sharing"",""กระบี่!R327"")+IMPORTRANGE(""https://docs.google.com/spreadsheets/d/1GwtLaSlNZkLk7iDqcyZz22giiy40b_usZZBXYciEN1U/edit?usp=sharing"",""ชุ"&amp;"มพร!R327"")+IMPORTRANGE(""https://docs.google.com/spreadsheets/d/16pAz3pOhQEZBhvFNMa5KGgZS6iKWpsKX0pg6tQmwFpo/edit?usp=sharing"",""ตรัง!R327"")+IMPORTRANGE(""https://docs.google.com/spreadsheets/d/1Dj4jcHCTV9JXKCaMoheSXS52JE63kDKyG7bPXnFogHk/edit?usp=shar"&amp;"ing"",""นครศรีธรรมราช!R327"")+IMPORTRANGE(""https://docs.google.com/spreadsheets/d/1iodCdmuK2GR3jzUwk8tpccY2JHQQA-87DLOtJP-ooyU/edit?usp=sharing"",""นราธิวาส!R327"")+IMPORTRANGE(""https://docs.google.com/spreadsheets/d/1SDNX3JhDdYRuIOsj0Wh2M-Qa_eaXl0NbWmh"&amp;"AOTbfQAs/edit?usp=sharing"",""ปัตตานี!R327"")+IMPORTRANGE(""https://docs.google.com/spreadsheets/d/16JDLGguT8s5DsGCND1KcwHP_AWR_zDMTqLHPLJUKhaU/edit?usp=sharing"",""พังงา!R327"")+IMPORTRANGE(""https://docs.google.com/spreadsheets/d/17ht0gPKzzT3PObBL1XJkeR"&amp;"mntBXI7wGjpLV7QorqlTk/edit?usp=sharing"",""พัทลุง!R327"")+IMPORTRANGE(""https://docs.google.com/spreadsheets/d/1rd4qoM1q_hsgaolqNGfrim9gbsoLxQsda4-vOz5x_BM/edit?usp=sharing"",""ภูเก็ต!R327"")+IMPORTRANGE(""https://docs.google.com/spreadsheets/d/1woKwKjgoL"&amp;"ssDvPcPeVyezB5izizAn4X1JDrys69n6xI/edit?usp=sharing"",""ยะลา!R327"")+IMPORTRANGE(""https://docs.google.com/spreadsheets/d/1qfrKjzMhm2HJfxQ-qVlJlJQ25Hne1d0khsySbZyGtPA/edit?usp=sharing"",""ระนอง!R327"")+IMPORTRANGE(""https://docs.google.com/spreadsheets/d/"&amp;"1IbSCnFOKpZsnFogBHJnL_isstZVaOMnFiIN0fGTPZZw/edit?usp=sharing"",""สงขลา!R327"")+IMPORTRANGE(""https://docs.google.com/spreadsheets/d/1q9nWasZJ-K8bFGvbE9n0qSRuKGA4Toe3Y89cKCiVtCU/edit?usp=sharing"",""สตูล!R327"")+IMPORTRANGE(""https://docs.google.com/sprea"&amp;"dsheets/d/18T20gbkS_WBjdscyTOV05cvq_JqvqQ17C81mpxf7Ncs/edit?usp=sharing"",""สุราษฎร์ธานี!R327"")"),0)</f>
        <v>0</v>
      </c>
      <c r="S327" s="47">
        <f ca="1">IFERROR(__xludf.DUMMYFUNCTION("IMPORTRANGE(""https://docs.google.com/spreadsheets/d/1kKUcYdkIfrgTSj8iHHHB2MD2FAtwyyocFgqGQn6ADyI/edit?usp=sharing"",""กระบี่!S327"")+IMPORTRANGE(""https://docs.google.com/spreadsheets/d/1GwtLaSlNZkLk7iDqcyZz22giiy40b_usZZBXYciEN1U/edit?usp=sharing"",""ชุ"&amp;"มพร!S327"")+IMPORTRANGE(""https://docs.google.com/spreadsheets/d/16pAz3pOhQEZBhvFNMa5KGgZS6iKWpsKX0pg6tQmwFpo/edit?usp=sharing"",""ตรัง!S327"")+IMPORTRANGE(""https://docs.google.com/spreadsheets/d/1Dj4jcHCTV9JXKCaMoheSXS52JE63kDKyG7bPXnFogHk/edit?usp=shar"&amp;"ing"",""นครศรีธรรมราช!S327"")+IMPORTRANGE(""https://docs.google.com/spreadsheets/d/1iodCdmuK2GR3jzUwk8tpccY2JHQQA-87DLOtJP-ooyU/edit?usp=sharing"",""นราธิวาส!S327"")+IMPORTRANGE(""https://docs.google.com/spreadsheets/d/1SDNX3JhDdYRuIOsj0Wh2M-Qa_eaXl0NbWmh"&amp;"AOTbfQAs/edit?usp=sharing"",""ปัตตานี!S327"")+IMPORTRANGE(""https://docs.google.com/spreadsheets/d/16JDLGguT8s5DsGCND1KcwHP_AWR_zDMTqLHPLJUKhaU/edit?usp=sharing"",""พังงา!S327"")+IMPORTRANGE(""https://docs.google.com/spreadsheets/d/17ht0gPKzzT3PObBL1XJkeR"&amp;"mntBXI7wGjpLV7QorqlTk/edit?usp=sharing"",""พัทลุง!S327"")+IMPORTRANGE(""https://docs.google.com/spreadsheets/d/1rd4qoM1q_hsgaolqNGfrim9gbsoLxQsda4-vOz5x_BM/edit?usp=sharing"",""ภูเก็ต!S327"")+IMPORTRANGE(""https://docs.google.com/spreadsheets/d/1woKwKjgoL"&amp;"ssDvPcPeVyezB5izizAn4X1JDrys69n6xI/edit?usp=sharing"",""ยะลา!S327"")+IMPORTRANGE(""https://docs.google.com/spreadsheets/d/1qfrKjzMhm2HJfxQ-qVlJlJQ25Hne1d0khsySbZyGtPA/edit?usp=sharing"",""ระนอง!S327"")+IMPORTRANGE(""https://docs.google.com/spreadsheets/d/"&amp;"1IbSCnFOKpZsnFogBHJnL_isstZVaOMnFiIN0fGTPZZw/edit?usp=sharing"",""สงขลา!S327"")+IMPORTRANGE(""https://docs.google.com/spreadsheets/d/1q9nWasZJ-K8bFGvbE9n0qSRuKGA4Toe3Y89cKCiVtCU/edit?usp=sharing"",""สตูล!S327"")+IMPORTRANGE(""https://docs.google.com/sprea"&amp;"dsheets/d/18T20gbkS_WBjdscyTOV05cvq_JqvqQ17C81mpxf7Ncs/edit?usp=sharing"",""สุราษฎร์ธานี!S327"")"),0)</f>
        <v>0</v>
      </c>
      <c r="T327" s="49">
        <f t="shared" ca="1" si="242"/>
        <v>0</v>
      </c>
      <c r="U327" s="49">
        <f t="shared" ca="1" si="243"/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7">
        <f ca="1">IFERROR(__xludf.DUMMYFUNCTION("IMPORTRANGE(""https://docs.google.com/spreadsheets/d/1kKUcYdkIfrgTSj8iHHHB2MD2FAtwyyocFgqGQn6ADyI/edit?usp=sharing"",""กระบี่!L328"")+IMPORTRANGE(""https://docs.google.com/spreadsheets/d/1GwtLaSlNZkLk7iDqcyZz22giiy40b_usZZBXYciEN1U/edit?usp=sharing"",""ชุ"&amp;"มพร!L328"")+IMPORTRANGE(""https://docs.google.com/spreadsheets/d/16pAz3pOhQEZBhvFNMa5KGgZS6iKWpsKX0pg6tQmwFpo/edit?usp=sharing"",""ตรัง!L328"")+IMPORTRANGE(""https://docs.google.com/spreadsheets/d/1Dj4jcHCTV9JXKCaMoheSXS52JE63kDKyG7bPXnFogHk/edit?usp=shar"&amp;"ing"",""นครศรีธรรมราช!L328"")+IMPORTRANGE(""https://docs.google.com/spreadsheets/d/1iodCdmuK2GR3jzUwk8tpccY2JHQQA-87DLOtJP-ooyU/edit?usp=sharing"",""นราธิวาส!L328"")+IMPORTRANGE(""https://docs.google.com/spreadsheets/d/1SDNX3JhDdYRuIOsj0Wh2M-Qa_eaXl0NbWmh"&amp;"AOTbfQAs/edit?usp=sharing"",""ปัตตานี!L328"")+IMPORTRANGE(""https://docs.google.com/spreadsheets/d/16JDLGguT8s5DsGCND1KcwHP_AWR_zDMTqLHPLJUKhaU/edit?usp=sharing"",""พังงา!L328"")+IMPORTRANGE(""https://docs.google.com/spreadsheets/d/17ht0gPKzzT3PObBL1XJkeR"&amp;"mntBXI7wGjpLV7QorqlTk/edit?usp=sharing"",""พัทลุง!L328"")+IMPORTRANGE(""https://docs.google.com/spreadsheets/d/1rd4qoM1q_hsgaolqNGfrim9gbsoLxQsda4-vOz5x_BM/edit?usp=sharing"",""ภูเก็ต!L328"")+IMPORTRANGE(""https://docs.google.com/spreadsheets/d/1woKwKjgoL"&amp;"ssDvPcPeVyezB5izizAn4X1JDrys69n6xI/edit?usp=sharing"",""ยะลา!L328"")+IMPORTRANGE(""https://docs.google.com/spreadsheets/d/1qfrKjzMhm2HJfxQ-qVlJlJQ25Hne1d0khsySbZyGtPA/edit?usp=sharing"",""ระนอง!L328"")+IMPORTRANGE(""https://docs.google.com/spreadsheets/d/"&amp;"1IbSCnFOKpZsnFogBHJnL_isstZVaOMnFiIN0fGTPZZw/edit?usp=sharing"",""สงขลา!L328"")+IMPORTRANGE(""https://docs.google.com/spreadsheets/d/1q9nWasZJ-K8bFGvbE9n0qSRuKGA4Toe3Y89cKCiVtCU/edit?usp=sharing"",""สตูล!L328"")+IMPORTRANGE(""https://docs.google.com/sprea"&amp;"dsheets/d/18T20gbkS_WBjdscyTOV05cvq_JqvqQ17C81mpxf7Ncs/edit?usp=sharing"",""สุราษฎร์ธานี!L328"")"),4487000)</f>
        <v>4487000</v>
      </c>
      <c r="M328" s="47">
        <f ca="1">IFERROR(__xludf.DUMMYFUNCTION("IMPORTRANGE(""https://docs.google.com/spreadsheets/d/1kKUcYdkIfrgTSj8iHHHB2MD2FAtwyyocFgqGQn6ADyI/edit?usp=sharing"",""กระบี่!M328"")+IMPORTRANGE(""https://docs.google.com/spreadsheets/d/1GwtLaSlNZkLk7iDqcyZz22giiy40b_usZZBXYciEN1U/edit?usp=sharing"",""ชุ"&amp;"มพร!M328"")+IMPORTRANGE(""https://docs.google.com/spreadsheets/d/16pAz3pOhQEZBhvFNMa5KGgZS6iKWpsKX0pg6tQmwFpo/edit?usp=sharing"",""ตรัง!M328"")+IMPORTRANGE(""https://docs.google.com/spreadsheets/d/1Dj4jcHCTV9JXKCaMoheSXS52JE63kDKyG7bPXnFogHk/edit?usp=shar"&amp;"ing"",""นครศรีธรรมราช!M328"")+IMPORTRANGE(""https://docs.google.com/spreadsheets/d/1iodCdmuK2GR3jzUwk8tpccY2JHQQA-87DLOtJP-ooyU/edit?usp=sharing"",""นราธิวาส!M328"")+IMPORTRANGE(""https://docs.google.com/spreadsheets/d/1SDNX3JhDdYRuIOsj0Wh2M-Qa_eaXl0NbWmh"&amp;"AOTbfQAs/edit?usp=sharing"",""ปัตตานี!M328"")+IMPORTRANGE(""https://docs.google.com/spreadsheets/d/16JDLGguT8s5DsGCND1KcwHP_AWR_zDMTqLHPLJUKhaU/edit?usp=sharing"",""พังงา!M328"")+IMPORTRANGE(""https://docs.google.com/spreadsheets/d/17ht0gPKzzT3PObBL1XJkeR"&amp;"mntBXI7wGjpLV7QorqlTk/edit?usp=sharing"",""พัทลุง!M328"")+IMPORTRANGE(""https://docs.google.com/spreadsheets/d/1rd4qoM1q_hsgaolqNGfrim9gbsoLxQsda4-vOz5x_BM/edit?usp=sharing"",""ภูเก็ต!M328"")+IMPORTRANGE(""https://docs.google.com/spreadsheets/d/1woKwKjgoL"&amp;"ssDvPcPeVyezB5izizAn4X1JDrys69n6xI/edit?usp=sharing"",""ยะลา!M328"")+IMPORTRANGE(""https://docs.google.com/spreadsheets/d/1qfrKjzMhm2HJfxQ-qVlJlJQ25Hne1d0khsySbZyGtPA/edit?usp=sharing"",""ระนอง!M328"")+IMPORTRANGE(""https://docs.google.com/spreadsheets/d/"&amp;"1IbSCnFOKpZsnFogBHJnL_isstZVaOMnFiIN0fGTPZZw/edit?usp=sharing"",""สงขลา!M328"")+IMPORTRANGE(""https://docs.google.com/spreadsheets/d/1q9nWasZJ-K8bFGvbE9n0qSRuKGA4Toe3Y89cKCiVtCU/edit?usp=sharing"",""สตูล!M328"")+IMPORTRANGE(""https://docs.google.com/sprea"&amp;"dsheets/d/18T20gbkS_WBjdscyTOV05cvq_JqvqQ17C81mpxf7Ncs/edit?usp=sharing"",""สุราษฎร์ธานี!M328"")"),4487000)</f>
        <v>4487000</v>
      </c>
      <c r="N328" s="47">
        <f ca="1">IFERROR(__xludf.DUMMYFUNCTION("IMPORTRANGE(""https://docs.google.com/spreadsheets/d/1kKUcYdkIfrgTSj8iHHHB2MD2FAtwyyocFgqGQn6ADyI/edit?usp=sharing"",""กระบี่!N328"")+IMPORTRANGE(""https://docs.google.com/spreadsheets/d/1GwtLaSlNZkLk7iDqcyZz22giiy40b_usZZBXYciEN1U/edit?usp=sharing"",""ชุ"&amp;"มพร!N328"")+IMPORTRANGE(""https://docs.google.com/spreadsheets/d/16pAz3pOhQEZBhvFNMa5KGgZS6iKWpsKX0pg6tQmwFpo/edit?usp=sharing"",""ตรัง!N328"")+IMPORTRANGE(""https://docs.google.com/spreadsheets/d/1Dj4jcHCTV9JXKCaMoheSXS52JE63kDKyG7bPXnFogHk/edit?usp=shar"&amp;"ing"",""นครศรีธรรมราช!N328"")+IMPORTRANGE(""https://docs.google.com/spreadsheets/d/1iodCdmuK2GR3jzUwk8tpccY2JHQQA-87DLOtJP-ooyU/edit?usp=sharing"",""นราธิวาส!N328"")+IMPORTRANGE(""https://docs.google.com/spreadsheets/d/1SDNX3JhDdYRuIOsj0Wh2M-Qa_eaXl0NbWmh"&amp;"AOTbfQAs/edit?usp=sharing"",""ปัตตานี!N328"")+IMPORTRANGE(""https://docs.google.com/spreadsheets/d/16JDLGguT8s5DsGCND1KcwHP_AWR_zDMTqLHPLJUKhaU/edit?usp=sharing"",""พังงา!N328"")+IMPORTRANGE(""https://docs.google.com/spreadsheets/d/17ht0gPKzzT3PObBL1XJkeR"&amp;"mntBXI7wGjpLV7QorqlTk/edit?usp=sharing"",""พัทลุง!N328"")+IMPORTRANGE(""https://docs.google.com/spreadsheets/d/1rd4qoM1q_hsgaolqNGfrim9gbsoLxQsda4-vOz5x_BM/edit?usp=sharing"",""ภูเก็ต!N328"")+IMPORTRANGE(""https://docs.google.com/spreadsheets/d/1woKwKjgoL"&amp;"ssDvPcPeVyezB5izizAn4X1JDrys69n6xI/edit?usp=sharing"",""ยะลา!N328"")+IMPORTRANGE(""https://docs.google.com/spreadsheets/d/1qfrKjzMhm2HJfxQ-qVlJlJQ25Hne1d0khsySbZyGtPA/edit?usp=sharing"",""ระนอง!N328"")+IMPORTRANGE(""https://docs.google.com/spreadsheets/d/"&amp;"1IbSCnFOKpZsnFogBHJnL_isstZVaOMnFiIN0fGTPZZw/edit?usp=sharing"",""สงขลา!N328"")+IMPORTRANGE(""https://docs.google.com/spreadsheets/d/1q9nWasZJ-K8bFGvbE9n0qSRuKGA4Toe3Y89cKCiVtCU/edit?usp=sharing"",""สตูล!N328"")+IMPORTRANGE(""https://docs.google.com/sprea"&amp;"dsheets/d/18T20gbkS_WBjdscyTOV05cvq_JqvqQ17C81mpxf7Ncs/edit?usp=sharing"",""สุราษฎร์ธานี!N328"")"),0)</f>
        <v>0</v>
      </c>
      <c r="O328" s="47">
        <f t="shared" ca="1" si="239"/>
        <v>0</v>
      </c>
      <c r="P328" s="47">
        <f t="shared" ca="1" si="240"/>
        <v>0</v>
      </c>
      <c r="Q328" s="47">
        <f ca="1">IFERROR(__xludf.DUMMYFUNCTION("IMPORTRANGE(""https://docs.google.com/spreadsheets/d/1kKUcYdkIfrgTSj8iHHHB2MD2FAtwyyocFgqGQn6ADyI/edit?usp=sharing"",""กระบี่!Q328"")+IMPORTRANGE(""https://docs.google.com/spreadsheets/d/1GwtLaSlNZkLk7iDqcyZz22giiy40b_usZZBXYciEN1U/edit?usp=sharing"",""ชุ"&amp;"มพร!Q328"")+IMPORTRANGE(""https://docs.google.com/spreadsheets/d/16pAz3pOhQEZBhvFNMa5KGgZS6iKWpsKX0pg6tQmwFpo/edit?usp=sharing"",""ตรัง!Q328"")+IMPORTRANGE(""https://docs.google.com/spreadsheets/d/1Dj4jcHCTV9JXKCaMoheSXS52JE63kDKyG7bPXnFogHk/edit?usp=shar"&amp;"ing"",""นครศรีธรรมราช!Q328"")+IMPORTRANGE(""https://docs.google.com/spreadsheets/d/1iodCdmuK2GR3jzUwk8tpccY2JHQQA-87DLOtJP-ooyU/edit?usp=sharing"",""นราธิวาส!Q328"")+IMPORTRANGE(""https://docs.google.com/spreadsheets/d/1SDNX3JhDdYRuIOsj0Wh2M-Qa_eaXl0NbWmh"&amp;"AOTbfQAs/edit?usp=sharing"",""ปัตตานี!Q328"")+IMPORTRANGE(""https://docs.google.com/spreadsheets/d/16JDLGguT8s5DsGCND1KcwHP_AWR_zDMTqLHPLJUKhaU/edit?usp=sharing"",""พังงา!Q328"")+IMPORTRANGE(""https://docs.google.com/spreadsheets/d/17ht0gPKzzT3PObBL1XJkeR"&amp;"mntBXI7wGjpLV7QorqlTk/edit?usp=sharing"",""พัทลุง!Q328"")+IMPORTRANGE(""https://docs.google.com/spreadsheets/d/1rd4qoM1q_hsgaolqNGfrim9gbsoLxQsda4-vOz5x_BM/edit?usp=sharing"",""ภูเก็ต!Q328"")+IMPORTRANGE(""https://docs.google.com/spreadsheets/d/1woKwKjgoL"&amp;"ssDvPcPeVyezB5izizAn4X1JDrys69n6xI/edit?usp=sharing"",""ยะลา!Q328"")+IMPORTRANGE(""https://docs.google.com/spreadsheets/d/1qfrKjzMhm2HJfxQ-qVlJlJQ25Hne1d0khsySbZyGtPA/edit?usp=sharing"",""ระนอง!Q328"")+IMPORTRANGE(""https://docs.google.com/spreadsheets/d/"&amp;"1IbSCnFOKpZsnFogBHJnL_isstZVaOMnFiIN0fGTPZZw/edit?usp=sharing"",""สงขลา!Q328"")+IMPORTRANGE(""https://docs.google.com/spreadsheets/d/1q9nWasZJ-K8bFGvbE9n0qSRuKGA4Toe3Y89cKCiVtCU/edit?usp=sharing"",""สตูล!Q328"")+IMPORTRANGE(""https://docs.google.com/sprea"&amp;"dsheets/d/18T20gbkS_WBjdscyTOV05cvq_JqvqQ17C81mpxf7Ncs/edit?usp=sharing"",""สุราษฎร์ธานี!Q328"")"),0)</f>
        <v>0</v>
      </c>
      <c r="R328" s="47">
        <f ca="1">IFERROR(__xludf.DUMMYFUNCTION("IMPORTRANGE(""https://docs.google.com/spreadsheets/d/1kKUcYdkIfrgTSj8iHHHB2MD2FAtwyyocFgqGQn6ADyI/edit?usp=sharing"",""กระบี่!R328"")+IMPORTRANGE(""https://docs.google.com/spreadsheets/d/1GwtLaSlNZkLk7iDqcyZz22giiy40b_usZZBXYciEN1U/edit?usp=sharing"",""ชุ"&amp;"มพร!R328"")+IMPORTRANGE(""https://docs.google.com/spreadsheets/d/16pAz3pOhQEZBhvFNMa5KGgZS6iKWpsKX0pg6tQmwFpo/edit?usp=sharing"",""ตรัง!R328"")+IMPORTRANGE(""https://docs.google.com/spreadsheets/d/1Dj4jcHCTV9JXKCaMoheSXS52JE63kDKyG7bPXnFogHk/edit?usp=shar"&amp;"ing"",""นครศรีธรรมราช!R328"")+IMPORTRANGE(""https://docs.google.com/spreadsheets/d/1iodCdmuK2GR3jzUwk8tpccY2JHQQA-87DLOtJP-ooyU/edit?usp=sharing"",""นราธิวาส!R328"")+IMPORTRANGE(""https://docs.google.com/spreadsheets/d/1SDNX3JhDdYRuIOsj0Wh2M-Qa_eaXl0NbWmh"&amp;"AOTbfQAs/edit?usp=sharing"",""ปัตตานี!R328"")+IMPORTRANGE(""https://docs.google.com/spreadsheets/d/16JDLGguT8s5DsGCND1KcwHP_AWR_zDMTqLHPLJUKhaU/edit?usp=sharing"",""พังงา!R328"")+IMPORTRANGE(""https://docs.google.com/spreadsheets/d/17ht0gPKzzT3PObBL1XJkeR"&amp;"mntBXI7wGjpLV7QorqlTk/edit?usp=sharing"",""พัทลุง!R328"")+IMPORTRANGE(""https://docs.google.com/spreadsheets/d/1rd4qoM1q_hsgaolqNGfrim9gbsoLxQsda4-vOz5x_BM/edit?usp=sharing"",""ภูเก็ต!R328"")+IMPORTRANGE(""https://docs.google.com/spreadsheets/d/1woKwKjgoL"&amp;"ssDvPcPeVyezB5izizAn4X1JDrys69n6xI/edit?usp=sharing"",""ยะลา!R328"")+IMPORTRANGE(""https://docs.google.com/spreadsheets/d/1qfrKjzMhm2HJfxQ-qVlJlJQ25Hne1d0khsySbZyGtPA/edit?usp=sharing"",""ระนอง!R328"")+IMPORTRANGE(""https://docs.google.com/spreadsheets/d/"&amp;"1IbSCnFOKpZsnFogBHJnL_isstZVaOMnFiIN0fGTPZZw/edit?usp=sharing"",""สงขลา!R328"")+IMPORTRANGE(""https://docs.google.com/spreadsheets/d/1q9nWasZJ-K8bFGvbE9n0qSRuKGA4Toe3Y89cKCiVtCU/edit?usp=sharing"",""สตูล!R328"")+IMPORTRANGE(""https://docs.google.com/sprea"&amp;"dsheets/d/18T20gbkS_WBjdscyTOV05cvq_JqvqQ17C81mpxf7Ncs/edit?usp=sharing"",""สุราษฎร์ธานี!R328"")"),0)</f>
        <v>0</v>
      </c>
      <c r="S328" s="47">
        <f ca="1">IFERROR(__xludf.DUMMYFUNCTION("IMPORTRANGE(""https://docs.google.com/spreadsheets/d/1kKUcYdkIfrgTSj8iHHHB2MD2FAtwyyocFgqGQn6ADyI/edit?usp=sharing"",""กระบี่!S328"")+IMPORTRANGE(""https://docs.google.com/spreadsheets/d/1GwtLaSlNZkLk7iDqcyZz22giiy40b_usZZBXYciEN1U/edit?usp=sharing"",""ชุ"&amp;"มพร!S328"")+IMPORTRANGE(""https://docs.google.com/spreadsheets/d/16pAz3pOhQEZBhvFNMa5KGgZS6iKWpsKX0pg6tQmwFpo/edit?usp=sharing"",""ตรัง!S328"")+IMPORTRANGE(""https://docs.google.com/spreadsheets/d/1Dj4jcHCTV9JXKCaMoheSXS52JE63kDKyG7bPXnFogHk/edit?usp=shar"&amp;"ing"",""นครศรีธรรมราช!S328"")+IMPORTRANGE(""https://docs.google.com/spreadsheets/d/1iodCdmuK2GR3jzUwk8tpccY2JHQQA-87DLOtJP-ooyU/edit?usp=sharing"",""นราธิวาส!S328"")+IMPORTRANGE(""https://docs.google.com/spreadsheets/d/1SDNX3JhDdYRuIOsj0Wh2M-Qa_eaXl0NbWmh"&amp;"AOTbfQAs/edit?usp=sharing"",""ปัตตานี!S328"")+IMPORTRANGE(""https://docs.google.com/spreadsheets/d/16JDLGguT8s5DsGCND1KcwHP_AWR_zDMTqLHPLJUKhaU/edit?usp=sharing"",""พังงา!S328"")+IMPORTRANGE(""https://docs.google.com/spreadsheets/d/17ht0gPKzzT3PObBL1XJkeR"&amp;"mntBXI7wGjpLV7QorqlTk/edit?usp=sharing"",""พัทลุง!S328"")+IMPORTRANGE(""https://docs.google.com/spreadsheets/d/1rd4qoM1q_hsgaolqNGfrim9gbsoLxQsda4-vOz5x_BM/edit?usp=sharing"",""ภูเก็ต!S328"")+IMPORTRANGE(""https://docs.google.com/spreadsheets/d/1woKwKjgoL"&amp;"ssDvPcPeVyezB5izizAn4X1JDrys69n6xI/edit?usp=sharing"",""ยะลา!S328"")+IMPORTRANGE(""https://docs.google.com/spreadsheets/d/1qfrKjzMhm2HJfxQ-qVlJlJQ25Hne1d0khsySbZyGtPA/edit?usp=sharing"",""ระนอง!S328"")+IMPORTRANGE(""https://docs.google.com/spreadsheets/d/"&amp;"1IbSCnFOKpZsnFogBHJnL_isstZVaOMnFiIN0fGTPZZw/edit?usp=sharing"",""สงขลา!S328"")+IMPORTRANGE(""https://docs.google.com/spreadsheets/d/1q9nWasZJ-K8bFGvbE9n0qSRuKGA4Toe3Y89cKCiVtCU/edit?usp=sharing"",""สตูล!S328"")+IMPORTRANGE(""https://docs.google.com/sprea"&amp;"dsheets/d/18T20gbkS_WBjdscyTOV05cvq_JqvqQ17C81mpxf7Ncs/edit?usp=sharing"",""สุราษฎร์ธานี!S328"")"),0)</f>
        <v>0</v>
      </c>
      <c r="T328" s="47">
        <f t="shared" ca="1" si="242"/>
        <v>0</v>
      </c>
      <c r="U328" s="47">
        <f t="shared" ca="1" si="243"/>
        <v>0</v>
      </c>
    </row>
    <row r="329" spans="1:21" ht="19.5" x14ac:dyDescent="0.3">
      <c r="A329" s="138"/>
      <c r="B329" s="139"/>
      <c r="C329" s="129" t="s">
        <v>18</v>
      </c>
      <c r="D329" s="140" t="s">
        <v>38</v>
      </c>
      <c r="E329" s="141"/>
      <c r="F329" s="141"/>
      <c r="G329" s="142"/>
      <c r="H329" s="143"/>
      <c r="I329" s="135"/>
      <c r="J329" s="45"/>
      <c r="K329" s="46"/>
      <c r="L329" s="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kKUcYdkIfrgTSj8iHHHB2MD2FAtwyyocFgqGQn6ADyI/edit?usp=sharing"",""กระบี่!I330"")+IMPORTRANGE(""https://docs.google.com/spreadsheets/d/1GwtLaSlNZkLk7iDqcyZz22giiy40b_usZZBXYciEN1U/edit?usp=sharing"",""ชุ"&amp;"มพร!I330"")+IMPORTRANGE(""https://docs.google.com/spreadsheets/d/16pAz3pOhQEZBhvFNMa5KGgZS6iKWpsKX0pg6tQmwFpo/edit?usp=sharing"",""ตรัง!I330"")+IMPORTRANGE(""https://docs.google.com/spreadsheets/d/1Dj4jcHCTV9JXKCaMoheSXS52JE63kDKyG7bPXnFogHk/edit?usp=shar"&amp;"ing"",""นครศรีธรรมราช!I330"")+IMPORTRANGE(""https://docs.google.com/spreadsheets/d/1iodCdmuK2GR3jzUwk8tpccY2JHQQA-87DLOtJP-ooyU/edit?usp=sharing"",""นราธิวาส!I330"")+IMPORTRANGE(""https://docs.google.com/spreadsheets/d/1SDNX3JhDdYRuIOsj0Wh2M-Qa_eaXl0NbWmh"&amp;"AOTbfQAs/edit?usp=sharing"",""ปัตตานี!I330"")+IMPORTRANGE(""https://docs.google.com/spreadsheets/d/16JDLGguT8s5DsGCND1KcwHP_AWR_zDMTqLHPLJUKhaU/edit?usp=sharing"",""พังงา!I330"")+IMPORTRANGE(""https://docs.google.com/spreadsheets/d/17ht0gPKzzT3PObBL1XJkeR"&amp;"mntBXI7wGjpLV7QorqlTk/edit?usp=sharing"",""พัทลุง!I330"")+IMPORTRANGE(""https://docs.google.com/spreadsheets/d/1rd4qoM1q_hsgaolqNGfrim9gbsoLxQsda4-vOz5x_BM/edit?usp=sharing"",""ภูเก็ต!I330"")+IMPORTRANGE(""https://docs.google.com/spreadsheets/d/1woKwKjgoL"&amp;"ssDvPcPeVyezB5izizAn4X1JDrys69n6xI/edit?usp=sharing"",""ยะลา!I330"")+IMPORTRANGE(""https://docs.google.com/spreadsheets/d/1qfrKjzMhm2HJfxQ-qVlJlJQ25Hne1d0khsySbZyGtPA/edit?usp=sharing"",""ระนอง!I330"")+IMPORTRANGE(""https://docs.google.com/spreadsheets/d/"&amp;"1IbSCnFOKpZsnFogBHJnL_isstZVaOMnFiIN0fGTPZZw/edit?usp=sharing"",""สงขลา!I330"")+IMPORTRANGE(""https://docs.google.com/spreadsheets/d/1q9nWasZJ-K8bFGvbE9n0qSRuKGA4Toe3Y89cKCiVtCU/edit?usp=sharing"",""สตูล!I330"")+IMPORTRANGE(""https://docs.google.com/sprea"&amp;"dsheets/d/18T20gbkS_WBjdscyTOV05cvq_JqvqQ17C81mpxf7Ncs/edit?usp=sharing"",""สุราษฎร์ธานี!I330"")"),4)</f>
        <v>4</v>
      </c>
      <c r="J330" s="152">
        <f ca="1">IFERROR(__xludf.DUMMYFUNCTION("IMPORTRANGE(""https://docs.google.com/spreadsheets/d/1kKUcYdkIfrgTSj8iHHHB2MD2FAtwyyocFgqGQn6ADyI/edit?usp=sharing"",""กระบี่!J330"")+IMPORTRANGE(""https://docs.google.com/spreadsheets/d/1GwtLaSlNZkLk7iDqcyZz22giiy40b_usZZBXYciEN1U/edit?usp=sharing"",""ชุ"&amp;"มพร!J330"")+IMPORTRANGE(""https://docs.google.com/spreadsheets/d/16pAz3pOhQEZBhvFNMa5KGgZS6iKWpsKX0pg6tQmwFpo/edit?usp=sharing"",""ตรัง!J330"")+IMPORTRANGE(""https://docs.google.com/spreadsheets/d/1Dj4jcHCTV9JXKCaMoheSXS52JE63kDKyG7bPXnFogHk/edit?usp=shar"&amp;"ing"",""นครศรีธรรมราช!J330"")+IMPORTRANGE(""https://docs.google.com/spreadsheets/d/1iodCdmuK2GR3jzUwk8tpccY2JHQQA-87DLOtJP-ooyU/edit?usp=sharing"",""นราธิวาส!J330"")+IMPORTRANGE(""https://docs.google.com/spreadsheets/d/1SDNX3JhDdYRuIOsj0Wh2M-Qa_eaXl0NbWmh"&amp;"AOTbfQAs/edit?usp=sharing"",""ปัตตานี!J330"")+IMPORTRANGE(""https://docs.google.com/spreadsheets/d/16JDLGguT8s5DsGCND1KcwHP_AWR_zDMTqLHPLJUKhaU/edit?usp=sharing"",""พังงา!J330"")+IMPORTRANGE(""https://docs.google.com/spreadsheets/d/17ht0gPKzzT3PObBL1XJkeR"&amp;"mntBXI7wGjpLV7QorqlTk/edit?usp=sharing"",""พัทลุง!J330"")+IMPORTRANGE(""https://docs.google.com/spreadsheets/d/1rd4qoM1q_hsgaolqNGfrim9gbsoLxQsda4-vOz5x_BM/edit?usp=sharing"",""ภูเก็ต!J330"")+IMPORTRANGE(""https://docs.google.com/spreadsheets/d/1woKwKjgoL"&amp;"ssDvPcPeVyezB5izizAn4X1JDrys69n6xI/edit?usp=sharing"",""ยะลา!J330"")+IMPORTRANGE(""https://docs.google.com/spreadsheets/d/1qfrKjzMhm2HJfxQ-qVlJlJQ25Hne1d0khsySbZyGtPA/edit?usp=sharing"",""ระนอง!J330"")+IMPORTRANGE(""https://docs.google.com/spreadsheets/d/"&amp;"1IbSCnFOKpZsnFogBHJnL_isstZVaOMnFiIN0fGTPZZw/edit?usp=sharing"",""สงขลา!J330"")+IMPORTRANGE(""https://docs.google.com/spreadsheets/d/1q9nWasZJ-K8bFGvbE9n0qSRuKGA4Toe3Y89cKCiVtCU/edit?usp=sharing"",""สตูล!J330"")+IMPORTRANGE(""https://docs.google.com/sprea"&amp;"dsheets/d/18T20gbkS_WBjdscyTOV05cvq_JqvqQ17C81mpxf7Ncs/edit?usp=sharing"",""สุราษฎร์ธานี!J330"")"),2)</f>
        <v>2</v>
      </c>
      <c r="K330" s="47">
        <f ca="1">IF(I330&gt;0,J330*100/I330,0)</f>
        <v>50</v>
      </c>
      <c r="L330" s="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304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310">
        <f ca="1">I344</f>
        <v>12140</v>
      </c>
      <c r="J332" s="310">
        <f ca="1">J344+J347+J348+J349+J353</f>
        <v>55242</v>
      </c>
      <c r="K332" s="311">
        <f ca="1">IF(I332&gt;0,J332*100/I332,0)</f>
        <v>455.04118616144973</v>
      </c>
      <c r="L332" s="312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13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132">
        <f t="shared" ref="L333:N333" ca="1" si="252">L334+L335</f>
        <v>3831100</v>
      </c>
      <c r="M333" s="132">
        <f t="shared" ca="1" si="252"/>
        <v>3882275</v>
      </c>
      <c r="N333" s="132">
        <f t="shared" ca="1" si="252"/>
        <v>1584272.38</v>
      </c>
      <c r="O333" s="132">
        <f t="shared" ref="O333:O341" ca="1" si="253">IF(L333&gt;0,N333*100/L333,0)</f>
        <v>41.352937276500221</v>
      </c>
      <c r="P333" s="132">
        <f t="shared" ref="P333:P341" ca="1" si="254">IF(M333&gt;0,N333*100/M333,0)</f>
        <v>40.807835096689438</v>
      </c>
      <c r="Q333" s="132">
        <f t="shared" ref="Q333:S333" ca="1" si="255">Q334+Q335</f>
        <v>0</v>
      </c>
      <c r="R333" s="132">
        <f t="shared" ca="1" si="255"/>
        <v>0</v>
      </c>
      <c r="S333" s="132">
        <f t="shared" ca="1" si="255"/>
        <v>0</v>
      </c>
      <c r="T333" s="132">
        <f t="shared" ref="T333:T341" ca="1" si="256">IF(Q333&gt;0,S333*100/Q333,0)</f>
        <v>0</v>
      </c>
      <c r="U333" s="132">
        <f t="shared" ref="U333:U341" ca="1" si="257"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48" t="s">
        <v>20</v>
      </c>
      <c r="F334" s="41"/>
      <c r="G334" s="43"/>
      <c r="H334" s="133" t="s">
        <v>14</v>
      </c>
      <c r="I334" s="45"/>
      <c r="J334" s="45"/>
      <c r="K334" s="46"/>
      <c r="L334" s="47">
        <f t="shared" ref="L334:N334" ca="1" si="258">L337+L340</f>
        <v>0</v>
      </c>
      <c r="M334" s="47">
        <f t="shared" ca="1" si="258"/>
        <v>0</v>
      </c>
      <c r="N334" s="47">
        <f t="shared" ca="1" si="258"/>
        <v>0</v>
      </c>
      <c r="O334" s="47">
        <f t="shared" ca="1" si="253"/>
        <v>0</v>
      </c>
      <c r="P334" s="47">
        <f t="shared" ca="1" si="254"/>
        <v>0</v>
      </c>
      <c r="Q334" s="47">
        <f t="shared" ref="Q334:S334" ca="1" si="259">Q337+Q340</f>
        <v>0</v>
      </c>
      <c r="R334" s="47">
        <f t="shared" ca="1" si="259"/>
        <v>0</v>
      </c>
      <c r="S334" s="47">
        <f t="shared" ca="1" si="259"/>
        <v>0</v>
      </c>
      <c r="T334" s="49">
        <f t="shared" ca="1" si="256"/>
        <v>0</v>
      </c>
      <c r="U334" s="49">
        <f t="shared" ca="1" si="257"/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7">
        <f t="shared" ref="L335:N335" ca="1" si="260">L338+L341</f>
        <v>3831100</v>
      </c>
      <c r="M335" s="47">
        <f t="shared" ca="1" si="260"/>
        <v>3882275</v>
      </c>
      <c r="N335" s="47">
        <f t="shared" ca="1" si="260"/>
        <v>1584272.38</v>
      </c>
      <c r="O335" s="47">
        <f t="shared" ca="1" si="253"/>
        <v>41.352937276500221</v>
      </c>
      <c r="P335" s="47">
        <f t="shared" ca="1" si="254"/>
        <v>40.807835096689438</v>
      </c>
      <c r="Q335" s="47">
        <f t="shared" ref="Q335:S335" ca="1" si="261">Q338+Q341</f>
        <v>0</v>
      </c>
      <c r="R335" s="47">
        <f t="shared" ca="1" si="261"/>
        <v>0</v>
      </c>
      <c r="S335" s="47">
        <f t="shared" ca="1" si="261"/>
        <v>0</v>
      </c>
      <c r="T335" s="47">
        <f t="shared" ca="1" si="256"/>
        <v>0</v>
      </c>
      <c r="U335" s="47">
        <f t="shared" ca="1" si="257"/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7">
        <f t="shared" ref="L336:N336" ca="1" si="262">L337+L338</f>
        <v>2981100</v>
      </c>
      <c r="M336" s="47">
        <f t="shared" ca="1" si="262"/>
        <v>3032275</v>
      </c>
      <c r="N336" s="47">
        <f t="shared" ca="1" si="262"/>
        <v>1584272.38</v>
      </c>
      <c r="O336" s="47">
        <f t="shared" ca="1" si="253"/>
        <v>53.14388581396129</v>
      </c>
      <c r="P336" s="47">
        <f t="shared" ca="1" si="254"/>
        <v>52.246988812030573</v>
      </c>
      <c r="Q336" s="47">
        <f t="shared" ref="Q336:S336" ca="1" si="263">Q337+Q338</f>
        <v>0</v>
      </c>
      <c r="R336" s="47">
        <f t="shared" ca="1" si="263"/>
        <v>0</v>
      </c>
      <c r="S336" s="47">
        <f t="shared" ca="1" si="263"/>
        <v>0</v>
      </c>
      <c r="T336" s="47">
        <f t="shared" ca="1" si="256"/>
        <v>0</v>
      </c>
      <c r="U336" s="47">
        <f t="shared" ca="1" si="257"/>
        <v>0</v>
      </c>
    </row>
    <row r="337" spans="1:21" ht="18.75" hidden="1" x14ac:dyDescent="0.25">
      <c r="A337" s="128"/>
      <c r="B337" s="41"/>
      <c r="C337" s="41"/>
      <c r="D337" s="41"/>
      <c r="E337" s="48" t="s">
        <v>36</v>
      </c>
      <c r="F337" s="41"/>
      <c r="G337" s="43"/>
      <c r="H337" s="134" t="s">
        <v>14</v>
      </c>
      <c r="I337" s="135"/>
      <c r="J337" s="135"/>
      <c r="K337" s="136"/>
      <c r="L337" s="47">
        <f ca="1">IFERROR(__xludf.DUMMYFUNCTION("IMPORTRANGE(""https://docs.google.com/spreadsheets/d/1kKUcYdkIfrgTSj8iHHHB2MD2FAtwyyocFgqGQn6ADyI/edit?usp=sharing"",""กระบี่!L337"")+IMPORTRANGE(""https://docs.google.com/spreadsheets/d/1GwtLaSlNZkLk7iDqcyZz22giiy40b_usZZBXYciEN1U/edit?usp=sharing"",""ชุ"&amp;"มพร!L337"")+IMPORTRANGE(""https://docs.google.com/spreadsheets/d/16pAz3pOhQEZBhvFNMa5KGgZS6iKWpsKX0pg6tQmwFpo/edit?usp=sharing"",""ตรัง!L337"")+IMPORTRANGE(""https://docs.google.com/spreadsheets/d/1Dj4jcHCTV9JXKCaMoheSXS52JE63kDKyG7bPXnFogHk/edit?usp=shar"&amp;"ing"",""นครศรีธรรมราช!L337"")+IMPORTRANGE(""https://docs.google.com/spreadsheets/d/1iodCdmuK2GR3jzUwk8tpccY2JHQQA-87DLOtJP-ooyU/edit?usp=sharing"",""นราธิวาส!L337"")+IMPORTRANGE(""https://docs.google.com/spreadsheets/d/1SDNX3JhDdYRuIOsj0Wh2M-Qa_eaXl0NbWmh"&amp;"AOTbfQAs/edit?usp=sharing"",""ปัตตานี!L337"")+IMPORTRANGE(""https://docs.google.com/spreadsheets/d/16JDLGguT8s5DsGCND1KcwHP_AWR_zDMTqLHPLJUKhaU/edit?usp=sharing"",""พังงา!L337"")+IMPORTRANGE(""https://docs.google.com/spreadsheets/d/17ht0gPKzzT3PObBL1XJkeR"&amp;"mntBXI7wGjpLV7QorqlTk/edit?usp=sharing"",""พัทลุง!L337"")+IMPORTRANGE(""https://docs.google.com/spreadsheets/d/1rd4qoM1q_hsgaolqNGfrim9gbsoLxQsda4-vOz5x_BM/edit?usp=sharing"",""ภูเก็ต!L337"")+IMPORTRANGE(""https://docs.google.com/spreadsheets/d/1woKwKjgoL"&amp;"ssDvPcPeVyezB5izizAn4X1JDrys69n6xI/edit?usp=sharing"",""ยะลา!L337"")+IMPORTRANGE(""https://docs.google.com/spreadsheets/d/1qfrKjzMhm2HJfxQ-qVlJlJQ25Hne1d0khsySbZyGtPA/edit?usp=sharing"",""ระนอง!L337"")+IMPORTRANGE(""https://docs.google.com/spreadsheets/d/"&amp;"1IbSCnFOKpZsnFogBHJnL_isstZVaOMnFiIN0fGTPZZw/edit?usp=sharing"",""สงขลา!L337"")+IMPORTRANGE(""https://docs.google.com/spreadsheets/d/1q9nWasZJ-K8bFGvbE9n0qSRuKGA4Toe3Y89cKCiVtCU/edit?usp=sharing"",""สตูล!L337"")+IMPORTRANGE(""https://docs.google.com/sprea"&amp;"dsheets/d/18T20gbkS_WBjdscyTOV05cvq_JqvqQ17C81mpxf7Ncs/edit?usp=sharing"",""สุราษฎร์ธานี!L337"")"),0)</f>
        <v>0</v>
      </c>
      <c r="M337" s="47">
        <f ca="1">IFERROR(__xludf.DUMMYFUNCTION("IMPORTRANGE(""https://docs.google.com/spreadsheets/d/1kKUcYdkIfrgTSj8iHHHB2MD2FAtwyyocFgqGQn6ADyI/edit?usp=sharing"",""กระบี่!M337"")+IMPORTRANGE(""https://docs.google.com/spreadsheets/d/1GwtLaSlNZkLk7iDqcyZz22giiy40b_usZZBXYciEN1U/edit?usp=sharing"",""ชุ"&amp;"มพร!M337"")+IMPORTRANGE(""https://docs.google.com/spreadsheets/d/16pAz3pOhQEZBhvFNMa5KGgZS6iKWpsKX0pg6tQmwFpo/edit?usp=sharing"",""ตรัง!M337"")+IMPORTRANGE(""https://docs.google.com/spreadsheets/d/1Dj4jcHCTV9JXKCaMoheSXS52JE63kDKyG7bPXnFogHk/edit?usp=shar"&amp;"ing"",""นครศรีธรรมราช!M337"")+IMPORTRANGE(""https://docs.google.com/spreadsheets/d/1iodCdmuK2GR3jzUwk8tpccY2JHQQA-87DLOtJP-ooyU/edit?usp=sharing"",""นราธิวาส!M337"")+IMPORTRANGE(""https://docs.google.com/spreadsheets/d/1SDNX3JhDdYRuIOsj0Wh2M-Qa_eaXl0NbWmh"&amp;"AOTbfQAs/edit?usp=sharing"",""ปัตตานี!M337"")+IMPORTRANGE(""https://docs.google.com/spreadsheets/d/16JDLGguT8s5DsGCND1KcwHP_AWR_zDMTqLHPLJUKhaU/edit?usp=sharing"",""พังงา!M337"")+IMPORTRANGE(""https://docs.google.com/spreadsheets/d/17ht0gPKzzT3PObBL1XJkeR"&amp;"mntBXI7wGjpLV7QorqlTk/edit?usp=sharing"",""พัทลุง!M337"")+IMPORTRANGE(""https://docs.google.com/spreadsheets/d/1rd4qoM1q_hsgaolqNGfrim9gbsoLxQsda4-vOz5x_BM/edit?usp=sharing"",""ภูเก็ต!M337"")+IMPORTRANGE(""https://docs.google.com/spreadsheets/d/1woKwKjgoL"&amp;"ssDvPcPeVyezB5izizAn4X1JDrys69n6xI/edit?usp=sharing"",""ยะลา!M337"")+IMPORTRANGE(""https://docs.google.com/spreadsheets/d/1qfrKjzMhm2HJfxQ-qVlJlJQ25Hne1d0khsySbZyGtPA/edit?usp=sharing"",""ระนอง!M337"")+IMPORTRANGE(""https://docs.google.com/spreadsheets/d/"&amp;"1IbSCnFOKpZsnFogBHJnL_isstZVaOMnFiIN0fGTPZZw/edit?usp=sharing"",""สงขลา!M337"")+IMPORTRANGE(""https://docs.google.com/spreadsheets/d/1q9nWasZJ-K8bFGvbE9n0qSRuKGA4Toe3Y89cKCiVtCU/edit?usp=sharing"",""สตูล!M337"")+IMPORTRANGE(""https://docs.google.com/sprea"&amp;"dsheets/d/18T20gbkS_WBjdscyTOV05cvq_JqvqQ17C81mpxf7Ncs/edit?usp=sharing"",""สุราษฎร์ธานี!M337"")"),0)</f>
        <v>0</v>
      </c>
      <c r="N337" s="47">
        <f ca="1">IFERROR(__xludf.DUMMYFUNCTION("IMPORTRANGE(""https://docs.google.com/spreadsheets/d/1kKUcYdkIfrgTSj8iHHHB2MD2FAtwyyocFgqGQn6ADyI/edit?usp=sharing"",""กระบี่!N337"")+IMPORTRANGE(""https://docs.google.com/spreadsheets/d/1GwtLaSlNZkLk7iDqcyZz22giiy40b_usZZBXYciEN1U/edit?usp=sharing"",""ชุ"&amp;"มพร!N337"")+IMPORTRANGE(""https://docs.google.com/spreadsheets/d/16pAz3pOhQEZBhvFNMa5KGgZS6iKWpsKX0pg6tQmwFpo/edit?usp=sharing"",""ตรัง!N337"")+IMPORTRANGE(""https://docs.google.com/spreadsheets/d/1Dj4jcHCTV9JXKCaMoheSXS52JE63kDKyG7bPXnFogHk/edit?usp=shar"&amp;"ing"",""นครศรีธรรมราช!N337"")+IMPORTRANGE(""https://docs.google.com/spreadsheets/d/1iodCdmuK2GR3jzUwk8tpccY2JHQQA-87DLOtJP-ooyU/edit?usp=sharing"",""นราธิวาส!N337"")+IMPORTRANGE(""https://docs.google.com/spreadsheets/d/1SDNX3JhDdYRuIOsj0Wh2M-Qa_eaXl0NbWmh"&amp;"AOTbfQAs/edit?usp=sharing"",""ปัตตานี!N337"")+IMPORTRANGE(""https://docs.google.com/spreadsheets/d/16JDLGguT8s5DsGCND1KcwHP_AWR_zDMTqLHPLJUKhaU/edit?usp=sharing"",""พังงา!N337"")+IMPORTRANGE(""https://docs.google.com/spreadsheets/d/17ht0gPKzzT3PObBL1XJkeR"&amp;"mntBXI7wGjpLV7QorqlTk/edit?usp=sharing"",""พัทลุง!N337"")+IMPORTRANGE(""https://docs.google.com/spreadsheets/d/1rd4qoM1q_hsgaolqNGfrim9gbsoLxQsda4-vOz5x_BM/edit?usp=sharing"",""ภูเก็ต!N337"")+IMPORTRANGE(""https://docs.google.com/spreadsheets/d/1woKwKjgoL"&amp;"ssDvPcPeVyezB5izizAn4X1JDrys69n6xI/edit?usp=sharing"",""ยะลา!N337"")+IMPORTRANGE(""https://docs.google.com/spreadsheets/d/1qfrKjzMhm2HJfxQ-qVlJlJQ25Hne1d0khsySbZyGtPA/edit?usp=sharing"",""ระนอง!N337"")+IMPORTRANGE(""https://docs.google.com/spreadsheets/d/"&amp;"1IbSCnFOKpZsnFogBHJnL_isstZVaOMnFiIN0fGTPZZw/edit?usp=sharing"",""สงขลา!N337"")+IMPORTRANGE(""https://docs.google.com/spreadsheets/d/1q9nWasZJ-K8bFGvbE9n0qSRuKGA4Toe3Y89cKCiVtCU/edit?usp=sharing"",""สตูล!N337"")+IMPORTRANGE(""https://docs.google.com/sprea"&amp;"dsheets/d/18T20gbkS_WBjdscyTOV05cvq_JqvqQ17C81mpxf7Ncs/edit?usp=sharing"",""สุราษฎร์ธานี!N337"")"),0)</f>
        <v>0</v>
      </c>
      <c r="O337" s="47">
        <f t="shared" ca="1" si="253"/>
        <v>0</v>
      </c>
      <c r="P337" s="47">
        <f t="shared" ca="1" si="254"/>
        <v>0</v>
      </c>
      <c r="Q337" s="47">
        <f ca="1">IFERROR(__xludf.DUMMYFUNCTION("IMPORTRANGE(""https://docs.google.com/spreadsheets/d/1kKUcYdkIfrgTSj8iHHHB2MD2FAtwyyocFgqGQn6ADyI/edit?usp=sharing"",""กระบี่!Q337"")+IMPORTRANGE(""https://docs.google.com/spreadsheets/d/1GwtLaSlNZkLk7iDqcyZz22giiy40b_usZZBXYciEN1U/edit?usp=sharing"",""ชุ"&amp;"มพร!Q337"")+IMPORTRANGE(""https://docs.google.com/spreadsheets/d/16pAz3pOhQEZBhvFNMa5KGgZS6iKWpsKX0pg6tQmwFpo/edit?usp=sharing"",""ตรัง!Q337"")+IMPORTRANGE(""https://docs.google.com/spreadsheets/d/1Dj4jcHCTV9JXKCaMoheSXS52JE63kDKyG7bPXnFogHk/edit?usp=shar"&amp;"ing"",""นครศรีธรรมราช!Q337"")+IMPORTRANGE(""https://docs.google.com/spreadsheets/d/1iodCdmuK2GR3jzUwk8tpccY2JHQQA-87DLOtJP-ooyU/edit?usp=sharing"",""นราธิวาส!Q337"")+IMPORTRANGE(""https://docs.google.com/spreadsheets/d/1SDNX3JhDdYRuIOsj0Wh2M-Qa_eaXl0NbWmh"&amp;"AOTbfQAs/edit?usp=sharing"",""ปัตตานี!Q337"")+IMPORTRANGE(""https://docs.google.com/spreadsheets/d/16JDLGguT8s5DsGCND1KcwHP_AWR_zDMTqLHPLJUKhaU/edit?usp=sharing"",""พังงา!Q337"")+IMPORTRANGE(""https://docs.google.com/spreadsheets/d/17ht0gPKzzT3PObBL1XJkeR"&amp;"mntBXI7wGjpLV7QorqlTk/edit?usp=sharing"",""พัทลุง!Q337"")+IMPORTRANGE(""https://docs.google.com/spreadsheets/d/1rd4qoM1q_hsgaolqNGfrim9gbsoLxQsda4-vOz5x_BM/edit?usp=sharing"",""ภูเก็ต!Q337"")+IMPORTRANGE(""https://docs.google.com/spreadsheets/d/1woKwKjgoL"&amp;"ssDvPcPeVyezB5izizAn4X1JDrys69n6xI/edit?usp=sharing"",""ยะลา!Q337"")+IMPORTRANGE(""https://docs.google.com/spreadsheets/d/1qfrKjzMhm2HJfxQ-qVlJlJQ25Hne1d0khsySbZyGtPA/edit?usp=sharing"",""ระนอง!Q337"")+IMPORTRANGE(""https://docs.google.com/spreadsheets/d/"&amp;"1IbSCnFOKpZsnFogBHJnL_isstZVaOMnFiIN0fGTPZZw/edit?usp=sharing"",""สงขลา!Q337"")+IMPORTRANGE(""https://docs.google.com/spreadsheets/d/1q9nWasZJ-K8bFGvbE9n0qSRuKGA4Toe3Y89cKCiVtCU/edit?usp=sharing"",""สตูล!Q337"")+IMPORTRANGE(""https://docs.google.com/sprea"&amp;"dsheets/d/18T20gbkS_WBjdscyTOV05cvq_JqvqQ17C81mpxf7Ncs/edit?usp=sharing"",""สุราษฎร์ธานี!Q337"")"),0)</f>
        <v>0</v>
      </c>
      <c r="R337" s="47">
        <f ca="1">IFERROR(__xludf.DUMMYFUNCTION("IMPORTRANGE(""https://docs.google.com/spreadsheets/d/1kKUcYdkIfrgTSj8iHHHB2MD2FAtwyyocFgqGQn6ADyI/edit?usp=sharing"",""กระบี่!R337"")+IMPORTRANGE(""https://docs.google.com/spreadsheets/d/1GwtLaSlNZkLk7iDqcyZz22giiy40b_usZZBXYciEN1U/edit?usp=sharing"",""ชุ"&amp;"มพร!R337"")+IMPORTRANGE(""https://docs.google.com/spreadsheets/d/16pAz3pOhQEZBhvFNMa5KGgZS6iKWpsKX0pg6tQmwFpo/edit?usp=sharing"",""ตรัง!R337"")+IMPORTRANGE(""https://docs.google.com/spreadsheets/d/1Dj4jcHCTV9JXKCaMoheSXS52JE63kDKyG7bPXnFogHk/edit?usp=shar"&amp;"ing"",""นครศรีธรรมราช!R337"")+IMPORTRANGE(""https://docs.google.com/spreadsheets/d/1iodCdmuK2GR3jzUwk8tpccY2JHQQA-87DLOtJP-ooyU/edit?usp=sharing"",""นราธิวาส!R337"")+IMPORTRANGE(""https://docs.google.com/spreadsheets/d/1SDNX3JhDdYRuIOsj0Wh2M-Qa_eaXl0NbWmh"&amp;"AOTbfQAs/edit?usp=sharing"",""ปัตตานี!R337"")+IMPORTRANGE(""https://docs.google.com/spreadsheets/d/16JDLGguT8s5DsGCND1KcwHP_AWR_zDMTqLHPLJUKhaU/edit?usp=sharing"",""พังงา!R337"")+IMPORTRANGE(""https://docs.google.com/spreadsheets/d/17ht0gPKzzT3PObBL1XJkeR"&amp;"mntBXI7wGjpLV7QorqlTk/edit?usp=sharing"",""พัทลุง!R337"")+IMPORTRANGE(""https://docs.google.com/spreadsheets/d/1rd4qoM1q_hsgaolqNGfrim9gbsoLxQsda4-vOz5x_BM/edit?usp=sharing"",""ภูเก็ต!R337"")+IMPORTRANGE(""https://docs.google.com/spreadsheets/d/1woKwKjgoL"&amp;"ssDvPcPeVyezB5izizAn4X1JDrys69n6xI/edit?usp=sharing"",""ยะลา!R337"")+IMPORTRANGE(""https://docs.google.com/spreadsheets/d/1qfrKjzMhm2HJfxQ-qVlJlJQ25Hne1d0khsySbZyGtPA/edit?usp=sharing"",""ระนอง!R337"")+IMPORTRANGE(""https://docs.google.com/spreadsheets/d/"&amp;"1IbSCnFOKpZsnFogBHJnL_isstZVaOMnFiIN0fGTPZZw/edit?usp=sharing"",""สงขลา!R337"")+IMPORTRANGE(""https://docs.google.com/spreadsheets/d/1q9nWasZJ-K8bFGvbE9n0qSRuKGA4Toe3Y89cKCiVtCU/edit?usp=sharing"",""สตูล!R337"")+IMPORTRANGE(""https://docs.google.com/sprea"&amp;"dsheets/d/18T20gbkS_WBjdscyTOV05cvq_JqvqQ17C81mpxf7Ncs/edit?usp=sharing"",""สุราษฎร์ธานี!R337"")"),0)</f>
        <v>0</v>
      </c>
      <c r="S337" s="47">
        <f ca="1">IFERROR(__xludf.DUMMYFUNCTION("IMPORTRANGE(""https://docs.google.com/spreadsheets/d/1kKUcYdkIfrgTSj8iHHHB2MD2FAtwyyocFgqGQn6ADyI/edit?usp=sharing"",""กระบี่!S337"")+IMPORTRANGE(""https://docs.google.com/spreadsheets/d/1GwtLaSlNZkLk7iDqcyZz22giiy40b_usZZBXYciEN1U/edit?usp=sharing"",""ชุ"&amp;"มพร!S337"")+IMPORTRANGE(""https://docs.google.com/spreadsheets/d/16pAz3pOhQEZBhvFNMa5KGgZS6iKWpsKX0pg6tQmwFpo/edit?usp=sharing"",""ตรัง!S337"")+IMPORTRANGE(""https://docs.google.com/spreadsheets/d/1Dj4jcHCTV9JXKCaMoheSXS52JE63kDKyG7bPXnFogHk/edit?usp=shar"&amp;"ing"",""นครศรีธรรมราช!S337"")+IMPORTRANGE(""https://docs.google.com/spreadsheets/d/1iodCdmuK2GR3jzUwk8tpccY2JHQQA-87DLOtJP-ooyU/edit?usp=sharing"",""นราธิวาส!S337"")+IMPORTRANGE(""https://docs.google.com/spreadsheets/d/1SDNX3JhDdYRuIOsj0Wh2M-Qa_eaXl0NbWmh"&amp;"AOTbfQAs/edit?usp=sharing"",""ปัตตานี!S337"")+IMPORTRANGE(""https://docs.google.com/spreadsheets/d/16JDLGguT8s5DsGCND1KcwHP_AWR_zDMTqLHPLJUKhaU/edit?usp=sharing"",""พังงา!S337"")+IMPORTRANGE(""https://docs.google.com/spreadsheets/d/17ht0gPKzzT3PObBL1XJkeR"&amp;"mntBXI7wGjpLV7QorqlTk/edit?usp=sharing"",""พัทลุง!S337"")+IMPORTRANGE(""https://docs.google.com/spreadsheets/d/1rd4qoM1q_hsgaolqNGfrim9gbsoLxQsda4-vOz5x_BM/edit?usp=sharing"",""ภูเก็ต!S337"")+IMPORTRANGE(""https://docs.google.com/spreadsheets/d/1woKwKjgoL"&amp;"ssDvPcPeVyezB5izizAn4X1JDrys69n6xI/edit?usp=sharing"",""ยะลา!S337"")+IMPORTRANGE(""https://docs.google.com/spreadsheets/d/1qfrKjzMhm2HJfxQ-qVlJlJQ25Hne1d0khsySbZyGtPA/edit?usp=sharing"",""ระนอง!S337"")+IMPORTRANGE(""https://docs.google.com/spreadsheets/d/"&amp;"1IbSCnFOKpZsnFogBHJnL_isstZVaOMnFiIN0fGTPZZw/edit?usp=sharing"",""สงขลา!S337"")+IMPORTRANGE(""https://docs.google.com/spreadsheets/d/1q9nWasZJ-K8bFGvbE9n0qSRuKGA4Toe3Y89cKCiVtCU/edit?usp=sharing"",""สตูล!S337"")+IMPORTRANGE(""https://docs.google.com/sprea"&amp;"dsheets/d/18T20gbkS_WBjdscyTOV05cvq_JqvqQ17C81mpxf7Ncs/edit?usp=sharing"",""สุราษฎร์ธานี!S337"")"),0)</f>
        <v>0</v>
      </c>
      <c r="T337" s="49">
        <f t="shared" ca="1" si="256"/>
        <v>0</v>
      </c>
      <c r="U337" s="49">
        <f t="shared" ca="1" si="257"/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7">
        <f ca="1">IFERROR(__xludf.DUMMYFUNCTION("IMPORTRANGE(""https://docs.google.com/spreadsheets/d/1kKUcYdkIfrgTSj8iHHHB2MD2FAtwyyocFgqGQn6ADyI/edit?usp=sharing"",""กระบี่!L338"")+IMPORTRANGE(""https://docs.google.com/spreadsheets/d/1GwtLaSlNZkLk7iDqcyZz22giiy40b_usZZBXYciEN1U/edit?usp=sharing"",""ชุ"&amp;"มพร!L338"")+IMPORTRANGE(""https://docs.google.com/spreadsheets/d/16pAz3pOhQEZBhvFNMa5KGgZS6iKWpsKX0pg6tQmwFpo/edit?usp=sharing"",""ตรัง!L338"")+IMPORTRANGE(""https://docs.google.com/spreadsheets/d/1Dj4jcHCTV9JXKCaMoheSXS52JE63kDKyG7bPXnFogHk/edit?usp=shar"&amp;"ing"",""นครศรีธรรมราช!L338"")+IMPORTRANGE(""https://docs.google.com/spreadsheets/d/1iodCdmuK2GR3jzUwk8tpccY2JHQQA-87DLOtJP-ooyU/edit?usp=sharing"",""นราธิวาส!L338"")+IMPORTRANGE(""https://docs.google.com/spreadsheets/d/1SDNX3JhDdYRuIOsj0Wh2M-Qa_eaXl0NbWmh"&amp;"AOTbfQAs/edit?usp=sharing"",""ปัตตานี!L338"")+IMPORTRANGE(""https://docs.google.com/spreadsheets/d/16JDLGguT8s5DsGCND1KcwHP_AWR_zDMTqLHPLJUKhaU/edit?usp=sharing"",""พังงา!L338"")+IMPORTRANGE(""https://docs.google.com/spreadsheets/d/17ht0gPKzzT3PObBL1XJkeR"&amp;"mntBXI7wGjpLV7QorqlTk/edit?usp=sharing"",""พัทลุง!L338"")+IMPORTRANGE(""https://docs.google.com/spreadsheets/d/1rd4qoM1q_hsgaolqNGfrim9gbsoLxQsda4-vOz5x_BM/edit?usp=sharing"",""ภูเก็ต!L338"")+IMPORTRANGE(""https://docs.google.com/spreadsheets/d/1woKwKjgoL"&amp;"ssDvPcPeVyezB5izizAn4X1JDrys69n6xI/edit?usp=sharing"",""ยะลา!L338"")+IMPORTRANGE(""https://docs.google.com/spreadsheets/d/1qfrKjzMhm2HJfxQ-qVlJlJQ25Hne1d0khsySbZyGtPA/edit?usp=sharing"",""ระนอง!L338"")+IMPORTRANGE(""https://docs.google.com/spreadsheets/d/"&amp;"1IbSCnFOKpZsnFogBHJnL_isstZVaOMnFiIN0fGTPZZw/edit?usp=sharing"",""สงขลา!L338"")+IMPORTRANGE(""https://docs.google.com/spreadsheets/d/1q9nWasZJ-K8bFGvbE9n0qSRuKGA4Toe3Y89cKCiVtCU/edit?usp=sharing"",""สตูล!L338"")+IMPORTRANGE(""https://docs.google.com/sprea"&amp;"dsheets/d/18T20gbkS_WBjdscyTOV05cvq_JqvqQ17C81mpxf7Ncs/edit?usp=sharing"",""สุราษฎร์ธานี!L338"")"),2981100)</f>
        <v>2981100</v>
      </c>
      <c r="M338" s="47">
        <f ca="1">IFERROR(__xludf.DUMMYFUNCTION("IMPORTRANGE(""https://docs.google.com/spreadsheets/d/1kKUcYdkIfrgTSj8iHHHB2MD2FAtwyyocFgqGQn6ADyI/edit?usp=sharing"",""กระบี่!M338"")+IMPORTRANGE(""https://docs.google.com/spreadsheets/d/1GwtLaSlNZkLk7iDqcyZz22giiy40b_usZZBXYciEN1U/edit?usp=sharing"",""ชุ"&amp;"มพร!M338"")+IMPORTRANGE(""https://docs.google.com/spreadsheets/d/16pAz3pOhQEZBhvFNMa5KGgZS6iKWpsKX0pg6tQmwFpo/edit?usp=sharing"",""ตรัง!M338"")+IMPORTRANGE(""https://docs.google.com/spreadsheets/d/1Dj4jcHCTV9JXKCaMoheSXS52JE63kDKyG7bPXnFogHk/edit?usp=shar"&amp;"ing"",""นครศรีธรรมราช!M338"")+IMPORTRANGE(""https://docs.google.com/spreadsheets/d/1iodCdmuK2GR3jzUwk8tpccY2JHQQA-87DLOtJP-ooyU/edit?usp=sharing"",""นราธิวาส!M338"")+IMPORTRANGE(""https://docs.google.com/spreadsheets/d/1SDNX3JhDdYRuIOsj0Wh2M-Qa_eaXl0NbWmh"&amp;"AOTbfQAs/edit?usp=sharing"",""ปัตตานี!M338"")+IMPORTRANGE(""https://docs.google.com/spreadsheets/d/16JDLGguT8s5DsGCND1KcwHP_AWR_zDMTqLHPLJUKhaU/edit?usp=sharing"",""พังงา!M338"")+IMPORTRANGE(""https://docs.google.com/spreadsheets/d/17ht0gPKzzT3PObBL1XJkeR"&amp;"mntBXI7wGjpLV7QorqlTk/edit?usp=sharing"",""พัทลุง!M338"")+IMPORTRANGE(""https://docs.google.com/spreadsheets/d/1rd4qoM1q_hsgaolqNGfrim9gbsoLxQsda4-vOz5x_BM/edit?usp=sharing"",""ภูเก็ต!M338"")+IMPORTRANGE(""https://docs.google.com/spreadsheets/d/1woKwKjgoL"&amp;"ssDvPcPeVyezB5izizAn4X1JDrys69n6xI/edit?usp=sharing"",""ยะลา!M338"")+IMPORTRANGE(""https://docs.google.com/spreadsheets/d/1qfrKjzMhm2HJfxQ-qVlJlJQ25Hne1d0khsySbZyGtPA/edit?usp=sharing"",""ระนอง!M338"")+IMPORTRANGE(""https://docs.google.com/spreadsheets/d/"&amp;"1IbSCnFOKpZsnFogBHJnL_isstZVaOMnFiIN0fGTPZZw/edit?usp=sharing"",""สงขลา!M338"")+IMPORTRANGE(""https://docs.google.com/spreadsheets/d/1q9nWasZJ-K8bFGvbE9n0qSRuKGA4Toe3Y89cKCiVtCU/edit?usp=sharing"",""สตูล!M338"")+IMPORTRANGE(""https://docs.google.com/sprea"&amp;"dsheets/d/18T20gbkS_WBjdscyTOV05cvq_JqvqQ17C81mpxf7Ncs/edit?usp=sharing"",""สุราษฎร์ธานี!M338"")"),3032275)</f>
        <v>3032275</v>
      </c>
      <c r="N338" s="47">
        <f ca="1">IFERROR(__xludf.DUMMYFUNCTION("IMPORTRANGE(""https://docs.google.com/spreadsheets/d/1kKUcYdkIfrgTSj8iHHHB2MD2FAtwyyocFgqGQn6ADyI/edit?usp=sharing"",""กระบี่!N338"")+IMPORTRANGE(""https://docs.google.com/spreadsheets/d/1GwtLaSlNZkLk7iDqcyZz22giiy40b_usZZBXYciEN1U/edit?usp=sharing"",""ชุ"&amp;"มพร!N338"")+IMPORTRANGE(""https://docs.google.com/spreadsheets/d/16pAz3pOhQEZBhvFNMa5KGgZS6iKWpsKX0pg6tQmwFpo/edit?usp=sharing"",""ตรัง!N338"")+IMPORTRANGE(""https://docs.google.com/spreadsheets/d/1Dj4jcHCTV9JXKCaMoheSXS52JE63kDKyG7bPXnFogHk/edit?usp=shar"&amp;"ing"",""นครศรีธรรมราช!N338"")+IMPORTRANGE(""https://docs.google.com/spreadsheets/d/1iodCdmuK2GR3jzUwk8tpccY2JHQQA-87DLOtJP-ooyU/edit?usp=sharing"",""นราธิวาส!N338"")+IMPORTRANGE(""https://docs.google.com/spreadsheets/d/1SDNX3JhDdYRuIOsj0Wh2M-Qa_eaXl0NbWmh"&amp;"AOTbfQAs/edit?usp=sharing"",""ปัตตานี!N338"")+IMPORTRANGE(""https://docs.google.com/spreadsheets/d/16JDLGguT8s5DsGCND1KcwHP_AWR_zDMTqLHPLJUKhaU/edit?usp=sharing"",""พังงา!N338"")+IMPORTRANGE(""https://docs.google.com/spreadsheets/d/17ht0gPKzzT3PObBL1XJkeR"&amp;"mntBXI7wGjpLV7QorqlTk/edit?usp=sharing"",""พัทลุง!N338"")+IMPORTRANGE(""https://docs.google.com/spreadsheets/d/1rd4qoM1q_hsgaolqNGfrim9gbsoLxQsda4-vOz5x_BM/edit?usp=sharing"",""ภูเก็ต!N338"")+IMPORTRANGE(""https://docs.google.com/spreadsheets/d/1woKwKjgoL"&amp;"ssDvPcPeVyezB5izizAn4X1JDrys69n6xI/edit?usp=sharing"",""ยะลา!N338"")+IMPORTRANGE(""https://docs.google.com/spreadsheets/d/1qfrKjzMhm2HJfxQ-qVlJlJQ25Hne1d0khsySbZyGtPA/edit?usp=sharing"",""ระนอง!N338"")+IMPORTRANGE(""https://docs.google.com/spreadsheets/d/"&amp;"1IbSCnFOKpZsnFogBHJnL_isstZVaOMnFiIN0fGTPZZw/edit?usp=sharing"",""สงขลา!N338"")+IMPORTRANGE(""https://docs.google.com/spreadsheets/d/1q9nWasZJ-K8bFGvbE9n0qSRuKGA4Toe3Y89cKCiVtCU/edit?usp=sharing"",""สตูล!N338"")+IMPORTRANGE(""https://docs.google.com/sprea"&amp;"dsheets/d/18T20gbkS_WBjdscyTOV05cvq_JqvqQ17C81mpxf7Ncs/edit?usp=sharing"",""สุราษฎร์ธานี!N338"")"),1584272.38)</f>
        <v>1584272.38</v>
      </c>
      <c r="O338" s="47">
        <f t="shared" ca="1" si="253"/>
        <v>53.14388581396129</v>
      </c>
      <c r="P338" s="47">
        <f t="shared" ca="1" si="254"/>
        <v>52.246988812030573</v>
      </c>
      <c r="Q338" s="47">
        <f ca="1">IFERROR(__xludf.DUMMYFUNCTION("IMPORTRANGE(""https://docs.google.com/spreadsheets/d/1kKUcYdkIfrgTSj8iHHHB2MD2FAtwyyocFgqGQn6ADyI/edit?usp=sharing"",""กระบี่!Q338"")+IMPORTRANGE(""https://docs.google.com/spreadsheets/d/1GwtLaSlNZkLk7iDqcyZz22giiy40b_usZZBXYciEN1U/edit?usp=sharing"",""ชุ"&amp;"มพร!Q338"")+IMPORTRANGE(""https://docs.google.com/spreadsheets/d/16pAz3pOhQEZBhvFNMa5KGgZS6iKWpsKX0pg6tQmwFpo/edit?usp=sharing"",""ตรัง!Q338"")+IMPORTRANGE(""https://docs.google.com/spreadsheets/d/1Dj4jcHCTV9JXKCaMoheSXS52JE63kDKyG7bPXnFogHk/edit?usp=shar"&amp;"ing"",""นครศรีธรรมราช!Q338"")+IMPORTRANGE(""https://docs.google.com/spreadsheets/d/1iodCdmuK2GR3jzUwk8tpccY2JHQQA-87DLOtJP-ooyU/edit?usp=sharing"",""นราธิวาส!Q338"")+IMPORTRANGE(""https://docs.google.com/spreadsheets/d/1SDNX3JhDdYRuIOsj0Wh2M-Qa_eaXl0NbWmh"&amp;"AOTbfQAs/edit?usp=sharing"",""ปัตตานี!Q338"")+IMPORTRANGE(""https://docs.google.com/spreadsheets/d/16JDLGguT8s5DsGCND1KcwHP_AWR_zDMTqLHPLJUKhaU/edit?usp=sharing"",""พังงา!Q338"")+IMPORTRANGE(""https://docs.google.com/spreadsheets/d/17ht0gPKzzT3PObBL1XJkeR"&amp;"mntBXI7wGjpLV7QorqlTk/edit?usp=sharing"",""พัทลุง!Q338"")+IMPORTRANGE(""https://docs.google.com/spreadsheets/d/1rd4qoM1q_hsgaolqNGfrim9gbsoLxQsda4-vOz5x_BM/edit?usp=sharing"",""ภูเก็ต!Q338"")+IMPORTRANGE(""https://docs.google.com/spreadsheets/d/1woKwKjgoL"&amp;"ssDvPcPeVyezB5izizAn4X1JDrys69n6xI/edit?usp=sharing"",""ยะลา!Q338"")+IMPORTRANGE(""https://docs.google.com/spreadsheets/d/1qfrKjzMhm2HJfxQ-qVlJlJQ25Hne1d0khsySbZyGtPA/edit?usp=sharing"",""ระนอง!Q338"")+IMPORTRANGE(""https://docs.google.com/spreadsheets/d/"&amp;"1IbSCnFOKpZsnFogBHJnL_isstZVaOMnFiIN0fGTPZZw/edit?usp=sharing"",""สงขลา!Q338"")+IMPORTRANGE(""https://docs.google.com/spreadsheets/d/1q9nWasZJ-K8bFGvbE9n0qSRuKGA4Toe3Y89cKCiVtCU/edit?usp=sharing"",""สตูล!Q338"")+IMPORTRANGE(""https://docs.google.com/sprea"&amp;"dsheets/d/18T20gbkS_WBjdscyTOV05cvq_JqvqQ17C81mpxf7Ncs/edit?usp=sharing"",""สุราษฎร์ธานี!Q338"")"),0)</f>
        <v>0</v>
      </c>
      <c r="R338" s="47">
        <f ca="1">IFERROR(__xludf.DUMMYFUNCTION("IMPORTRANGE(""https://docs.google.com/spreadsheets/d/1kKUcYdkIfrgTSj8iHHHB2MD2FAtwyyocFgqGQn6ADyI/edit?usp=sharing"",""กระบี่!R338"")+IMPORTRANGE(""https://docs.google.com/spreadsheets/d/1GwtLaSlNZkLk7iDqcyZz22giiy40b_usZZBXYciEN1U/edit?usp=sharing"",""ชุ"&amp;"มพร!R338"")+IMPORTRANGE(""https://docs.google.com/spreadsheets/d/16pAz3pOhQEZBhvFNMa5KGgZS6iKWpsKX0pg6tQmwFpo/edit?usp=sharing"",""ตรัง!R338"")+IMPORTRANGE(""https://docs.google.com/spreadsheets/d/1Dj4jcHCTV9JXKCaMoheSXS52JE63kDKyG7bPXnFogHk/edit?usp=shar"&amp;"ing"",""นครศรีธรรมราช!R338"")+IMPORTRANGE(""https://docs.google.com/spreadsheets/d/1iodCdmuK2GR3jzUwk8tpccY2JHQQA-87DLOtJP-ooyU/edit?usp=sharing"",""นราธิวาส!R338"")+IMPORTRANGE(""https://docs.google.com/spreadsheets/d/1SDNX3JhDdYRuIOsj0Wh2M-Qa_eaXl0NbWmh"&amp;"AOTbfQAs/edit?usp=sharing"",""ปัตตานี!R338"")+IMPORTRANGE(""https://docs.google.com/spreadsheets/d/16JDLGguT8s5DsGCND1KcwHP_AWR_zDMTqLHPLJUKhaU/edit?usp=sharing"",""พังงา!R338"")+IMPORTRANGE(""https://docs.google.com/spreadsheets/d/17ht0gPKzzT3PObBL1XJkeR"&amp;"mntBXI7wGjpLV7QorqlTk/edit?usp=sharing"",""พัทลุง!R338"")+IMPORTRANGE(""https://docs.google.com/spreadsheets/d/1rd4qoM1q_hsgaolqNGfrim9gbsoLxQsda4-vOz5x_BM/edit?usp=sharing"",""ภูเก็ต!R338"")+IMPORTRANGE(""https://docs.google.com/spreadsheets/d/1woKwKjgoL"&amp;"ssDvPcPeVyezB5izizAn4X1JDrys69n6xI/edit?usp=sharing"",""ยะลา!R338"")+IMPORTRANGE(""https://docs.google.com/spreadsheets/d/1qfrKjzMhm2HJfxQ-qVlJlJQ25Hne1d0khsySbZyGtPA/edit?usp=sharing"",""ระนอง!R338"")+IMPORTRANGE(""https://docs.google.com/spreadsheets/d/"&amp;"1IbSCnFOKpZsnFogBHJnL_isstZVaOMnFiIN0fGTPZZw/edit?usp=sharing"",""สงขลา!R338"")+IMPORTRANGE(""https://docs.google.com/spreadsheets/d/1q9nWasZJ-K8bFGvbE9n0qSRuKGA4Toe3Y89cKCiVtCU/edit?usp=sharing"",""สตูล!R338"")+IMPORTRANGE(""https://docs.google.com/sprea"&amp;"dsheets/d/18T20gbkS_WBjdscyTOV05cvq_JqvqQ17C81mpxf7Ncs/edit?usp=sharing"",""สุราษฎร์ธานี!R338"")"),0)</f>
        <v>0</v>
      </c>
      <c r="S338" s="47">
        <f ca="1">IFERROR(__xludf.DUMMYFUNCTION("IMPORTRANGE(""https://docs.google.com/spreadsheets/d/1kKUcYdkIfrgTSj8iHHHB2MD2FAtwyyocFgqGQn6ADyI/edit?usp=sharing"",""กระบี่!S338"")+IMPORTRANGE(""https://docs.google.com/spreadsheets/d/1GwtLaSlNZkLk7iDqcyZz22giiy40b_usZZBXYciEN1U/edit?usp=sharing"",""ชุ"&amp;"มพร!S338"")+IMPORTRANGE(""https://docs.google.com/spreadsheets/d/16pAz3pOhQEZBhvFNMa5KGgZS6iKWpsKX0pg6tQmwFpo/edit?usp=sharing"",""ตรัง!S338"")+IMPORTRANGE(""https://docs.google.com/spreadsheets/d/1Dj4jcHCTV9JXKCaMoheSXS52JE63kDKyG7bPXnFogHk/edit?usp=shar"&amp;"ing"",""นครศรีธรรมราช!S338"")+IMPORTRANGE(""https://docs.google.com/spreadsheets/d/1iodCdmuK2GR3jzUwk8tpccY2JHQQA-87DLOtJP-ooyU/edit?usp=sharing"",""นราธิวาส!S338"")+IMPORTRANGE(""https://docs.google.com/spreadsheets/d/1SDNX3JhDdYRuIOsj0Wh2M-Qa_eaXl0NbWmh"&amp;"AOTbfQAs/edit?usp=sharing"",""ปัตตานี!S338"")+IMPORTRANGE(""https://docs.google.com/spreadsheets/d/16JDLGguT8s5DsGCND1KcwHP_AWR_zDMTqLHPLJUKhaU/edit?usp=sharing"",""พังงา!S338"")+IMPORTRANGE(""https://docs.google.com/spreadsheets/d/17ht0gPKzzT3PObBL1XJkeR"&amp;"mntBXI7wGjpLV7QorqlTk/edit?usp=sharing"",""พัทลุง!S338"")+IMPORTRANGE(""https://docs.google.com/spreadsheets/d/1rd4qoM1q_hsgaolqNGfrim9gbsoLxQsda4-vOz5x_BM/edit?usp=sharing"",""ภูเก็ต!S338"")+IMPORTRANGE(""https://docs.google.com/spreadsheets/d/1woKwKjgoL"&amp;"ssDvPcPeVyezB5izizAn4X1JDrys69n6xI/edit?usp=sharing"",""ยะลา!S338"")+IMPORTRANGE(""https://docs.google.com/spreadsheets/d/1qfrKjzMhm2HJfxQ-qVlJlJQ25Hne1d0khsySbZyGtPA/edit?usp=sharing"",""ระนอง!S338"")+IMPORTRANGE(""https://docs.google.com/spreadsheets/d/"&amp;"1IbSCnFOKpZsnFogBHJnL_isstZVaOMnFiIN0fGTPZZw/edit?usp=sharing"",""สงขลา!S338"")+IMPORTRANGE(""https://docs.google.com/spreadsheets/d/1q9nWasZJ-K8bFGvbE9n0qSRuKGA4Toe3Y89cKCiVtCU/edit?usp=sharing"",""สตูล!S338"")+IMPORTRANGE(""https://docs.google.com/sprea"&amp;"dsheets/d/18T20gbkS_WBjdscyTOV05cvq_JqvqQ17C81mpxf7Ncs/edit?usp=sharing"",""สุราษฎร์ธานี!S338"")"),0)</f>
        <v>0</v>
      </c>
      <c r="T338" s="47">
        <f t="shared" ca="1" si="256"/>
        <v>0</v>
      </c>
      <c r="U338" s="47">
        <f t="shared" ca="1" si="257"/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7">
        <f t="shared" ref="L339:N339" ca="1" si="264">L340+L341</f>
        <v>850000</v>
      </c>
      <c r="M339" s="47">
        <f t="shared" ca="1" si="264"/>
        <v>850000</v>
      </c>
      <c r="N339" s="47">
        <f t="shared" ca="1" si="264"/>
        <v>0</v>
      </c>
      <c r="O339" s="47">
        <f t="shared" ca="1" si="253"/>
        <v>0</v>
      </c>
      <c r="P339" s="47">
        <f t="shared" ca="1" si="254"/>
        <v>0</v>
      </c>
      <c r="Q339" s="47">
        <f t="shared" ref="Q339:S339" ca="1" si="265">Q340+Q341</f>
        <v>0</v>
      </c>
      <c r="R339" s="47">
        <f t="shared" ca="1" si="265"/>
        <v>0</v>
      </c>
      <c r="S339" s="47">
        <f t="shared" ca="1" si="265"/>
        <v>0</v>
      </c>
      <c r="T339" s="47">
        <f t="shared" ca="1" si="256"/>
        <v>0</v>
      </c>
      <c r="U339" s="47">
        <f t="shared" ca="1" si="257"/>
        <v>0</v>
      </c>
    </row>
    <row r="340" spans="1:21" ht="18.75" hidden="1" x14ac:dyDescent="0.25">
      <c r="A340" s="128"/>
      <c r="B340" s="41"/>
      <c r="C340" s="41"/>
      <c r="D340" s="41"/>
      <c r="E340" s="48" t="s">
        <v>20</v>
      </c>
      <c r="F340" s="41"/>
      <c r="G340" s="43"/>
      <c r="H340" s="134" t="s">
        <v>14</v>
      </c>
      <c r="I340" s="135"/>
      <c r="J340" s="135"/>
      <c r="K340" s="136"/>
      <c r="L340" s="47">
        <f ca="1">IFERROR(__xludf.DUMMYFUNCTION("IMPORTRANGE(""https://docs.google.com/spreadsheets/d/1kKUcYdkIfrgTSj8iHHHB2MD2FAtwyyocFgqGQn6ADyI/edit?usp=sharing"",""กระบี่!L340"")+IMPORTRANGE(""https://docs.google.com/spreadsheets/d/1GwtLaSlNZkLk7iDqcyZz22giiy40b_usZZBXYciEN1U/edit?usp=sharing"",""ชุ"&amp;"มพร!L340"")+IMPORTRANGE(""https://docs.google.com/spreadsheets/d/16pAz3pOhQEZBhvFNMa5KGgZS6iKWpsKX0pg6tQmwFpo/edit?usp=sharing"",""ตรัง!L340"")+IMPORTRANGE(""https://docs.google.com/spreadsheets/d/1Dj4jcHCTV9JXKCaMoheSXS52JE63kDKyG7bPXnFogHk/edit?usp=shar"&amp;"ing"",""นครศรีธรรมราช!L340"")+IMPORTRANGE(""https://docs.google.com/spreadsheets/d/1iodCdmuK2GR3jzUwk8tpccY2JHQQA-87DLOtJP-ooyU/edit?usp=sharing"",""นราธิวาส!L340"")+IMPORTRANGE(""https://docs.google.com/spreadsheets/d/1SDNX3JhDdYRuIOsj0Wh2M-Qa_eaXl0NbWmh"&amp;"AOTbfQAs/edit?usp=sharing"",""ปัตตานี!L340"")+IMPORTRANGE(""https://docs.google.com/spreadsheets/d/16JDLGguT8s5DsGCND1KcwHP_AWR_zDMTqLHPLJUKhaU/edit?usp=sharing"",""พังงา!L340"")+IMPORTRANGE(""https://docs.google.com/spreadsheets/d/17ht0gPKzzT3PObBL1XJkeR"&amp;"mntBXI7wGjpLV7QorqlTk/edit?usp=sharing"",""พัทลุง!L340"")+IMPORTRANGE(""https://docs.google.com/spreadsheets/d/1rd4qoM1q_hsgaolqNGfrim9gbsoLxQsda4-vOz5x_BM/edit?usp=sharing"",""ภูเก็ต!L340"")+IMPORTRANGE(""https://docs.google.com/spreadsheets/d/1woKwKjgoL"&amp;"ssDvPcPeVyezB5izizAn4X1JDrys69n6xI/edit?usp=sharing"",""ยะลา!L340"")+IMPORTRANGE(""https://docs.google.com/spreadsheets/d/1qfrKjzMhm2HJfxQ-qVlJlJQ25Hne1d0khsySbZyGtPA/edit?usp=sharing"",""ระนอง!L340"")+IMPORTRANGE(""https://docs.google.com/spreadsheets/d/"&amp;"1IbSCnFOKpZsnFogBHJnL_isstZVaOMnFiIN0fGTPZZw/edit?usp=sharing"",""สงขลา!L340"")+IMPORTRANGE(""https://docs.google.com/spreadsheets/d/1q9nWasZJ-K8bFGvbE9n0qSRuKGA4Toe3Y89cKCiVtCU/edit?usp=sharing"",""สตูล!L340"")+IMPORTRANGE(""https://docs.google.com/sprea"&amp;"dsheets/d/18T20gbkS_WBjdscyTOV05cvq_JqvqQ17C81mpxf7Ncs/edit?usp=sharing"",""สุราษฎร์ธานี!L340"")"),0)</f>
        <v>0</v>
      </c>
      <c r="M340" s="47">
        <f ca="1">IFERROR(__xludf.DUMMYFUNCTION("IMPORTRANGE(""https://docs.google.com/spreadsheets/d/1kKUcYdkIfrgTSj8iHHHB2MD2FAtwyyocFgqGQn6ADyI/edit?usp=sharing"",""กระบี่!M340"")+IMPORTRANGE(""https://docs.google.com/spreadsheets/d/1GwtLaSlNZkLk7iDqcyZz22giiy40b_usZZBXYciEN1U/edit?usp=sharing"",""ชุ"&amp;"มพร!M340"")+IMPORTRANGE(""https://docs.google.com/spreadsheets/d/16pAz3pOhQEZBhvFNMa5KGgZS6iKWpsKX0pg6tQmwFpo/edit?usp=sharing"",""ตรัง!M340"")+IMPORTRANGE(""https://docs.google.com/spreadsheets/d/1Dj4jcHCTV9JXKCaMoheSXS52JE63kDKyG7bPXnFogHk/edit?usp=shar"&amp;"ing"",""นครศรีธรรมราช!M340"")+IMPORTRANGE(""https://docs.google.com/spreadsheets/d/1iodCdmuK2GR3jzUwk8tpccY2JHQQA-87DLOtJP-ooyU/edit?usp=sharing"",""นราธิวาส!M340"")+IMPORTRANGE(""https://docs.google.com/spreadsheets/d/1SDNX3JhDdYRuIOsj0Wh2M-Qa_eaXl0NbWmh"&amp;"AOTbfQAs/edit?usp=sharing"",""ปัตตานี!M340"")+IMPORTRANGE(""https://docs.google.com/spreadsheets/d/16JDLGguT8s5DsGCND1KcwHP_AWR_zDMTqLHPLJUKhaU/edit?usp=sharing"",""พังงา!M340"")+IMPORTRANGE(""https://docs.google.com/spreadsheets/d/17ht0gPKzzT3PObBL1XJkeR"&amp;"mntBXI7wGjpLV7QorqlTk/edit?usp=sharing"",""พัทลุง!M340"")+IMPORTRANGE(""https://docs.google.com/spreadsheets/d/1rd4qoM1q_hsgaolqNGfrim9gbsoLxQsda4-vOz5x_BM/edit?usp=sharing"",""ภูเก็ต!M340"")+IMPORTRANGE(""https://docs.google.com/spreadsheets/d/1woKwKjgoL"&amp;"ssDvPcPeVyezB5izizAn4X1JDrys69n6xI/edit?usp=sharing"",""ยะลา!M340"")+IMPORTRANGE(""https://docs.google.com/spreadsheets/d/1qfrKjzMhm2HJfxQ-qVlJlJQ25Hne1d0khsySbZyGtPA/edit?usp=sharing"",""ระนอง!M340"")+IMPORTRANGE(""https://docs.google.com/spreadsheets/d/"&amp;"1IbSCnFOKpZsnFogBHJnL_isstZVaOMnFiIN0fGTPZZw/edit?usp=sharing"",""สงขลา!M340"")+IMPORTRANGE(""https://docs.google.com/spreadsheets/d/1q9nWasZJ-K8bFGvbE9n0qSRuKGA4Toe3Y89cKCiVtCU/edit?usp=sharing"",""สตูล!M340"")+IMPORTRANGE(""https://docs.google.com/sprea"&amp;"dsheets/d/18T20gbkS_WBjdscyTOV05cvq_JqvqQ17C81mpxf7Ncs/edit?usp=sharing"",""สุราษฎร์ธานี!M340"")"),0)</f>
        <v>0</v>
      </c>
      <c r="N340" s="47">
        <f ca="1">IFERROR(__xludf.DUMMYFUNCTION("IMPORTRANGE(""https://docs.google.com/spreadsheets/d/1kKUcYdkIfrgTSj8iHHHB2MD2FAtwyyocFgqGQn6ADyI/edit?usp=sharing"",""กระบี่!N340"")+IMPORTRANGE(""https://docs.google.com/spreadsheets/d/1GwtLaSlNZkLk7iDqcyZz22giiy40b_usZZBXYciEN1U/edit?usp=sharing"",""ชุ"&amp;"มพร!N340"")+IMPORTRANGE(""https://docs.google.com/spreadsheets/d/16pAz3pOhQEZBhvFNMa5KGgZS6iKWpsKX0pg6tQmwFpo/edit?usp=sharing"",""ตรัง!N340"")+IMPORTRANGE(""https://docs.google.com/spreadsheets/d/1Dj4jcHCTV9JXKCaMoheSXS52JE63kDKyG7bPXnFogHk/edit?usp=shar"&amp;"ing"",""นครศรีธรรมราช!N340"")+IMPORTRANGE(""https://docs.google.com/spreadsheets/d/1iodCdmuK2GR3jzUwk8tpccY2JHQQA-87DLOtJP-ooyU/edit?usp=sharing"",""นราธิวาส!N340"")+IMPORTRANGE(""https://docs.google.com/spreadsheets/d/1SDNX3JhDdYRuIOsj0Wh2M-Qa_eaXl0NbWmh"&amp;"AOTbfQAs/edit?usp=sharing"",""ปัตตานี!N340"")+IMPORTRANGE(""https://docs.google.com/spreadsheets/d/16JDLGguT8s5DsGCND1KcwHP_AWR_zDMTqLHPLJUKhaU/edit?usp=sharing"",""พังงา!N340"")+IMPORTRANGE(""https://docs.google.com/spreadsheets/d/17ht0gPKzzT3PObBL1XJkeR"&amp;"mntBXI7wGjpLV7QorqlTk/edit?usp=sharing"",""พัทลุง!N340"")+IMPORTRANGE(""https://docs.google.com/spreadsheets/d/1rd4qoM1q_hsgaolqNGfrim9gbsoLxQsda4-vOz5x_BM/edit?usp=sharing"",""ภูเก็ต!N340"")+IMPORTRANGE(""https://docs.google.com/spreadsheets/d/1woKwKjgoL"&amp;"ssDvPcPeVyezB5izizAn4X1JDrys69n6xI/edit?usp=sharing"",""ยะลา!N340"")+IMPORTRANGE(""https://docs.google.com/spreadsheets/d/1qfrKjzMhm2HJfxQ-qVlJlJQ25Hne1d0khsySbZyGtPA/edit?usp=sharing"",""ระนอง!N340"")+IMPORTRANGE(""https://docs.google.com/spreadsheets/d/"&amp;"1IbSCnFOKpZsnFogBHJnL_isstZVaOMnFiIN0fGTPZZw/edit?usp=sharing"",""สงขลา!N340"")+IMPORTRANGE(""https://docs.google.com/spreadsheets/d/1q9nWasZJ-K8bFGvbE9n0qSRuKGA4Toe3Y89cKCiVtCU/edit?usp=sharing"",""สตูล!N340"")+IMPORTRANGE(""https://docs.google.com/sprea"&amp;"dsheets/d/18T20gbkS_WBjdscyTOV05cvq_JqvqQ17C81mpxf7Ncs/edit?usp=sharing"",""สุราษฎร์ธานี!N340"")"),0)</f>
        <v>0</v>
      </c>
      <c r="O340" s="47">
        <f t="shared" ca="1" si="253"/>
        <v>0</v>
      </c>
      <c r="P340" s="47">
        <f t="shared" ca="1" si="254"/>
        <v>0</v>
      </c>
      <c r="Q340" s="47">
        <f ca="1">IFERROR(__xludf.DUMMYFUNCTION("IMPORTRANGE(""https://docs.google.com/spreadsheets/d/1kKUcYdkIfrgTSj8iHHHB2MD2FAtwyyocFgqGQn6ADyI/edit?usp=sharing"",""กระบี่!Q340"")+IMPORTRANGE(""https://docs.google.com/spreadsheets/d/1GwtLaSlNZkLk7iDqcyZz22giiy40b_usZZBXYciEN1U/edit?usp=sharing"",""ชุ"&amp;"มพร!Q340"")+IMPORTRANGE(""https://docs.google.com/spreadsheets/d/16pAz3pOhQEZBhvFNMa5KGgZS6iKWpsKX0pg6tQmwFpo/edit?usp=sharing"",""ตรัง!Q340"")+IMPORTRANGE(""https://docs.google.com/spreadsheets/d/1Dj4jcHCTV9JXKCaMoheSXS52JE63kDKyG7bPXnFogHk/edit?usp=shar"&amp;"ing"",""นครศรีธรรมราช!Q340"")+IMPORTRANGE(""https://docs.google.com/spreadsheets/d/1iodCdmuK2GR3jzUwk8tpccY2JHQQA-87DLOtJP-ooyU/edit?usp=sharing"",""นราธิวาส!Q340"")+IMPORTRANGE(""https://docs.google.com/spreadsheets/d/1SDNX3JhDdYRuIOsj0Wh2M-Qa_eaXl0NbWmh"&amp;"AOTbfQAs/edit?usp=sharing"",""ปัตตานี!Q340"")+IMPORTRANGE(""https://docs.google.com/spreadsheets/d/16JDLGguT8s5DsGCND1KcwHP_AWR_zDMTqLHPLJUKhaU/edit?usp=sharing"",""พังงา!Q340"")+IMPORTRANGE(""https://docs.google.com/spreadsheets/d/17ht0gPKzzT3PObBL1XJkeR"&amp;"mntBXI7wGjpLV7QorqlTk/edit?usp=sharing"",""พัทลุง!Q340"")+IMPORTRANGE(""https://docs.google.com/spreadsheets/d/1rd4qoM1q_hsgaolqNGfrim9gbsoLxQsda4-vOz5x_BM/edit?usp=sharing"",""ภูเก็ต!Q340"")+IMPORTRANGE(""https://docs.google.com/spreadsheets/d/1woKwKjgoL"&amp;"ssDvPcPeVyezB5izizAn4X1JDrys69n6xI/edit?usp=sharing"",""ยะลา!Q340"")+IMPORTRANGE(""https://docs.google.com/spreadsheets/d/1qfrKjzMhm2HJfxQ-qVlJlJQ25Hne1d0khsySbZyGtPA/edit?usp=sharing"",""ระนอง!Q340"")+IMPORTRANGE(""https://docs.google.com/spreadsheets/d/"&amp;"1IbSCnFOKpZsnFogBHJnL_isstZVaOMnFiIN0fGTPZZw/edit?usp=sharing"",""สงขลา!Q340"")+IMPORTRANGE(""https://docs.google.com/spreadsheets/d/1q9nWasZJ-K8bFGvbE9n0qSRuKGA4Toe3Y89cKCiVtCU/edit?usp=sharing"",""สตูล!Q340"")+IMPORTRANGE(""https://docs.google.com/sprea"&amp;"dsheets/d/18T20gbkS_WBjdscyTOV05cvq_JqvqQ17C81mpxf7Ncs/edit?usp=sharing"",""สุราษฎร์ธานี!Q340"")"),0)</f>
        <v>0</v>
      </c>
      <c r="R340" s="47">
        <f ca="1">IFERROR(__xludf.DUMMYFUNCTION("IMPORTRANGE(""https://docs.google.com/spreadsheets/d/1kKUcYdkIfrgTSj8iHHHB2MD2FAtwyyocFgqGQn6ADyI/edit?usp=sharing"",""กระบี่!R340"")+IMPORTRANGE(""https://docs.google.com/spreadsheets/d/1GwtLaSlNZkLk7iDqcyZz22giiy40b_usZZBXYciEN1U/edit?usp=sharing"",""ชุ"&amp;"มพร!R340"")+IMPORTRANGE(""https://docs.google.com/spreadsheets/d/16pAz3pOhQEZBhvFNMa5KGgZS6iKWpsKX0pg6tQmwFpo/edit?usp=sharing"",""ตรัง!R340"")+IMPORTRANGE(""https://docs.google.com/spreadsheets/d/1Dj4jcHCTV9JXKCaMoheSXS52JE63kDKyG7bPXnFogHk/edit?usp=shar"&amp;"ing"",""นครศรีธรรมราช!R340"")+IMPORTRANGE(""https://docs.google.com/spreadsheets/d/1iodCdmuK2GR3jzUwk8tpccY2JHQQA-87DLOtJP-ooyU/edit?usp=sharing"",""นราธิวาส!R340"")+IMPORTRANGE(""https://docs.google.com/spreadsheets/d/1SDNX3JhDdYRuIOsj0Wh2M-Qa_eaXl0NbWmh"&amp;"AOTbfQAs/edit?usp=sharing"",""ปัตตานี!R340"")+IMPORTRANGE(""https://docs.google.com/spreadsheets/d/16JDLGguT8s5DsGCND1KcwHP_AWR_zDMTqLHPLJUKhaU/edit?usp=sharing"",""พังงา!R340"")+IMPORTRANGE(""https://docs.google.com/spreadsheets/d/17ht0gPKzzT3PObBL1XJkeR"&amp;"mntBXI7wGjpLV7QorqlTk/edit?usp=sharing"",""พัทลุง!R340"")+IMPORTRANGE(""https://docs.google.com/spreadsheets/d/1rd4qoM1q_hsgaolqNGfrim9gbsoLxQsda4-vOz5x_BM/edit?usp=sharing"",""ภูเก็ต!R340"")+IMPORTRANGE(""https://docs.google.com/spreadsheets/d/1woKwKjgoL"&amp;"ssDvPcPeVyezB5izizAn4X1JDrys69n6xI/edit?usp=sharing"",""ยะลา!R340"")+IMPORTRANGE(""https://docs.google.com/spreadsheets/d/1qfrKjzMhm2HJfxQ-qVlJlJQ25Hne1d0khsySbZyGtPA/edit?usp=sharing"",""ระนอง!R340"")+IMPORTRANGE(""https://docs.google.com/spreadsheets/d/"&amp;"1IbSCnFOKpZsnFogBHJnL_isstZVaOMnFiIN0fGTPZZw/edit?usp=sharing"",""สงขลา!R340"")+IMPORTRANGE(""https://docs.google.com/spreadsheets/d/1q9nWasZJ-K8bFGvbE9n0qSRuKGA4Toe3Y89cKCiVtCU/edit?usp=sharing"",""สตูล!R340"")+IMPORTRANGE(""https://docs.google.com/sprea"&amp;"dsheets/d/18T20gbkS_WBjdscyTOV05cvq_JqvqQ17C81mpxf7Ncs/edit?usp=sharing"",""สุราษฎร์ธานี!R340"")"),0)</f>
        <v>0</v>
      </c>
      <c r="S340" s="47">
        <f ca="1">IFERROR(__xludf.DUMMYFUNCTION("IMPORTRANGE(""https://docs.google.com/spreadsheets/d/1kKUcYdkIfrgTSj8iHHHB2MD2FAtwyyocFgqGQn6ADyI/edit?usp=sharing"",""กระบี่!S340"")+IMPORTRANGE(""https://docs.google.com/spreadsheets/d/1GwtLaSlNZkLk7iDqcyZz22giiy40b_usZZBXYciEN1U/edit?usp=sharing"",""ชุ"&amp;"มพร!S340"")+IMPORTRANGE(""https://docs.google.com/spreadsheets/d/16pAz3pOhQEZBhvFNMa5KGgZS6iKWpsKX0pg6tQmwFpo/edit?usp=sharing"",""ตรัง!S340"")+IMPORTRANGE(""https://docs.google.com/spreadsheets/d/1Dj4jcHCTV9JXKCaMoheSXS52JE63kDKyG7bPXnFogHk/edit?usp=shar"&amp;"ing"",""นครศรีธรรมราช!S340"")+IMPORTRANGE(""https://docs.google.com/spreadsheets/d/1iodCdmuK2GR3jzUwk8tpccY2JHQQA-87DLOtJP-ooyU/edit?usp=sharing"",""นราธิวาส!S340"")+IMPORTRANGE(""https://docs.google.com/spreadsheets/d/1SDNX3JhDdYRuIOsj0Wh2M-Qa_eaXl0NbWmh"&amp;"AOTbfQAs/edit?usp=sharing"",""ปัตตานี!S340"")+IMPORTRANGE(""https://docs.google.com/spreadsheets/d/16JDLGguT8s5DsGCND1KcwHP_AWR_zDMTqLHPLJUKhaU/edit?usp=sharing"",""พังงา!S340"")+IMPORTRANGE(""https://docs.google.com/spreadsheets/d/17ht0gPKzzT3PObBL1XJkeR"&amp;"mntBXI7wGjpLV7QorqlTk/edit?usp=sharing"",""พัทลุง!S340"")+IMPORTRANGE(""https://docs.google.com/spreadsheets/d/1rd4qoM1q_hsgaolqNGfrim9gbsoLxQsda4-vOz5x_BM/edit?usp=sharing"",""ภูเก็ต!S340"")+IMPORTRANGE(""https://docs.google.com/spreadsheets/d/1woKwKjgoL"&amp;"ssDvPcPeVyezB5izizAn4X1JDrys69n6xI/edit?usp=sharing"",""ยะลา!S340"")+IMPORTRANGE(""https://docs.google.com/spreadsheets/d/1qfrKjzMhm2HJfxQ-qVlJlJQ25Hne1d0khsySbZyGtPA/edit?usp=sharing"",""ระนอง!S340"")+IMPORTRANGE(""https://docs.google.com/spreadsheets/d/"&amp;"1IbSCnFOKpZsnFogBHJnL_isstZVaOMnFiIN0fGTPZZw/edit?usp=sharing"",""สงขลา!S340"")+IMPORTRANGE(""https://docs.google.com/spreadsheets/d/1q9nWasZJ-K8bFGvbE9n0qSRuKGA4Toe3Y89cKCiVtCU/edit?usp=sharing"",""สตูล!S340"")+IMPORTRANGE(""https://docs.google.com/sprea"&amp;"dsheets/d/18T20gbkS_WBjdscyTOV05cvq_JqvqQ17C81mpxf7Ncs/edit?usp=sharing"",""สุราษฎร์ธานี!S340"")"),0)</f>
        <v>0</v>
      </c>
      <c r="T340" s="49">
        <f t="shared" ca="1" si="256"/>
        <v>0</v>
      </c>
      <c r="U340" s="49">
        <f t="shared" ca="1" si="257"/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7">
        <f ca="1">IFERROR(__xludf.DUMMYFUNCTION("IMPORTRANGE(""https://docs.google.com/spreadsheets/d/1kKUcYdkIfrgTSj8iHHHB2MD2FAtwyyocFgqGQn6ADyI/edit?usp=sharing"",""กระบี่!L341"")+IMPORTRANGE(""https://docs.google.com/spreadsheets/d/1GwtLaSlNZkLk7iDqcyZz22giiy40b_usZZBXYciEN1U/edit?usp=sharing"",""ชุ"&amp;"มพร!L341"")+IMPORTRANGE(""https://docs.google.com/spreadsheets/d/16pAz3pOhQEZBhvFNMa5KGgZS6iKWpsKX0pg6tQmwFpo/edit?usp=sharing"",""ตรัง!L341"")+IMPORTRANGE(""https://docs.google.com/spreadsheets/d/1Dj4jcHCTV9JXKCaMoheSXS52JE63kDKyG7bPXnFogHk/edit?usp=shar"&amp;"ing"",""นครศรีธรรมราช!L341"")+IMPORTRANGE(""https://docs.google.com/spreadsheets/d/1iodCdmuK2GR3jzUwk8tpccY2JHQQA-87DLOtJP-ooyU/edit?usp=sharing"",""นราธิวาส!L341"")+IMPORTRANGE(""https://docs.google.com/spreadsheets/d/1SDNX3JhDdYRuIOsj0Wh2M-Qa_eaXl0NbWmh"&amp;"AOTbfQAs/edit?usp=sharing"",""ปัตตานี!L341"")+IMPORTRANGE(""https://docs.google.com/spreadsheets/d/16JDLGguT8s5DsGCND1KcwHP_AWR_zDMTqLHPLJUKhaU/edit?usp=sharing"",""พังงา!L341"")+IMPORTRANGE(""https://docs.google.com/spreadsheets/d/17ht0gPKzzT3PObBL1XJkeR"&amp;"mntBXI7wGjpLV7QorqlTk/edit?usp=sharing"",""พัทลุง!L341"")+IMPORTRANGE(""https://docs.google.com/spreadsheets/d/1rd4qoM1q_hsgaolqNGfrim9gbsoLxQsda4-vOz5x_BM/edit?usp=sharing"",""ภูเก็ต!L341"")+IMPORTRANGE(""https://docs.google.com/spreadsheets/d/1woKwKjgoL"&amp;"ssDvPcPeVyezB5izizAn4X1JDrys69n6xI/edit?usp=sharing"",""ยะลา!L341"")+IMPORTRANGE(""https://docs.google.com/spreadsheets/d/1qfrKjzMhm2HJfxQ-qVlJlJQ25Hne1d0khsySbZyGtPA/edit?usp=sharing"",""ระนอง!L341"")+IMPORTRANGE(""https://docs.google.com/spreadsheets/d/"&amp;"1IbSCnFOKpZsnFogBHJnL_isstZVaOMnFiIN0fGTPZZw/edit?usp=sharing"",""สงขลา!L341"")+IMPORTRANGE(""https://docs.google.com/spreadsheets/d/1q9nWasZJ-K8bFGvbE9n0qSRuKGA4Toe3Y89cKCiVtCU/edit?usp=sharing"",""สตูล!L341"")+IMPORTRANGE(""https://docs.google.com/sprea"&amp;"dsheets/d/18T20gbkS_WBjdscyTOV05cvq_JqvqQ17C81mpxf7Ncs/edit?usp=sharing"",""สุราษฎร์ธานี!L341"")"),850000)</f>
        <v>850000</v>
      </c>
      <c r="M341" s="47">
        <f ca="1">IFERROR(__xludf.DUMMYFUNCTION("IMPORTRANGE(""https://docs.google.com/spreadsheets/d/1kKUcYdkIfrgTSj8iHHHB2MD2FAtwyyocFgqGQn6ADyI/edit?usp=sharing"",""กระบี่!M341"")+IMPORTRANGE(""https://docs.google.com/spreadsheets/d/1GwtLaSlNZkLk7iDqcyZz22giiy40b_usZZBXYciEN1U/edit?usp=sharing"",""ชุ"&amp;"มพร!M341"")+IMPORTRANGE(""https://docs.google.com/spreadsheets/d/16pAz3pOhQEZBhvFNMa5KGgZS6iKWpsKX0pg6tQmwFpo/edit?usp=sharing"",""ตรัง!M341"")+IMPORTRANGE(""https://docs.google.com/spreadsheets/d/1Dj4jcHCTV9JXKCaMoheSXS52JE63kDKyG7bPXnFogHk/edit?usp=shar"&amp;"ing"",""นครศรีธรรมราช!M341"")+IMPORTRANGE(""https://docs.google.com/spreadsheets/d/1iodCdmuK2GR3jzUwk8tpccY2JHQQA-87DLOtJP-ooyU/edit?usp=sharing"",""นราธิวาส!M341"")+IMPORTRANGE(""https://docs.google.com/spreadsheets/d/1SDNX3JhDdYRuIOsj0Wh2M-Qa_eaXl0NbWmh"&amp;"AOTbfQAs/edit?usp=sharing"",""ปัตตานี!M341"")+IMPORTRANGE(""https://docs.google.com/spreadsheets/d/16JDLGguT8s5DsGCND1KcwHP_AWR_zDMTqLHPLJUKhaU/edit?usp=sharing"",""พังงา!M341"")+IMPORTRANGE(""https://docs.google.com/spreadsheets/d/17ht0gPKzzT3PObBL1XJkeR"&amp;"mntBXI7wGjpLV7QorqlTk/edit?usp=sharing"",""พัทลุง!M341"")+IMPORTRANGE(""https://docs.google.com/spreadsheets/d/1rd4qoM1q_hsgaolqNGfrim9gbsoLxQsda4-vOz5x_BM/edit?usp=sharing"",""ภูเก็ต!M341"")+IMPORTRANGE(""https://docs.google.com/spreadsheets/d/1woKwKjgoL"&amp;"ssDvPcPeVyezB5izizAn4X1JDrys69n6xI/edit?usp=sharing"",""ยะลา!M341"")+IMPORTRANGE(""https://docs.google.com/spreadsheets/d/1qfrKjzMhm2HJfxQ-qVlJlJQ25Hne1d0khsySbZyGtPA/edit?usp=sharing"",""ระนอง!M341"")+IMPORTRANGE(""https://docs.google.com/spreadsheets/d/"&amp;"1IbSCnFOKpZsnFogBHJnL_isstZVaOMnFiIN0fGTPZZw/edit?usp=sharing"",""สงขลา!M341"")+IMPORTRANGE(""https://docs.google.com/spreadsheets/d/1q9nWasZJ-K8bFGvbE9n0qSRuKGA4Toe3Y89cKCiVtCU/edit?usp=sharing"",""สตูล!M341"")+IMPORTRANGE(""https://docs.google.com/sprea"&amp;"dsheets/d/18T20gbkS_WBjdscyTOV05cvq_JqvqQ17C81mpxf7Ncs/edit?usp=sharing"",""สุราษฎร์ธานี!M341"")"),850000)</f>
        <v>850000</v>
      </c>
      <c r="N341" s="47">
        <f ca="1">IFERROR(__xludf.DUMMYFUNCTION("IMPORTRANGE(""https://docs.google.com/spreadsheets/d/1kKUcYdkIfrgTSj8iHHHB2MD2FAtwyyocFgqGQn6ADyI/edit?usp=sharing"",""กระบี่!N341"")+IMPORTRANGE(""https://docs.google.com/spreadsheets/d/1GwtLaSlNZkLk7iDqcyZz22giiy40b_usZZBXYciEN1U/edit?usp=sharing"",""ชุ"&amp;"มพร!N341"")+IMPORTRANGE(""https://docs.google.com/spreadsheets/d/16pAz3pOhQEZBhvFNMa5KGgZS6iKWpsKX0pg6tQmwFpo/edit?usp=sharing"",""ตรัง!N341"")+IMPORTRANGE(""https://docs.google.com/spreadsheets/d/1Dj4jcHCTV9JXKCaMoheSXS52JE63kDKyG7bPXnFogHk/edit?usp=shar"&amp;"ing"",""นครศรีธรรมราช!N341"")+IMPORTRANGE(""https://docs.google.com/spreadsheets/d/1iodCdmuK2GR3jzUwk8tpccY2JHQQA-87DLOtJP-ooyU/edit?usp=sharing"",""นราธิวาส!N341"")+IMPORTRANGE(""https://docs.google.com/spreadsheets/d/1SDNX3JhDdYRuIOsj0Wh2M-Qa_eaXl0NbWmh"&amp;"AOTbfQAs/edit?usp=sharing"",""ปัตตานี!N341"")+IMPORTRANGE(""https://docs.google.com/spreadsheets/d/16JDLGguT8s5DsGCND1KcwHP_AWR_zDMTqLHPLJUKhaU/edit?usp=sharing"",""พังงา!N341"")+IMPORTRANGE(""https://docs.google.com/spreadsheets/d/17ht0gPKzzT3PObBL1XJkeR"&amp;"mntBXI7wGjpLV7QorqlTk/edit?usp=sharing"",""พัทลุง!N341"")+IMPORTRANGE(""https://docs.google.com/spreadsheets/d/1rd4qoM1q_hsgaolqNGfrim9gbsoLxQsda4-vOz5x_BM/edit?usp=sharing"",""ภูเก็ต!N341"")+IMPORTRANGE(""https://docs.google.com/spreadsheets/d/1woKwKjgoL"&amp;"ssDvPcPeVyezB5izizAn4X1JDrys69n6xI/edit?usp=sharing"",""ยะลา!N341"")+IMPORTRANGE(""https://docs.google.com/spreadsheets/d/1qfrKjzMhm2HJfxQ-qVlJlJQ25Hne1d0khsySbZyGtPA/edit?usp=sharing"",""ระนอง!N341"")+IMPORTRANGE(""https://docs.google.com/spreadsheets/d/"&amp;"1IbSCnFOKpZsnFogBHJnL_isstZVaOMnFiIN0fGTPZZw/edit?usp=sharing"",""สงขลา!N341"")+IMPORTRANGE(""https://docs.google.com/spreadsheets/d/1q9nWasZJ-K8bFGvbE9n0qSRuKGA4Toe3Y89cKCiVtCU/edit?usp=sharing"",""สตูล!N341"")+IMPORTRANGE(""https://docs.google.com/sprea"&amp;"dsheets/d/18T20gbkS_WBjdscyTOV05cvq_JqvqQ17C81mpxf7Ncs/edit?usp=sharing"",""สุราษฎร์ธานี!N341"")"),0)</f>
        <v>0</v>
      </c>
      <c r="O341" s="47">
        <f t="shared" ca="1" si="253"/>
        <v>0</v>
      </c>
      <c r="P341" s="47">
        <f t="shared" ca="1" si="254"/>
        <v>0</v>
      </c>
      <c r="Q341" s="47">
        <f ca="1">IFERROR(__xludf.DUMMYFUNCTION("IMPORTRANGE(""https://docs.google.com/spreadsheets/d/1kKUcYdkIfrgTSj8iHHHB2MD2FAtwyyocFgqGQn6ADyI/edit?usp=sharing"",""กระบี่!Q341"")+IMPORTRANGE(""https://docs.google.com/spreadsheets/d/1GwtLaSlNZkLk7iDqcyZz22giiy40b_usZZBXYciEN1U/edit?usp=sharing"",""ชุ"&amp;"มพร!Q341"")+IMPORTRANGE(""https://docs.google.com/spreadsheets/d/16pAz3pOhQEZBhvFNMa5KGgZS6iKWpsKX0pg6tQmwFpo/edit?usp=sharing"",""ตรัง!Q341"")+IMPORTRANGE(""https://docs.google.com/spreadsheets/d/1Dj4jcHCTV9JXKCaMoheSXS52JE63kDKyG7bPXnFogHk/edit?usp=shar"&amp;"ing"",""นครศรีธรรมราช!Q341"")+IMPORTRANGE(""https://docs.google.com/spreadsheets/d/1iodCdmuK2GR3jzUwk8tpccY2JHQQA-87DLOtJP-ooyU/edit?usp=sharing"",""นราธิวาส!Q341"")+IMPORTRANGE(""https://docs.google.com/spreadsheets/d/1SDNX3JhDdYRuIOsj0Wh2M-Qa_eaXl0NbWmh"&amp;"AOTbfQAs/edit?usp=sharing"",""ปัตตานี!Q341"")+IMPORTRANGE(""https://docs.google.com/spreadsheets/d/16JDLGguT8s5DsGCND1KcwHP_AWR_zDMTqLHPLJUKhaU/edit?usp=sharing"",""พังงา!Q341"")+IMPORTRANGE(""https://docs.google.com/spreadsheets/d/17ht0gPKzzT3PObBL1XJkeR"&amp;"mntBXI7wGjpLV7QorqlTk/edit?usp=sharing"",""พัทลุง!Q341"")+IMPORTRANGE(""https://docs.google.com/spreadsheets/d/1rd4qoM1q_hsgaolqNGfrim9gbsoLxQsda4-vOz5x_BM/edit?usp=sharing"",""ภูเก็ต!Q341"")+IMPORTRANGE(""https://docs.google.com/spreadsheets/d/1woKwKjgoL"&amp;"ssDvPcPeVyezB5izizAn4X1JDrys69n6xI/edit?usp=sharing"",""ยะลา!Q341"")+IMPORTRANGE(""https://docs.google.com/spreadsheets/d/1qfrKjzMhm2HJfxQ-qVlJlJQ25Hne1d0khsySbZyGtPA/edit?usp=sharing"",""ระนอง!Q341"")+IMPORTRANGE(""https://docs.google.com/spreadsheets/d/"&amp;"1IbSCnFOKpZsnFogBHJnL_isstZVaOMnFiIN0fGTPZZw/edit?usp=sharing"",""สงขลา!Q341"")+IMPORTRANGE(""https://docs.google.com/spreadsheets/d/1q9nWasZJ-K8bFGvbE9n0qSRuKGA4Toe3Y89cKCiVtCU/edit?usp=sharing"",""สตูล!Q341"")+IMPORTRANGE(""https://docs.google.com/sprea"&amp;"dsheets/d/18T20gbkS_WBjdscyTOV05cvq_JqvqQ17C81mpxf7Ncs/edit?usp=sharing"",""สุราษฎร์ธานี!Q341"")"),0)</f>
        <v>0</v>
      </c>
      <c r="R341" s="47">
        <f ca="1">IFERROR(__xludf.DUMMYFUNCTION("IMPORTRANGE(""https://docs.google.com/spreadsheets/d/1kKUcYdkIfrgTSj8iHHHB2MD2FAtwyyocFgqGQn6ADyI/edit?usp=sharing"",""กระบี่!R341"")+IMPORTRANGE(""https://docs.google.com/spreadsheets/d/1GwtLaSlNZkLk7iDqcyZz22giiy40b_usZZBXYciEN1U/edit?usp=sharing"",""ชุ"&amp;"มพร!R341"")+IMPORTRANGE(""https://docs.google.com/spreadsheets/d/16pAz3pOhQEZBhvFNMa5KGgZS6iKWpsKX0pg6tQmwFpo/edit?usp=sharing"",""ตรัง!R341"")+IMPORTRANGE(""https://docs.google.com/spreadsheets/d/1Dj4jcHCTV9JXKCaMoheSXS52JE63kDKyG7bPXnFogHk/edit?usp=shar"&amp;"ing"",""นครศรีธรรมราช!R341"")+IMPORTRANGE(""https://docs.google.com/spreadsheets/d/1iodCdmuK2GR3jzUwk8tpccY2JHQQA-87DLOtJP-ooyU/edit?usp=sharing"",""นราธิวาส!R341"")+IMPORTRANGE(""https://docs.google.com/spreadsheets/d/1SDNX3JhDdYRuIOsj0Wh2M-Qa_eaXl0NbWmh"&amp;"AOTbfQAs/edit?usp=sharing"",""ปัตตานี!R341"")+IMPORTRANGE(""https://docs.google.com/spreadsheets/d/16JDLGguT8s5DsGCND1KcwHP_AWR_zDMTqLHPLJUKhaU/edit?usp=sharing"",""พังงา!R341"")+IMPORTRANGE(""https://docs.google.com/spreadsheets/d/17ht0gPKzzT3PObBL1XJkeR"&amp;"mntBXI7wGjpLV7QorqlTk/edit?usp=sharing"",""พัทลุง!R341"")+IMPORTRANGE(""https://docs.google.com/spreadsheets/d/1rd4qoM1q_hsgaolqNGfrim9gbsoLxQsda4-vOz5x_BM/edit?usp=sharing"",""ภูเก็ต!R341"")+IMPORTRANGE(""https://docs.google.com/spreadsheets/d/1woKwKjgoL"&amp;"ssDvPcPeVyezB5izizAn4X1JDrys69n6xI/edit?usp=sharing"",""ยะลา!R341"")+IMPORTRANGE(""https://docs.google.com/spreadsheets/d/1qfrKjzMhm2HJfxQ-qVlJlJQ25Hne1d0khsySbZyGtPA/edit?usp=sharing"",""ระนอง!R341"")+IMPORTRANGE(""https://docs.google.com/spreadsheets/d/"&amp;"1IbSCnFOKpZsnFogBHJnL_isstZVaOMnFiIN0fGTPZZw/edit?usp=sharing"",""สงขลา!R341"")+IMPORTRANGE(""https://docs.google.com/spreadsheets/d/1q9nWasZJ-K8bFGvbE9n0qSRuKGA4Toe3Y89cKCiVtCU/edit?usp=sharing"",""สตูล!R341"")+IMPORTRANGE(""https://docs.google.com/sprea"&amp;"dsheets/d/18T20gbkS_WBjdscyTOV05cvq_JqvqQ17C81mpxf7Ncs/edit?usp=sharing"",""สุราษฎร์ธานี!R341"")"),0)</f>
        <v>0</v>
      </c>
      <c r="S341" s="47">
        <f ca="1">IFERROR(__xludf.DUMMYFUNCTION("IMPORTRANGE(""https://docs.google.com/spreadsheets/d/1kKUcYdkIfrgTSj8iHHHB2MD2FAtwyyocFgqGQn6ADyI/edit?usp=sharing"",""กระบี่!S341"")+IMPORTRANGE(""https://docs.google.com/spreadsheets/d/1GwtLaSlNZkLk7iDqcyZz22giiy40b_usZZBXYciEN1U/edit?usp=sharing"",""ชุ"&amp;"มพร!S341"")+IMPORTRANGE(""https://docs.google.com/spreadsheets/d/16pAz3pOhQEZBhvFNMa5KGgZS6iKWpsKX0pg6tQmwFpo/edit?usp=sharing"",""ตรัง!S341"")+IMPORTRANGE(""https://docs.google.com/spreadsheets/d/1Dj4jcHCTV9JXKCaMoheSXS52JE63kDKyG7bPXnFogHk/edit?usp=shar"&amp;"ing"",""นครศรีธรรมราช!S341"")+IMPORTRANGE(""https://docs.google.com/spreadsheets/d/1iodCdmuK2GR3jzUwk8tpccY2JHQQA-87DLOtJP-ooyU/edit?usp=sharing"",""นราธิวาส!S341"")+IMPORTRANGE(""https://docs.google.com/spreadsheets/d/1SDNX3JhDdYRuIOsj0Wh2M-Qa_eaXl0NbWmh"&amp;"AOTbfQAs/edit?usp=sharing"",""ปัตตานี!S341"")+IMPORTRANGE(""https://docs.google.com/spreadsheets/d/16JDLGguT8s5DsGCND1KcwHP_AWR_zDMTqLHPLJUKhaU/edit?usp=sharing"",""พังงา!S341"")+IMPORTRANGE(""https://docs.google.com/spreadsheets/d/17ht0gPKzzT3PObBL1XJkeR"&amp;"mntBXI7wGjpLV7QorqlTk/edit?usp=sharing"",""พัทลุง!S341"")+IMPORTRANGE(""https://docs.google.com/spreadsheets/d/1rd4qoM1q_hsgaolqNGfrim9gbsoLxQsda4-vOz5x_BM/edit?usp=sharing"",""ภูเก็ต!S341"")+IMPORTRANGE(""https://docs.google.com/spreadsheets/d/1woKwKjgoL"&amp;"ssDvPcPeVyezB5izizAn4X1JDrys69n6xI/edit?usp=sharing"",""ยะลา!S341"")+IMPORTRANGE(""https://docs.google.com/spreadsheets/d/1qfrKjzMhm2HJfxQ-qVlJlJQ25Hne1d0khsySbZyGtPA/edit?usp=sharing"",""ระนอง!S341"")+IMPORTRANGE(""https://docs.google.com/spreadsheets/d/"&amp;"1IbSCnFOKpZsnFogBHJnL_isstZVaOMnFiIN0fGTPZZw/edit?usp=sharing"",""สงขลา!S341"")+IMPORTRANGE(""https://docs.google.com/spreadsheets/d/1q9nWasZJ-K8bFGvbE9n0qSRuKGA4Toe3Y89cKCiVtCU/edit?usp=sharing"",""สตูล!S341"")+IMPORTRANGE(""https://docs.google.com/sprea"&amp;"dsheets/d/18T20gbkS_WBjdscyTOV05cvq_JqvqQ17C81mpxf7Ncs/edit?usp=sharing"",""สุราษฎร์ธานี!S341"")"),0)</f>
        <v>0</v>
      </c>
      <c r="T341" s="47">
        <f t="shared" ca="1" si="256"/>
        <v>0</v>
      </c>
      <c r="U341" s="47">
        <f t="shared" ca="1" si="257"/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222"/>
      <c r="B343" s="225"/>
      <c r="C343" s="223"/>
      <c r="D343" s="225"/>
      <c r="E343" s="316" t="s">
        <v>137</v>
      </c>
      <c r="F343" s="225"/>
      <c r="G343" s="226"/>
      <c r="H343" s="227" t="s">
        <v>35</v>
      </c>
      <c r="I343" s="228">
        <v>0</v>
      </c>
      <c r="J343" s="228">
        <f ca="1">J344+J347+J348+J349</f>
        <v>22360</v>
      </c>
      <c r="K343" s="229">
        <v>0</v>
      </c>
      <c r="L343" s="230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kKUcYdkIfrgTSj8iHHHB2MD2FAtwyyocFgqGQn6ADyI/edit?usp=sharing"",""กระบี่!I344"")+IMPORTRANGE(""https://docs.google.com/spreadsheets/d/1GwtLaSlNZkLk7iDqcyZz22giiy40b_usZZBXYciEN1U/edit?usp=sharing"",""ชุ"&amp;"มพร!I344"")+IMPORTRANGE(""https://docs.google.com/spreadsheets/d/16pAz3pOhQEZBhvFNMa5KGgZS6iKWpsKX0pg6tQmwFpo/edit?usp=sharing"",""ตรัง!I344"")+IMPORTRANGE(""https://docs.google.com/spreadsheets/d/1Dj4jcHCTV9JXKCaMoheSXS52JE63kDKyG7bPXnFogHk/edit?usp=shar"&amp;"ing"",""นครศรีธรรมราช!I344"")+IMPORTRANGE(""https://docs.google.com/spreadsheets/d/1iodCdmuK2GR3jzUwk8tpccY2JHQQA-87DLOtJP-ooyU/edit?usp=sharing"",""นราธิวาส!I344"")+IMPORTRANGE(""https://docs.google.com/spreadsheets/d/1SDNX3JhDdYRuIOsj0Wh2M-Qa_eaXl0NbWmh"&amp;"AOTbfQAs/edit?usp=sharing"",""ปัตตานี!I344"")+IMPORTRANGE(""https://docs.google.com/spreadsheets/d/16JDLGguT8s5DsGCND1KcwHP_AWR_zDMTqLHPLJUKhaU/edit?usp=sharing"",""พังงา!I344"")+IMPORTRANGE(""https://docs.google.com/spreadsheets/d/17ht0gPKzzT3PObBL1XJkeR"&amp;"mntBXI7wGjpLV7QorqlTk/edit?usp=sharing"",""พัทลุง!I344"")+IMPORTRANGE(""https://docs.google.com/spreadsheets/d/1rd4qoM1q_hsgaolqNGfrim9gbsoLxQsda4-vOz5x_BM/edit?usp=sharing"",""ภูเก็ต!I344"")+IMPORTRANGE(""https://docs.google.com/spreadsheets/d/1woKwKjgoL"&amp;"ssDvPcPeVyezB5izizAn4X1JDrys69n6xI/edit?usp=sharing"",""ยะลา!I344"")+IMPORTRANGE(""https://docs.google.com/spreadsheets/d/1qfrKjzMhm2HJfxQ-qVlJlJQ25Hne1d0khsySbZyGtPA/edit?usp=sharing"",""ระนอง!I344"")+IMPORTRANGE(""https://docs.google.com/spreadsheets/d/"&amp;"1IbSCnFOKpZsnFogBHJnL_isstZVaOMnFiIN0fGTPZZw/edit?usp=sharing"",""สงขลา!I344"")+IMPORTRANGE(""https://docs.google.com/spreadsheets/d/1q9nWasZJ-K8bFGvbE9n0qSRuKGA4Toe3Y89cKCiVtCU/edit?usp=sharing"",""สตูล!I344"")+IMPORTRANGE(""https://docs.google.com/sprea"&amp;"dsheets/d/18T20gbkS_WBjdscyTOV05cvq_JqvqQ17C81mpxf7Ncs/edit?usp=sharing"",""สุราษฎร์ธานี!I344"")"),12140)</f>
        <v>12140</v>
      </c>
      <c r="J344" s="152">
        <f ca="1">IFERROR(__xludf.DUMMYFUNCTION("IMPORTRANGE(""https://docs.google.com/spreadsheets/d/1kKUcYdkIfrgTSj8iHHHB2MD2FAtwyyocFgqGQn6ADyI/edit?usp=sharing"",""กระบี่!J344"")+IMPORTRANGE(""https://docs.google.com/spreadsheets/d/1GwtLaSlNZkLk7iDqcyZz22giiy40b_usZZBXYciEN1U/edit?usp=sharing"",""ชุ"&amp;"มพร!J344"")+IMPORTRANGE(""https://docs.google.com/spreadsheets/d/16pAz3pOhQEZBhvFNMa5KGgZS6iKWpsKX0pg6tQmwFpo/edit?usp=sharing"",""ตรัง!J344"")+IMPORTRANGE(""https://docs.google.com/spreadsheets/d/1Dj4jcHCTV9JXKCaMoheSXS52JE63kDKyG7bPXnFogHk/edit?usp=shar"&amp;"ing"",""นครศรีธรรมราช!J344"")+IMPORTRANGE(""https://docs.google.com/spreadsheets/d/1iodCdmuK2GR3jzUwk8tpccY2JHQQA-87DLOtJP-ooyU/edit?usp=sharing"",""นราธิวาส!J344"")+IMPORTRANGE(""https://docs.google.com/spreadsheets/d/1SDNX3JhDdYRuIOsj0Wh2M-Qa_eaXl0NbWmh"&amp;"AOTbfQAs/edit?usp=sharing"",""ปัตตานี!J344"")+IMPORTRANGE(""https://docs.google.com/spreadsheets/d/16JDLGguT8s5DsGCND1KcwHP_AWR_zDMTqLHPLJUKhaU/edit?usp=sharing"",""พังงา!J344"")+IMPORTRANGE(""https://docs.google.com/spreadsheets/d/17ht0gPKzzT3PObBL1XJkeR"&amp;"mntBXI7wGjpLV7QorqlTk/edit?usp=sharing"",""พัทลุง!J344"")+IMPORTRANGE(""https://docs.google.com/spreadsheets/d/1rd4qoM1q_hsgaolqNGfrim9gbsoLxQsda4-vOz5x_BM/edit?usp=sharing"",""ภูเก็ต!J344"")+IMPORTRANGE(""https://docs.google.com/spreadsheets/d/1woKwKjgoL"&amp;"ssDvPcPeVyezB5izizAn4X1JDrys69n6xI/edit?usp=sharing"",""ยะลา!J344"")+IMPORTRANGE(""https://docs.google.com/spreadsheets/d/1qfrKjzMhm2HJfxQ-qVlJlJQ25Hne1d0khsySbZyGtPA/edit?usp=sharing"",""ระนอง!J344"")+IMPORTRANGE(""https://docs.google.com/spreadsheets/d/"&amp;"1IbSCnFOKpZsnFogBHJnL_isstZVaOMnFiIN0fGTPZZw/edit?usp=sharing"",""สงขลา!J344"")+IMPORTRANGE(""https://docs.google.com/spreadsheets/d/1q9nWasZJ-K8bFGvbE9n0qSRuKGA4Toe3Y89cKCiVtCU/edit?usp=sharing"",""สตูล!J344"")+IMPORTRANGE(""https://docs.google.com/sprea"&amp;"dsheets/d/18T20gbkS_WBjdscyTOV05cvq_JqvqQ17C81mpxf7Ncs/edit?usp=sharing"",""สุราษฎร์ธานี!J344"")"),21790)</f>
        <v>21790</v>
      </c>
      <c r="K344" s="47">
        <f ca="1">IF(I344&gt;0,J344*100/I344,0)</f>
        <v>179.48929159802307</v>
      </c>
      <c r="L344" s="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kKUcYdkIfrgTSj8iHHHB2MD2FAtwyyocFgqGQn6ADyI/edit?usp=sharing"",""กระบี่!I346"")+IMPORTRANGE(""https://docs.google.com/spreadsheets/d/1GwtLaSlNZkLk7iDqcyZz22giiy40b_usZZBXYciEN1U/edit?usp=sharing"",""ชุ"&amp;"มพร!I346"")+IMPORTRANGE(""https://docs.google.com/spreadsheets/d/16pAz3pOhQEZBhvFNMa5KGgZS6iKWpsKX0pg6tQmwFpo/edit?usp=sharing"",""ตรัง!I346"")+IMPORTRANGE(""https://docs.google.com/spreadsheets/d/1Dj4jcHCTV9JXKCaMoheSXS52JE63kDKyG7bPXnFogHk/edit?usp=shar"&amp;"ing"",""นครศรีธรรมราช!I346"")+IMPORTRANGE(""https://docs.google.com/spreadsheets/d/1iodCdmuK2GR3jzUwk8tpccY2JHQQA-87DLOtJP-ooyU/edit?usp=sharing"",""นราธิวาส!I346"")+IMPORTRANGE(""https://docs.google.com/spreadsheets/d/1SDNX3JhDdYRuIOsj0Wh2M-Qa_eaXl0NbWmh"&amp;"AOTbfQAs/edit?usp=sharing"",""ปัตตานี!I346"")+IMPORTRANGE(""https://docs.google.com/spreadsheets/d/16JDLGguT8s5DsGCND1KcwHP_AWR_zDMTqLHPLJUKhaU/edit?usp=sharing"",""พังงา!I346"")+IMPORTRANGE(""https://docs.google.com/spreadsheets/d/17ht0gPKzzT3PObBL1XJkeR"&amp;"mntBXI7wGjpLV7QorqlTk/edit?usp=sharing"",""พัทลุง!I346"")+IMPORTRANGE(""https://docs.google.com/spreadsheets/d/1rd4qoM1q_hsgaolqNGfrim9gbsoLxQsda4-vOz5x_BM/edit?usp=sharing"",""ภูเก็ต!I346"")+IMPORTRANGE(""https://docs.google.com/spreadsheets/d/1woKwKjgoL"&amp;"ssDvPcPeVyezB5izizAn4X1JDrys69n6xI/edit?usp=sharing"",""ยะลา!I346"")+IMPORTRANGE(""https://docs.google.com/spreadsheets/d/1qfrKjzMhm2HJfxQ-qVlJlJQ25Hne1d0khsySbZyGtPA/edit?usp=sharing"",""ระนอง!I346"")+IMPORTRANGE(""https://docs.google.com/spreadsheets/d/"&amp;"1IbSCnFOKpZsnFogBHJnL_isstZVaOMnFiIN0fGTPZZw/edit?usp=sharing"",""สงขลา!I346"")+IMPORTRANGE(""https://docs.google.com/spreadsheets/d/1q9nWasZJ-K8bFGvbE9n0qSRuKGA4Toe3Y89cKCiVtCU/edit?usp=sharing"",""สตูล!I346"")+IMPORTRANGE(""https://docs.google.com/sprea"&amp;"dsheets/d/18T20gbkS_WBjdscyTOV05cvq_JqvqQ17C81mpxf7Ncs/edit?usp=sharing"",""สุราษฎร์ธานี!I346"")"),33)</f>
        <v>33</v>
      </c>
      <c r="J346" s="152">
        <f ca="1">IFERROR(__xludf.DUMMYFUNCTION("IMPORTRANGE(""https://docs.google.com/spreadsheets/d/1kKUcYdkIfrgTSj8iHHHB2MD2FAtwyyocFgqGQn6ADyI/edit?usp=sharing"",""กระบี่!J346"")+IMPORTRANGE(""https://docs.google.com/spreadsheets/d/1GwtLaSlNZkLk7iDqcyZz22giiy40b_usZZBXYciEN1U/edit?usp=sharing"",""ชุ"&amp;"มพร!J346"")+IMPORTRANGE(""https://docs.google.com/spreadsheets/d/16pAz3pOhQEZBhvFNMa5KGgZS6iKWpsKX0pg6tQmwFpo/edit?usp=sharing"",""ตรัง!J346"")+IMPORTRANGE(""https://docs.google.com/spreadsheets/d/1Dj4jcHCTV9JXKCaMoheSXS52JE63kDKyG7bPXnFogHk/edit?usp=shar"&amp;"ing"",""นครศรีธรรมราช!J346"")+IMPORTRANGE(""https://docs.google.com/spreadsheets/d/1iodCdmuK2GR3jzUwk8tpccY2JHQQA-87DLOtJP-ooyU/edit?usp=sharing"",""นราธิวาส!J346"")+IMPORTRANGE(""https://docs.google.com/spreadsheets/d/1SDNX3JhDdYRuIOsj0Wh2M-Qa_eaXl0NbWmh"&amp;"AOTbfQAs/edit?usp=sharing"",""ปัตตานี!J346"")+IMPORTRANGE(""https://docs.google.com/spreadsheets/d/16JDLGguT8s5DsGCND1KcwHP_AWR_zDMTqLHPLJUKhaU/edit?usp=sharing"",""พังงา!J346"")+IMPORTRANGE(""https://docs.google.com/spreadsheets/d/17ht0gPKzzT3PObBL1XJkeR"&amp;"mntBXI7wGjpLV7QorqlTk/edit?usp=sharing"",""พัทลุง!J346"")+IMPORTRANGE(""https://docs.google.com/spreadsheets/d/1rd4qoM1q_hsgaolqNGfrim9gbsoLxQsda4-vOz5x_BM/edit?usp=sharing"",""ภูเก็ต!J346"")+IMPORTRANGE(""https://docs.google.com/spreadsheets/d/1woKwKjgoL"&amp;"ssDvPcPeVyezB5izizAn4X1JDrys69n6xI/edit?usp=sharing"",""ยะลา!J346"")+IMPORTRANGE(""https://docs.google.com/spreadsheets/d/1qfrKjzMhm2HJfxQ-qVlJlJQ25Hne1d0khsySbZyGtPA/edit?usp=sharing"",""ระนอง!J346"")+IMPORTRANGE(""https://docs.google.com/spreadsheets/d/"&amp;"1IbSCnFOKpZsnFogBHJnL_isstZVaOMnFiIN0fGTPZZw/edit?usp=sharing"",""สงขลา!J346"")+IMPORTRANGE(""https://docs.google.com/spreadsheets/d/1q9nWasZJ-K8bFGvbE9n0qSRuKGA4Toe3Y89cKCiVtCU/edit?usp=sharing"",""สตูล!J346"")+IMPORTRANGE(""https://docs.google.com/sprea"&amp;"dsheets/d/18T20gbkS_WBjdscyTOV05cvq_JqvqQ17C81mpxf7Ncs/edit?usp=sharing"",""สุราษฎร์ธานี!J346"")"),42)</f>
        <v>42</v>
      </c>
      <c r="K346" s="47">
        <f ca="1">IF(I346&gt;0,J346*100/I346,0)</f>
        <v>127.27272727272727</v>
      </c>
      <c r="L346" s="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kKUcYdkIfrgTSj8iHHHB2MD2FAtwyyocFgqGQn6ADyI/edit?usp=sharing"",""กระบี่!J347"")+IMPORTRANGE(""https://docs.google.com/spreadsheets/d/1GwtLaSlNZkLk7iDqcyZz22giiy40b_usZZBXYciEN1U/edit?usp=sharing"",""ชุ"&amp;"มพร!J347"")+IMPORTRANGE(""https://docs.google.com/spreadsheets/d/16pAz3pOhQEZBhvFNMa5KGgZS6iKWpsKX0pg6tQmwFpo/edit?usp=sharing"",""ตรัง!J347"")+IMPORTRANGE(""https://docs.google.com/spreadsheets/d/1Dj4jcHCTV9JXKCaMoheSXS52JE63kDKyG7bPXnFogHk/edit?usp=shar"&amp;"ing"",""นครศรีธรรมราช!J347"")+IMPORTRANGE(""https://docs.google.com/spreadsheets/d/1iodCdmuK2GR3jzUwk8tpccY2JHQQA-87DLOtJP-ooyU/edit?usp=sharing"",""นราธิวาส!J347"")+IMPORTRANGE(""https://docs.google.com/spreadsheets/d/1SDNX3JhDdYRuIOsj0Wh2M-Qa_eaXl0NbWmh"&amp;"AOTbfQAs/edit?usp=sharing"",""ปัตตานี!J347"")+IMPORTRANGE(""https://docs.google.com/spreadsheets/d/16JDLGguT8s5DsGCND1KcwHP_AWR_zDMTqLHPLJUKhaU/edit?usp=sharing"",""พังงา!J347"")+IMPORTRANGE(""https://docs.google.com/spreadsheets/d/17ht0gPKzzT3PObBL1XJkeR"&amp;"mntBXI7wGjpLV7QorqlTk/edit?usp=sharing"",""พัทลุง!J347"")+IMPORTRANGE(""https://docs.google.com/spreadsheets/d/1rd4qoM1q_hsgaolqNGfrim9gbsoLxQsda4-vOz5x_BM/edit?usp=sharing"",""ภูเก็ต!J347"")+IMPORTRANGE(""https://docs.google.com/spreadsheets/d/1woKwKjgoL"&amp;"ssDvPcPeVyezB5izizAn4X1JDrys69n6xI/edit?usp=sharing"",""ยะลา!J347"")+IMPORTRANGE(""https://docs.google.com/spreadsheets/d/1qfrKjzMhm2HJfxQ-qVlJlJQ25Hne1d0khsySbZyGtPA/edit?usp=sharing"",""ระนอง!J347"")+IMPORTRANGE(""https://docs.google.com/spreadsheets/d/"&amp;"1IbSCnFOKpZsnFogBHJnL_isstZVaOMnFiIN0fGTPZZw/edit?usp=sharing"",""สงขลา!J347"")+IMPORTRANGE(""https://docs.google.com/spreadsheets/d/1q9nWasZJ-K8bFGvbE9n0qSRuKGA4Toe3Y89cKCiVtCU/edit?usp=sharing"",""สตูล!J347"")+IMPORTRANGE(""https://docs.google.com/sprea"&amp;"dsheets/d/18T20gbkS_WBjdscyTOV05cvq_JqvqQ17C81mpxf7Ncs/edit?usp=sharing"",""สุราษฎร์ธานี!J347"")"),375)</f>
        <v>375</v>
      </c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kKUcYdkIfrgTSj8iHHHB2MD2FAtwyyocFgqGQn6ADyI/edit?usp=sharing"",""กระบี่!J348"")+IMPORTRANGE(""https://docs.google.com/spreadsheets/d/1GwtLaSlNZkLk7iDqcyZz22giiy40b_usZZBXYciEN1U/edit?usp=sharing"",""ชุ"&amp;"มพร!J348"")+IMPORTRANGE(""https://docs.google.com/spreadsheets/d/16pAz3pOhQEZBhvFNMa5KGgZS6iKWpsKX0pg6tQmwFpo/edit?usp=sharing"",""ตรัง!J348"")+IMPORTRANGE(""https://docs.google.com/spreadsheets/d/1Dj4jcHCTV9JXKCaMoheSXS52JE63kDKyG7bPXnFogHk/edit?usp=shar"&amp;"ing"",""นครศรีธรรมราช!J348"")+IMPORTRANGE(""https://docs.google.com/spreadsheets/d/1iodCdmuK2GR3jzUwk8tpccY2JHQQA-87DLOtJP-ooyU/edit?usp=sharing"",""นราธิวาส!J348"")+IMPORTRANGE(""https://docs.google.com/spreadsheets/d/1SDNX3JhDdYRuIOsj0Wh2M-Qa_eaXl0NbWmh"&amp;"AOTbfQAs/edit?usp=sharing"",""ปัตตานี!J348"")+IMPORTRANGE(""https://docs.google.com/spreadsheets/d/16JDLGguT8s5DsGCND1KcwHP_AWR_zDMTqLHPLJUKhaU/edit?usp=sharing"",""พังงา!J348"")+IMPORTRANGE(""https://docs.google.com/spreadsheets/d/17ht0gPKzzT3PObBL1XJkeR"&amp;"mntBXI7wGjpLV7QorqlTk/edit?usp=sharing"",""พัทลุง!J348"")+IMPORTRANGE(""https://docs.google.com/spreadsheets/d/1rd4qoM1q_hsgaolqNGfrim9gbsoLxQsda4-vOz5x_BM/edit?usp=sharing"",""ภูเก็ต!J348"")+IMPORTRANGE(""https://docs.google.com/spreadsheets/d/1woKwKjgoL"&amp;"ssDvPcPeVyezB5izizAn4X1JDrys69n6xI/edit?usp=sharing"",""ยะลา!J348"")+IMPORTRANGE(""https://docs.google.com/spreadsheets/d/1qfrKjzMhm2HJfxQ-qVlJlJQ25Hne1d0khsySbZyGtPA/edit?usp=sharing"",""ระนอง!J348"")+IMPORTRANGE(""https://docs.google.com/spreadsheets/d/"&amp;"1IbSCnFOKpZsnFogBHJnL_isstZVaOMnFiIN0fGTPZZw/edit?usp=sharing"",""สงขลา!J348"")+IMPORTRANGE(""https://docs.google.com/spreadsheets/d/1q9nWasZJ-K8bFGvbE9n0qSRuKGA4Toe3Y89cKCiVtCU/edit?usp=sharing"",""สตูล!J348"")+IMPORTRANGE(""https://docs.google.com/sprea"&amp;"dsheets/d/18T20gbkS_WBjdscyTOV05cvq_JqvqQ17C81mpxf7Ncs/edit?usp=sharing"",""สุราษฎร์ธานี!J348"")"),63)</f>
        <v>63</v>
      </c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kKUcYdkIfrgTSj8iHHHB2MD2FAtwyyocFgqGQn6ADyI/edit?usp=sharing"",""กระบี่!J349"")+IMPORTRANGE(""https://docs.google.com/spreadsheets/d/1GwtLaSlNZkLk7iDqcyZz22giiy40b_usZZBXYciEN1U/edit?usp=sharing"",""ชุ"&amp;"มพร!J349"")+IMPORTRANGE(""https://docs.google.com/spreadsheets/d/16pAz3pOhQEZBhvFNMa5KGgZS6iKWpsKX0pg6tQmwFpo/edit?usp=sharing"",""ตรัง!J349"")+IMPORTRANGE(""https://docs.google.com/spreadsheets/d/1Dj4jcHCTV9JXKCaMoheSXS52JE63kDKyG7bPXnFogHk/edit?usp=shar"&amp;"ing"",""นครศรีธรรมราช!J349"")+IMPORTRANGE(""https://docs.google.com/spreadsheets/d/1iodCdmuK2GR3jzUwk8tpccY2JHQQA-87DLOtJP-ooyU/edit?usp=sharing"",""นราธิวาส!J349"")+IMPORTRANGE(""https://docs.google.com/spreadsheets/d/1SDNX3JhDdYRuIOsj0Wh2M-Qa_eaXl0NbWmh"&amp;"AOTbfQAs/edit?usp=sharing"",""ปัตตานี!J349"")+IMPORTRANGE(""https://docs.google.com/spreadsheets/d/16JDLGguT8s5DsGCND1KcwHP_AWR_zDMTqLHPLJUKhaU/edit?usp=sharing"",""พังงา!J349"")+IMPORTRANGE(""https://docs.google.com/spreadsheets/d/17ht0gPKzzT3PObBL1XJkeR"&amp;"mntBXI7wGjpLV7QorqlTk/edit?usp=sharing"",""พัทลุง!J349"")+IMPORTRANGE(""https://docs.google.com/spreadsheets/d/1rd4qoM1q_hsgaolqNGfrim9gbsoLxQsda4-vOz5x_BM/edit?usp=sharing"",""ภูเก็ต!J349"")+IMPORTRANGE(""https://docs.google.com/spreadsheets/d/1woKwKjgoL"&amp;"ssDvPcPeVyezB5izizAn4X1JDrys69n6xI/edit?usp=sharing"",""ยะลา!J349"")+IMPORTRANGE(""https://docs.google.com/spreadsheets/d/1qfrKjzMhm2HJfxQ-qVlJlJQ25Hne1d0khsySbZyGtPA/edit?usp=sharing"",""ระนอง!J349"")+IMPORTRANGE(""https://docs.google.com/spreadsheets/d/"&amp;"1IbSCnFOKpZsnFogBHJnL_isstZVaOMnFiIN0fGTPZZw/edit?usp=sharing"",""สงขลา!J349"")+IMPORTRANGE(""https://docs.google.com/spreadsheets/d/1q9nWasZJ-K8bFGvbE9n0qSRuKGA4Toe3Y89cKCiVtCU/edit?usp=sharing"",""สตูล!J349"")+IMPORTRANGE(""https://docs.google.com/sprea"&amp;"dsheets/d/18T20gbkS_WBjdscyTOV05cvq_JqvqQ17C81mpxf7Ncs/edit?usp=sharing"",""สุราษฎร์ธานี!J349"")"),132)</f>
        <v>132</v>
      </c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41"/>
      <c r="F350" s="41"/>
      <c r="G350" s="43"/>
      <c r="H350" s="191"/>
      <c r="I350" s="45"/>
      <c r="J350" s="45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318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45015</v>
      </c>
      <c r="K351" s="229">
        <v>0</v>
      </c>
      <c r="L351" s="230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kKUcYdkIfrgTSj8iHHHB2MD2FAtwyyocFgqGQn6ADyI/edit?usp=sharing"",""กระบี่!J352"")+IMPORTRANGE(""https://docs.google.com/spreadsheets/d/1GwtLaSlNZkLk7iDqcyZz22giiy40b_usZZBXYciEN1U/edit?usp=sharing"",""ชุ"&amp;"มพร!J352"")+IMPORTRANGE(""https://docs.google.com/spreadsheets/d/16pAz3pOhQEZBhvFNMa5KGgZS6iKWpsKX0pg6tQmwFpo/edit?usp=sharing"",""ตรัง!J352"")+IMPORTRANGE(""https://docs.google.com/spreadsheets/d/1Dj4jcHCTV9JXKCaMoheSXS52JE63kDKyG7bPXnFogHk/edit?usp=shar"&amp;"ing"",""นครศรีธรรมราช!J352"")+IMPORTRANGE(""https://docs.google.com/spreadsheets/d/1iodCdmuK2GR3jzUwk8tpccY2JHQQA-87DLOtJP-ooyU/edit?usp=sharing"",""นราธิวาส!J352"")+IMPORTRANGE(""https://docs.google.com/spreadsheets/d/1SDNX3JhDdYRuIOsj0Wh2M-Qa_eaXl0NbWmh"&amp;"AOTbfQAs/edit?usp=sharing"",""ปัตตานี!J352"")+IMPORTRANGE(""https://docs.google.com/spreadsheets/d/16JDLGguT8s5DsGCND1KcwHP_AWR_zDMTqLHPLJUKhaU/edit?usp=sharing"",""พังงา!J352"")+IMPORTRANGE(""https://docs.google.com/spreadsheets/d/17ht0gPKzzT3PObBL1XJkeR"&amp;"mntBXI7wGjpLV7QorqlTk/edit?usp=sharing"",""พัทลุง!J352"")+IMPORTRANGE(""https://docs.google.com/spreadsheets/d/1rd4qoM1q_hsgaolqNGfrim9gbsoLxQsda4-vOz5x_BM/edit?usp=sharing"",""ภูเก็ต!J352"")+IMPORTRANGE(""https://docs.google.com/spreadsheets/d/1woKwKjgoL"&amp;"ssDvPcPeVyezB5izizAn4X1JDrys69n6xI/edit?usp=sharing"",""ยะลา!J352"")+IMPORTRANGE(""https://docs.google.com/spreadsheets/d/1qfrKjzMhm2HJfxQ-qVlJlJQ25Hne1d0khsySbZyGtPA/edit?usp=sharing"",""ระนอง!J352"")+IMPORTRANGE(""https://docs.google.com/spreadsheets/d/"&amp;"1IbSCnFOKpZsnFogBHJnL_isstZVaOMnFiIN0fGTPZZw/edit?usp=sharing"",""สงขลา!J352"")+IMPORTRANGE(""https://docs.google.com/spreadsheets/d/1q9nWasZJ-K8bFGvbE9n0qSRuKGA4Toe3Y89cKCiVtCU/edit?usp=sharing"",""สตูล!J352"")+IMPORTRANGE(""https://docs.google.com/sprea"&amp;"dsheets/d/18T20gbkS_WBjdscyTOV05cvq_JqvqQ17C81mpxf7Ncs/edit?usp=sharing"",""สุราษฎร์ธานี!J352"")"),12133)</f>
        <v>12133</v>
      </c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kKUcYdkIfrgTSj8iHHHB2MD2FAtwyyocFgqGQn6ADyI/edit?usp=sharing"",""กระบี่!J353"")+IMPORTRANGE(""https://docs.google.com/spreadsheets/d/1GwtLaSlNZkLk7iDqcyZz22giiy40b_usZZBXYciEN1U/edit?usp=sharing"",""ชุ"&amp;"มพร!J353"")+IMPORTRANGE(""https://docs.google.com/spreadsheets/d/16pAz3pOhQEZBhvFNMa5KGgZS6iKWpsKX0pg6tQmwFpo/edit?usp=sharing"",""ตรัง!J353"")+IMPORTRANGE(""https://docs.google.com/spreadsheets/d/1Dj4jcHCTV9JXKCaMoheSXS52JE63kDKyG7bPXnFogHk/edit?usp=shar"&amp;"ing"",""นครศรีธรรมราช!J353"")+IMPORTRANGE(""https://docs.google.com/spreadsheets/d/1iodCdmuK2GR3jzUwk8tpccY2JHQQA-87DLOtJP-ooyU/edit?usp=sharing"",""นราธิวาส!J353"")+IMPORTRANGE(""https://docs.google.com/spreadsheets/d/1SDNX3JhDdYRuIOsj0Wh2M-Qa_eaXl0NbWmh"&amp;"AOTbfQAs/edit?usp=sharing"",""ปัตตานี!J353"")+IMPORTRANGE(""https://docs.google.com/spreadsheets/d/16JDLGguT8s5DsGCND1KcwHP_AWR_zDMTqLHPLJUKhaU/edit?usp=sharing"",""พังงา!J353"")+IMPORTRANGE(""https://docs.google.com/spreadsheets/d/17ht0gPKzzT3PObBL1XJkeR"&amp;"mntBXI7wGjpLV7QorqlTk/edit?usp=sharing"",""พัทลุง!J353"")+IMPORTRANGE(""https://docs.google.com/spreadsheets/d/1rd4qoM1q_hsgaolqNGfrim9gbsoLxQsda4-vOz5x_BM/edit?usp=sharing"",""ภูเก็ต!J353"")+IMPORTRANGE(""https://docs.google.com/spreadsheets/d/1woKwKjgoL"&amp;"ssDvPcPeVyezB5izizAn4X1JDrys69n6xI/edit?usp=sharing"",""ยะลา!J353"")+IMPORTRANGE(""https://docs.google.com/spreadsheets/d/1qfrKjzMhm2HJfxQ-qVlJlJQ25Hne1d0khsySbZyGtPA/edit?usp=sharing"",""ระนอง!J353"")+IMPORTRANGE(""https://docs.google.com/spreadsheets/d/"&amp;"1IbSCnFOKpZsnFogBHJnL_isstZVaOMnFiIN0fGTPZZw/edit?usp=sharing"",""สงขลา!J353"")+IMPORTRANGE(""https://docs.google.com/spreadsheets/d/1q9nWasZJ-K8bFGvbE9n0qSRuKGA4Toe3Y89cKCiVtCU/edit?usp=sharing"",""สตูล!J353"")+IMPORTRANGE(""https://docs.google.com/sprea"&amp;"dsheets/d/18T20gbkS_WBjdscyTOV05cvq_JqvqQ17C81mpxf7Ncs/edit?usp=sharing"",""สุราษฎร์ธานี!J353"")"),32882)</f>
        <v>32882</v>
      </c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41"/>
      <c r="F354" s="41"/>
      <c r="G354" s="43"/>
      <c r="H354" s="191"/>
      <c r="I354" s="45"/>
      <c r="J354" s="45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312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13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132">
        <f t="shared" ref="L356:N356" ca="1" si="266">L357+L358</f>
        <v>9088150</v>
      </c>
      <c r="M356" s="132">
        <f t="shared" ca="1" si="266"/>
        <v>9179830</v>
      </c>
      <c r="N356" s="132">
        <f t="shared" ca="1" si="266"/>
        <v>5630648.0499999998</v>
      </c>
      <c r="O356" s="132">
        <f t="shared" ref="O356:O364" ca="1" si="267">IF(L356&gt;0,N356*100/L356,0)</f>
        <v>61.955932175415235</v>
      </c>
      <c r="P356" s="132">
        <f t="shared" ref="P356:P364" ca="1" si="268">IF(M356&gt;0,N356*100/M356,0)</f>
        <v>61.337171276592265</v>
      </c>
      <c r="Q356" s="132">
        <f t="shared" ref="Q356:S356" ca="1" si="269">Q357+Q358</f>
        <v>0</v>
      </c>
      <c r="R356" s="132">
        <f t="shared" ca="1" si="269"/>
        <v>0</v>
      </c>
      <c r="S356" s="132">
        <f t="shared" ca="1" si="269"/>
        <v>0</v>
      </c>
      <c r="T356" s="132">
        <f t="shared" ref="T356:T364" ca="1" si="270">IF(Q356&gt;0,S356*100/Q356,0)</f>
        <v>0</v>
      </c>
      <c r="U356" s="132">
        <f t="shared" ref="U356:U364" ca="1" si="271"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48" t="s">
        <v>20</v>
      </c>
      <c r="F357" s="41"/>
      <c r="G357" s="43"/>
      <c r="H357" s="133" t="s">
        <v>14</v>
      </c>
      <c r="I357" s="45"/>
      <c r="J357" s="45"/>
      <c r="K357" s="46"/>
      <c r="L357" s="47">
        <f t="shared" ref="L357:N357" ca="1" si="272">L360+L363</f>
        <v>0</v>
      </c>
      <c r="M357" s="47">
        <f t="shared" ca="1" si="272"/>
        <v>0</v>
      </c>
      <c r="N357" s="47">
        <f t="shared" ca="1" si="272"/>
        <v>0</v>
      </c>
      <c r="O357" s="47">
        <f t="shared" ca="1" si="267"/>
        <v>0</v>
      </c>
      <c r="P357" s="47">
        <f t="shared" ca="1" si="268"/>
        <v>0</v>
      </c>
      <c r="Q357" s="47">
        <f t="shared" ref="Q357:S357" ca="1" si="273">Q360+Q363</f>
        <v>0</v>
      </c>
      <c r="R357" s="47">
        <f t="shared" ca="1" si="273"/>
        <v>0</v>
      </c>
      <c r="S357" s="47">
        <f t="shared" ca="1" si="273"/>
        <v>0</v>
      </c>
      <c r="T357" s="49">
        <f t="shared" ca="1" si="270"/>
        <v>0</v>
      </c>
      <c r="U357" s="49">
        <f t="shared" ca="1" si="271"/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7">
        <f t="shared" ref="L358:N358" ca="1" si="274">L361+L364</f>
        <v>9088150</v>
      </c>
      <c r="M358" s="47">
        <f t="shared" ca="1" si="274"/>
        <v>9179830</v>
      </c>
      <c r="N358" s="47">
        <f t="shared" ca="1" si="274"/>
        <v>5630648.0499999998</v>
      </c>
      <c r="O358" s="47">
        <f t="shared" ca="1" si="267"/>
        <v>61.955932175415235</v>
      </c>
      <c r="P358" s="47">
        <f t="shared" ca="1" si="268"/>
        <v>61.337171276592265</v>
      </c>
      <c r="Q358" s="47">
        <f t="shared" ref="Q358:S358" ca="1" si="275">Q361+Q364</f>
        <v>0</v>
      </c>
      <c r="R358" s="47">
        <f t="shared" ca="1" si="275"/>
        <v>0</v>
      </c>
      <c r="S358" s="47">
        <f t="shared" ca="1" si="275"/>
        <v>0</v>
      </c>
      <c r="T358" s="47">
        <f t="shared" ca="1" si="270"/>
        <v>0</v>
      </c>
      <c r="U358" s="47">
        <f t="shared" ca="1" si="271"/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7">
        <f t="shared" ref="L359:N359" ca="1" si="276">L360+L361</f>
        <v>9088150</v>
      </c>
      <c r="M359" s="47">
        <f t="shared" ca="1" si="276"/>
        <v>9179830</v>
      </c>
      <c r="N359" s="47">
        <f t="shared" ca="1" si="276"/>
        <v>5630648.0499999998</v>
      </c>
      <c r="O359" s="47">
        <f t="shared" ca="1" si="267"/>
        <v>61.955932175415235</v>
      </c>
      <c r="P359" s="47">
        <f t="shared" ca="1" si="268"/>
        <v>61.337171276592265</v>
      </c>
      <c r="Q359" s="47">
        <f t="shared" ref="Q359:S359" ca="1" si="277">Q360+Q361</f>
        <v>0</v>
      </c>
      <c r="R359" s="47">
        <f t="shared" ca="1" si="277"/>
        <v>0</v>
      </c>
      <c r="S359" s="47">
        <f t="shared" ca="1" si="277"/>
        <v>0</v>
      </c>
      <c r="T359" s="47">
        <f t="shared" ca="1" si="270"/>
        <v>0</v>
      </c>
      <c r="U359" s="47">
        <f t="shared" ca="1" si="271"/>
        <v>0</v>
      </c>
    </row>
    <row r="360" spans="1:21" ht="18.75" hidden="1" x14ac:dyDescent="0.25">
      <c r="A360" s="128"/>
      <c r="B360" s="41"/>
      <c r="C360" s="41"/>
      <c r="D360" s="41"/>
      <c r="E360" s="48" t="s">
        <v>36</v>
      </c>
      <c r="F360" s="41"/>
      <c r="G360" s="43"/>
      <c r="H360" s="134" t="s">
        <v>14</v>
      </c>
      <c r="I360" s="135"/>
      <c r="J360" s="135"/>
      <c r="K360" s="136"/>
      <c r="L360" s="47">
        <f ca="1">IFERROR(__xludf.DUMMYFUNCTION("IMPORTRANGE(""https://docs.google.com/spreadsheets/d/1kKUcYdkIfrgTSj8iHHHB2MD2FAtwyyocFgqGQn6ADyI/edit?usp=sharing"",""กระบี่!L360"")+IMPORTRANGE(""https://docs.google.com/spreadsheets/d/1GwtLaSlNZkLk7iDqcyZz22giiy40b_usZZBXYciEN1U/edit?usp=sharing"",""ชุ"&amp;"มพร!L360"")+IMPORTRANGE(""https://docs.google.com/spreadsheets/d/16pAz3pOhQEZBhvFNMa5KGgZS6iKWpsKX0pg6tQmwFpo/edit?usp=sharing"",""ตรัง!L360"")+IMPORTRANGE(""https://docs.google.com/spreadsheets/d/1Dj4jcHCTV9JXKCaMoheSXS52JE63kDKyG7bPXnFogHk/edit?usp=shar"&amp;"ing"",""นครศรีธรรมราช!L360"")+IMPORTRANGE(""https://docs.google.com/spreadsheets/d/1iodCdmuK2GR3jzUwk8tpccY2JHQQA-87DLOtJP-ooyU/edit?usp=sharing"",""นราธิวาส!L360"")+IMPORTRANGE(""https://docs.google.com/spreadsheets/d/1SDNX3JhDdYRuIOsj0Wh2M-Qa_eaXl0NbWmh"&amp;"AOTbfQAs/edit?usp=sharing"",""ปัตตานี!L360"")+IMPORTRANGE(""https://docs.google.com/spreadsheets/d/16JDLGguT8s5DsGCND1KcwHP_AWR_zDMTqLHPLJUKhaU/edit?usp=sharing"",""พังงา!L360"")+IMPORTRANGE(""https://docs.google.com/spreadsheets/d/17ht0gPKzzT3PObBL1XJkeR"&amp;"mntBXI7wGjpLV7QorqlTk/edit?usp=sharing"",""พัทลุง!L360"")+IMPORTRANGE(""https://docs.google.com/spreadsheets/d/1rd4qoM1q_hsgaolqNGfrim9gbsoLxQsda4-vOz5x_BM/edit?usp=sharing"",""ภูเก็ต!L360"")+IMPORTRANGE(""https://docs.google.com/spreadsheets/d/1woKwKjgoL"&amp;"ssDvPcPeVyezB5izizAn4X1JDrys69n6xI/edit?usp=sharing"",""ยะลา!L360"")+IMPORTRANGE(""https://docs.google.com/spreadsheets/d/1qfrKjzMhm2HJfxQ-qVlJlJQ25Hne1d0khsySbZyGtPA/edit?usp=sharing"",""ระนอง!L360"")+IMPORTRANGE(""https://docs.google.com/spreadsheets/d/"&amp;"1IbSCnFOKpZsnFogBHJnL_isstZVaOMnFiIN0fGTPZZw/edit?usp=sharing"",""สงขลา!L360"")+IMPORTRANGE(""https://docs.google.com/spreadsheets/d/1q9nWasZJ-K8bFGvbE9n0qSRuKGA4Toe3Y89cKCiVtCU/edit?usp=sharing"",""สตูล!L360"")+IMPORTRANGE(""https://docs.google.com/sprea"&amp;"dsheets/d/18T20gbkS_WBjdscyTOV05cvq_JqvqQ17C81mpxf7Ncs/edit?usp=sharing"",""สุราษฎร์ธานี!L360"")"),0)</f>
        <v>0</v>
      </c>
      <c r="M360" s="47">
        <f ca="1">IFERROR(__xludf.DUMMYFUNCTION("IMPORTRANGE(""https://docs.google.com/spreadsheets/d/1kKUcYdkIfrgTSj8iHHHB2MD2FAtwyyocFgqGQn6ADyI/edit?usp=sharing"",""กระบี่!M360"")+IMPORTRANGE(""https://docs.google.com/spreadsheets/d/1GwtLaSlNZkLk7iDqcyZz22giiy40b_usZZBXYciEN1U/edit?usp=sharing"",""ชุ"&amp;"มพร!M360"")+IMPORTRANGE(""https://docs.google.com/spreadsheets/d/16pAz3pOhQEZBhvFNMa5KGgZS6iKWpsKX0pg6tQmwFpo/edit?usp=sharing"",""ตรัง!M360"")+IMPORTRANGE(""https://docs.google.com/spreadsheets/d/1Dj4jcHCTV9JXKCaMoheSXS52JE63kDKyG7bPXnFogHk/edit?usp=shar"&amp;"ing"",""นครศรีธรรมราช!M360"")+IMPORTRANGE(""https://docs.google.com/spreadsheets/d/1iodCdmuK2GR3jzUwk8tpccY2JHQQA-87DLOtJP-ooyU/edit?usp=sharing"",""นราธิวาส!M360"")+IMPORTRANGE(""https://docs.google.com/spreadsheets/d/1SDNX3JhDdYRuIOsj0Wh2M-Qa_eaXl0NbWmh"&amp;"AOTbfQAs/edit?usp=sharing"",""ปัตตานี!M360"")+IMPORTRANGE(""https://docs.google.com/spreadsheets/d/16JDLGguT8s5DsGCND1KcwHP_AWR_zDMTqLHPLJUKhaU/edit?usp=sharing"",""พังงา!M360"")+IMPORTRANGE(""https://docs.google.com/spreadsheets/d/17ht0gPKzzT3PObBL1XJkeR"&amp;"mntBXI7wGjpLV7QorqlTk/edit?usp=sharing"",""พัทลุง!M360"")+IMPORTRANGE(""https://docs.google.com/spreadsheets/d/1rd4qoM1q_hsgaolqNGfrim9gbsoLxQsda4-vOz5x_BM/edit?usp=sharing"",""ภูเก็ต!M360"")+IMPORTRANGE(""https://docs.google.com/spreadsheets/d/1woKwKjgoL"&amp;"ssDvPcPeVyezB5izizAn4X1JDrys69n6xI/edit?usp=sharing"",""ยะลา!M360"")+IMPORTRANGE(""https://docs.google.com/spreadsheets/d/1qfrKjzMhm2HJfxQ-qVlJlJQ25Hne1d0khsySbZyGtPA/edit?usp=sharing"",""ระนอง!M360"")+IMPORTRANGE(""https://docs.google.com/spreadsheets/d/"&amp;"1IbSCnFOKpZsnFogBHJnL_isstZVaOMnFiIN0fGTPZZw/edit?usp=sharing"",""สงขลา!M360"")+IMPORTRANGE(""https://docs.google.com/spreadsheets/d/1q9nWasZJ-K8bFGvbE9n0qSRuKGA4Toe3Y89cKCiVtCU/edit?usp=sharing"",""สตูล!M360"")+IMPORTRANGE(""https://docs.google.com/sprea"&amp;"dsheets/d/18T20gbkS_WBjdscyTOV05cvq_JqvqQ17C81mpxf7Ncs/edit?usp=sharing"",""สุราษฎร์ธานี!M360"")"),0)</f>
        <v>0</v>
      </c>
      <c r="N360" s="47">
        <f ca="1">IFERROR(__xludf.DUMMYFUNCTION("IMPORTRANGE(""https://docs.google.com/spreadsheets/d/1kKUcYdkIfrgTSj8iHHHB2MD2FAtwyyocFgqGQn6ADyI/edit?usp=sharing"",""กระบี่!N360"")+IMPORTRANGE(""https://docs.google.com/spreadsheets/d/1GwtLaSlNZkLk7iDqcyZz22giiy40b_usZZBXYciEN1U/edit?usp=sharing"",""ชุ"&amp;"มพร!N360"")+IMPORTRANGE(""https://docs.google.com/spreadsheets/d/16pAz3pOhQEZBhvFNMa5KGgZS6iKWpsKX0pg6tQmwFpo/edit?usp=sharing"",""ตรัง!N360"")+IMPORTRANGE(""https://docs.google.com/spreadsheets/d/1Dj4jcHCTV9JXKCaMoheSXS52JE63kDKyG7bPXnFogHk/edit?usp=shar"&amp;"ing"",""นครศรีธรรมราช!N360"")+IMPORTRANGE(""https://docs.google.com/spreadsheets/d/1iodCdmuK2GR3jzUwk8tpccY2JHQQA-87DLOtJP-ooyU/edit?usp=sharing"",""นราธิวาส!N360"")+IMPORTRANGE(""https://docs.google.com/spreadsheets/d/1SDNX3JhDdYRuIOsj0Wh2M-Qa_eaXl0NbWmh"&amp;"AOTbfQAs/edit?usp=sharing"",""ปัตตานี!N360"")+IMPORTRANGE(""https://docs.google.com/spreadsheets/d/16JDLGguT8s5DsGCND1KcwHP_AWR_zDMTqLHPLJUKhaU/edit?usp=sharing"",""พังงา!N360"")+IMPORTRANGE(""https://docs.google.com/spreadsheets/d/17ht0gPKzzT3PObBL1XJkeR"&amp;"mntBXI7wGjpLV7QorqlTk/edit?usp=sharing"",""พัทลุง!N360"")+IMPORTRANGE(""https://docs.google.com/spreadsheets/d/1rd4qoM1q_hsgaolqNGfrim9gbsoLxQsda4-vOz5x_BM/edit?usp=sharing"",""ภูเก็ต!N360"")+IMPORTRANGE(""https://docs.google.com/spreadsheets/d/1woKwKjgoL"&amp;"ssDvPcPeVyezB5izizAn4X1JDrys69n6xI/edit?usp=sharing"",""ยะลา!N360"")+IMPORTRANGE(""https://docs.google.com/spreadsheets/d/1qfrKjzMhm2HJfxQ-qVlJlJQ25Hne1d0khsySbZyGtPA/edit?usp=sharing"",""ระนอง!N360"")+IMPORTRANGE(""https://docs.google.com/spreadsheets/d/"&amp;"1IbSCnFOKpZsnFogBHJnL_isstZVaOMnFiIN0fGTPZZw/edit?usp=sharing"",""สงขลา!N360"")+IMPORTRANGE(""https://docs.google.com/spreadsheets/d/1q9nWasZJ-K8bFGvbE9n0qSRuKGA4Toe3Y89cKCiVtCU/edit?usp=sharing"",""สตูล!N360"")+IMPORTRANGE(""https://docs.google.com/sprea"&amp;"dsheets/d/18T20gbkS_WBjdscyTOV05cvq_JqvqQ17C81mpxf7Ncs/edit?usp=sharing"",""สุราษฎร์ธานี!N360"")"),0)</f>
        <v>0</v>
      </c>
      <c r="O360" s="47">
        <f t="shared" ca="1" si="267"/>
        <v>0</v>
      </c>
      <c r="P360" s="47">
        <f t="shared" ca="1" si="268"/>
        <v>0</v>
      </c>
      <c r="Q360" s="47">
        <f ca="1">IFERROR(__xludf.DUMMYFUNCTION("IMPORTRANGE(""https://docs.google.com/spreadsheets/d/1kKUcYdkIfrgTSj8iHHHB2MD2FAtwyyocFgqGQn6ADyI/edit?usp=sharing"",""กระบี่!Q360"")+IMPORTRANGE(""https://docs.google.com/spreadsheets/d/1GwtLaSlNZkLk7iDqcyZz22giiy40b_usZZBXYciEN1U/edit?usp=sharing"",""ชุ"&amp;"มพร!Q360"")+IMPORTRANGE(""https://docs.google.com/spreadsheets/d/16pAz3pOhQEZBhvFNMa5KGgZS6iKWpsKX0pg6tQmwFpo/edit?usp=sharing"",""ตรัง!Q360"")+IMPORTRANGE(""https://docs.google.com/spreadsheets/d/1Dj4jcHCTV9JXKCaMoheSXS52JE63kDKyG7bPXnFogHk/edit?usp=shar"&amp;"ing"",""นครศรีธรรมราช!Q360"")+IMPORTRANGE(""https://docs.google.com/spreadsheets/d/1iodCdmuK2GR3jzUwk8tpccY2JHQQA-87DLOtJP-ooyU/edit?usp=sharing"",""นราธิวาส!Q360"")+IMPORTRANGE(""https://docs.google.com/spreadsheets/d/1SDNX3JhDdYRuIOsj0Wh2M-Qa_eaXl0NbWmh"&amp;"AOTbfQAs/edit?usp=sharing"",""ปัตตานี!Q360"")+IMPORTRANGE(""https://docs.google.com/spreadsheets/d/16JDLGguT8s5DsGCND1KcwHP_AWR_zDMTqLHPLJUKhaU/edit?usp=sharing"",""พังงา!Q360"")+IMPORTRANGE(""https://docs.google.com/spreadsheets/d/17ht0gPKzzT3PObBL1XJkeR"&amp;"mntBXI7wGjpLV7QorqlTk/edit?usp=sharing"",""พัทลุง!Q360"")+IMPORTRANGE(""https://docs.google.com/spreadsheets/d/1rd4qoM1q_hsgaolqNGfrim9gbsoLxQsda4-vOz5x_BM/edit?usp=sharing"",""ภูเก็ต!Q360"")+IMPORTRANGE(""https://docs.google.com/spreadsheets/d/1woKwKjgoL"&amp;"ssDvPcPeVyezB5izizAn4X1JDrys69n6xI/edit?usp=sharing"",""ยะลา!Q360"")+IMPORTRANGE(""https://docs.google.com/spreadsheets/d/1qfrKjzMhm2HJfxQ-qVlJlJQ25Hne1d0khsySbZyGtPA/edit?usp=sharing"",""ระนอง!Q360"")+IMPORTRANGE(""https://docs.google.com/spreadsheets/d/"&amp;"1IbSCnFOKpZsnFogBHJnL_isstZVaOMnFiIN0fGTPZZw/edit?usp=sharing"",""สงขลา!Q360"")+IMPORTRANGE(""https://docs.google.com/spreadsheets/d/1q9nWasZJ-K8bFGvbE9n0qSRuKGA4Toe3Y89cKCiVtCU/edit?usp=sharing"",""สตูล!Q360"")+IMPORTRANGE(""https://docs.google.com/sprea"&amp;"dsheets/d/18T20gbkS_WBjdscyTOV05cvq_JqvqQ17C81mpxf7Ncs/edit?usp=sharing"",""สุราษฎร์ธานี!Q360"")"),0)</f>
        <v>0</v>
      </c>
      <c r="R360" s="47">
        <f ca="1">IFERROR(__xludf.DUMMYFUNCTION("IMPORTRANGE(""https://docs.google.com/spreadsheets/d/1kKUcYdkIfrgTSj8iHHHB2MD2FAtwyyocFgqGQn6ADyI/edit?usp=sharing"",""กระบี่!R360"")+IMPORTRANGE(""https://docs.google.com/spreadsheets/d/1GwtLaSlNZkLk7iDqcyZz22giiy40b_usZZBXYciEN1U/edit?usp=sharing"",""ชุ"&amp;"มพร!R360"")+IMPORTRANGE(""https://docs.google.com/spreadsheets/d/16pAz3pOhQEZBhvFNMa5KGgZS6iKWpsKX0pg6tQmwFpo/edit?usp=sharing"",""ตรัง!R360"")+IMPORTRANGE(""https://docs.google.com/spreadsheets/d/1Dj4jcHCTV9JXKCaMoheSXS52JE63kDKyG7bPXnFogHk/edit?usp=shar"&amp;"ing"",""นครศรีธรรมราช!R360"")+IMPORTRANGE(""https://docs.google.com/spreadsheets/d/1iodCdmuK2GR3jzUwk8tpccY2JHQQA-87DLOtJP-ooyU/edit?usp=sharing"",""นราธิวาส!R360"")+IMPORTRANGE(""https://docs.google.com/spreadsheets/d/1SDNX3JhDdYRuIOsj0Wh2M-Qa_eaXl0NbWmh"&amp;"AOTbfQAs/edit?usp=sharing"",""ปัตตานี!R360"")+IMPORTRANGE(""https://docs.google.com/spreadsheets/d/16JDLGguT8s5DsGCND1KcwHP_AWR_zDMTqLHPLJUKhaU/edit?usp=sharing"",""พังงา!R360"")+IMPORTRANGE(""https://docs.google.com/spreadsheets/d/17ht0gPKzzT3PObBL1XJkeR"&amp;"mntBXI7wGjpLV7QorqlTk/edit?usp=sharing"",""พัทลุง!R360"")+IMPORTRANGE(""https://docs.google.com/spreadsheets/d/1rd4qoM1q_hsgaolqNGfrim9gbsoLxQsda4-vOz5x_BM/edit?usp=sharing"",""ภูเก็ต!R360"")+IMPORTRANGE(""https://docs.google.com/spreadsheets/d/1woKwKjgoL"&amp;"ssDvPcPeVyezB5izizAn4X1JDrys69n6xI/edit?usp=sharing"",""ยะลา!R360"")+IMPORTRANGE(""https://docs.google.com/spreadsheets/d/1qfrKjzMhm2HJfxQ-qVlJlJQ25Hne1d0khsySbZyGtPA/edit?usp=sharing"",""ระนอง!R360"")+IMPORTRANGE(""https://docs.google.com/spreadsheets/d/"&amp;"1IbSCnFOKpZsnFogBHJnL_isstZVaOMnFiIN0fGTPZZw/edit?usp=sharing"",""สงขลา!R360"")+IMPORTRANGE(""https://docs.google.com/spreadsheets/d/1q9nWasZJ-K8bFGvbE9n0qSRuKGA4Toe3Y89cKCiVtCU/edit?usp=sharing"",""สตูล!R360"")+IMPORTRANGE(""https://docs.google.com/sprea"&amp;"dsheets/d/18T20gbkS_WBjdscyTOV05cvq_JqvqQ17C81mpxf7Ncs/edit?usp=sharing"",""สุราษฎร์ธานี!R360"")"),0)</f>
        <v>0</v>
      </c>
      <c r="S360" s="47">
        <f ca="1">IFERROR(__xludf.DUMMYFUNCTION("IMPORTRANGE(""https://docs.google.com/spreadsheets/d/1kKUcYdkIfrgTSj8iHHHB2MD2FAtwyyocFgqGQn6ADyI/edit?usp=sharing"",""กระบี่!S360"")+IMPORTRANGE(""https://docs.google.com/spreadsheets/d/1GwtLaSlNZkLk7iDqcyZz22giiy40b_usZZBXYciEN1U/edit?usp=sharing"",""ชุ"&amp;"มพร!S360"")+IMPORTRANGE(""https://docs.google.com/spreadsheets/d/16pAz3pOhQEZBhvFNMa5KGgZS6iKWpsKX0pg6tQmwFpo/edit?usp=sharing"",""ตรัง!S360"")+IMPORTRANGE(""https://docs.google.com/spreadsheets/d/1Dj4jcHCTV9JXKCaMoheSXS52JE63kDKyG7bPXnFogHk/edit?usp=shar"&amp;"ing"",""นครศรีธรรมราช!S360"")+IMPORTRANGE(""https://docs.google.com/spreadsheets/d/1iodCdmuK2GR3jzUwk8tpccY2JHQQA-87DLOtJP-ooyU/edit?usp=sharing"",""นราธิวาส!S360"")+IMPORTRANGE(""https://docs.google.com/spreadsheets/d/1SDNX3JhDdYRuIOsj0Wh2M-Qa_eaXl0NbWmh"&amp;"AOTbfQAs/edit?usp=sharing"",""ปัตตานี!S360"")+IMPORTRANGE(""https://docs.google.com/spreadsheets/d/16JDLGguT8s5DsGCND1KcwHP_AWR_zDMTqLHPLJUKhaU/edit?usp=sharing"",""พังงา!S360"")+IMPORTRANGE(""https://docs.google.com/spreadsheets/d/17ht0gPKzzT3PObBL1XJkeR"&amp;"mntBXI7wGjpLV7QorqlTk/edit?usp=sharing"",""พัทลุง!S360"")+IMPORTRANGE(""https://docs.google.com/spreadsheets/d/1rd4qoM1q_hsgaolqNGfrim9gbsoLxQsda4-vOz5x_BM/edit?usp=sharing"",""ภูเก็ต!S360"")+IMPORTRANGE(""https://docs.google.com/spreadsheets/d/1woKwKjgoL"&amp;"ssDvPcPeVyezB5izizAn4X1JDrys69n6xI/edit?usp=sharing"",""ยะลา!S360"")+IMPORTRANGE(""https://docs.google.com/spreadsheets/d/1qfrKjzMhm2HJfxQ-qVlJlJQ25Hne1d0khsySbZyGtPA/edit?usp=sharing"",""ระนอง!S360"")+IMPORTRANGE(""https://docs.google.com/spreadsheets/d/"&amp;"1IbSCnFOKpZsnFogBHJnL_isstZVaOMnFiIN0fGTPZZw/edit?usp=sharing"",""สงขลา!S360"")+IMPORTRANGE(""https://docs.google.com/spreadsheets/d/1q9nWasZJ-K8bFGvbE9n0qSRuKGA4Toe3Y89cKCiVtCU/edit?usp=sharing"",""สตูล!S360"")+IMPORTRANGE(""https://docs.google.com/sprea"&amp;"dsheets/d/18T20gbkS_WBjdscyTOV05cvq_JqvqQ17C81mpxf7Ncs/edit?usp=sharing"",""สุราษฎร์ธานี!S360"")"),0)</f>
        <v>0</v>
      </c>
      <c r="T360" s="49">
        <f t="shared" ca="1" si="270"/>
        <v>0</v>
      </c>
      <c r="U360" s="49">
        <f t="shared" ca="1" si="271"/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7">
        <f ca="1">IFERROR(__xludf.DUMMYFUNCTION("IMPORTRANGE(""https://docs.google.com/spreadsheets/d/1kKUcYdkIfrgTSj8iHHHB2MD2FAtwyyocFgqGQn6ADyI/edit?usp=sharing"",""กระบี่!L361"")+IMPORTRANGE(""https://docs.google.com/spreadsheets/d/1GwtLaSlNZkLk7iDqcyZz22giiy40b_usZZBXYciEN1U/edit?usp=sharing"",""ชุ"&amp;"มพร!L361"")+IMPORTRANGE(""https://docs.google.com/spreadsheets/d/16pAz3pOhQEZBhvFNMa5KGgZS6iKWpsKX0pg6tQmwFpo/edit?usp=sharing"",""ตรัง!L361"")+IMPORTRANGE(""https://docs.google.com/spreadsheets/d/1Dj4jcHCTV9JXKCaMoheSXS52JE63kDKyG7bPXnFogHk/edit?usp=shar"&amp;"ing"",""นครศรีธรรมราช!L361"")+IMPORTRANGE(""https://docs.google.com/spreadsheets/d/1iodCdmuK2GR3jzUwk8tpccY2JHQQA-87DLOtJP-ooyU/edit?usp=sharing"",""นราธิวาส!L361"")+IMPORTRANGE(""https://docs.google.com/spreadsheets/d/1SDNX3JhDdYRuIOsj0Wh2M-Qa_eaXl0NbWmh"&amp;"AOTbfQAs/edit?usp=sharing"",""ปัตตานี!L361"")+IMPORTRANGE(""https://docs.google.com/spreadsheets/d/16JDLGguT8s5DsGCND1KcwHP_AWR_zDMTqLHPLJUKhaU/edit?usp=sharing"",""พังงา!L361"")+IMPORTRANGE(""https://docs.google.com/spreadsheets/d/17ht0gPKzzT3PObBL1XJkeR"&amp;"mntBXI7wGjpLV7QorqlTk/edit?usp=sharing"",""พัทลุง!L361"")+IMPORTRANGE(""https://docs.google.com/spreadsheets/d/1rd4qoM1q_hsgaolqNGfrim9gbsoLxQsda4-vOz5x_BM/edit?usp=sharing"",""ภูเก็ต!L361"")+IMPORTRANGE(""https://docs.google.com/spreadsheets/d/1woKwKjgoL"&amp;"ssDvPcPeVyezB5izizAn4X1JDrys69n6xI/edit?usp=sharing"",""ยะลา!L361"")+IMPORTRANGE(""https://docs.google.com/spreadsheets/d/1qfrKjzMhm2HJfxQ-qVlJlJQ25Hne1d0khsySbZyGtPA/edit?usp=sharing"",""ระนอง!L361"")+IMPORTRANGE(""https://docs.google.com/spreadsheets/d/"&amp;"1IbSCnFOKpZsnFogBHJnL_isstZVaOMnFiIN0fGTPZZw/edit?usp=sharing"",""สงขลา!L361"")+IMPORTRANGE(""https://docs.google.com/spreadsheets/d/1q9nWasZJ-K8bFGvbE9n0qSRuKGA4Toe3Y89cKCiVtCU/edit?usp=sharing"",""สตูล!L361"")+IMPORTRANGE(""https://docs.google.com/sprea"&amp;"dsheets/d/18T20gbkS_WBjdscyTOV05cvq_JqvqQ17C81mpxf7Ncs/edit?usp=sharing"",""สุราษฎร์ธานี!L361"")"),9088150)</f>
        <v>9088150</v>
      </c>
      <c r="M361" s="47">
        <f ca="1">IFERROR(__xludf.DUMMYFUNCTION("IMPORTRANGE(""https://docs.google.com/spreadsheets/d/1kKUcYdkIfrgTSj8iHHHB2MD2FAtwyyocFgqGQn6ADyI/edit?usp=sharing"",""กระบี่!M361"")+IMPORTRANGE(""https://docs.google.com/spreadsheets/d/1GwtLaSlNZkLk7iDqcyZz22giiy40b_usZZBXYciEN1U/edit?usp=sharing"",""ชุ"&amp;"มพร!M361"")+IMPORTRANGE(""https://docs.google.com/spreadsheets/d/16pAz3pOhQEZBhvFNMa5KGgZS6iKWpsKX0pg6tQmwFpo/edit?usp=sharing"",""ตรัง!M361"")+IMPORTRANGE(""https://docs.google.com/spreadsheets/d/1Dj4jcHCTV9JXKCaMoheSXS52JE63kDKyG7bPXnFogHk/edit?usp=shar"&amp;"ing"",""นครศรีธรรมราช!M361"")+IMPORTRANGE(""https://docs.google.com/spreadsheets/d/1iodCdmuK2GR3jzUwk8tpccY2JHQQA-87DLOtJP-ooyU/edit?usp=sharing"",""นราธิวาส!M361"")+IMPORTRANGE(""https://docs.google.com/spreadsheets/d/1SDNX3JhDdYRuIOsj0Wh2M-Qa_eaXl0NbWmh"&amp;"AOTbfQAs/edit?usp=sharing"",""ปัตตานี!M361"")+IMPORTRANGE(""https://docs.google.com/spreadsheets/d/16JDLGguT8s5DsGCND1KcwHP_AWR_zDMTqLHPLJUKhaU/edit?usp=sharing"",""พังงา!M361"")+IMPORTRANGE(""https://docs.google.com/spreadsheets/d/17ht0gPKzzT3PObBL1XJkeR"&amp;"mntBXI7wGjpLV7QorqlTk/edit?usp=sharing"",""พัทลุง!M361"")+IMPORTRANGE(""https://docs.google.com/spreadsheets/d/1rd4qoM1q_hsgaolqNGfrim9gbsoLxQsda4-vOz5x_BM/edit?usp=sharing"",""ภูเก็ต!M361"")+IMPORTRANGE(""https://docs.google.com/spreadsheets/d/1woKwKjgoL"&amp;"ssDvPcPeVyezB5izizAn4X1JDrys69n6xI/edit?usp=sharing"",""ยะลา!M361"")+IMPORTRANGE(""https://docs.google.com/spreadsheets/d/1qfrKjzMhm2HJfxQ-qVlJlJQ25Hne1d0khsySbZyGtPA/edit?usp=sharing"",""ระนอง!M361"")+IMPORTRANGE(""https://docs.google.com/spreadsheets/d/"&amp;"1IbSCnFOKpZsnFogBHJnL_isstZVaOMnFiIN0fGTPZZw/edit?usp=sharing"",""สงขลา!M361"")+IMPORTRANGE(""https://docs.google.com/spreadsheets/d/1q9nWasZJ-K8bFGvbE9n0qSRuKGA4Toe3Y89cKCiVtCU/edit?usp=sharing"",""สตูล!M361"")+IMPORTRANGE(""https://docs.google.com/sprea"&amp;"dsheets/d/18T20gbkS_WBjdscyTOV05cvq_JqvqQ17C81mpxf7Ncs/edit?usp=sharing"",""สุราษฎร์ธานี!M361"")"),9179830)</f>
        <v>9179830</v>
      </c>
      <c r="N361" s="47">
        <f ca="1">IFERROR(__xludf.DUMMYFUNCTION("IMPORTRANGE(""https://docs.google.com/spreadsheets/d/1kKUcYdkIfrgTSj8iHHHB2MD2FAtwyyocFgqGQn6ADyI/edit?usp=sharing"",""กระบี่!N361"")+IMPORTRANGE(""https://docs.google.com/spreadsheets/d/1GwtLaSlNZkLk7iDqcyZz22giiy40b_usZZBXYciEN1U/edit?usp=sharing"",""ชุ"&amp;"มพร!N361"")+IMPORTRANGE(""https://docs.google.com/spreadsheets/d/16pAz3pOhQEZBhvFNMa5KGgZS6iKWpsKX0pg6tQmwFpo/edit?usp=sharing"",""ตรัง!N361"")+IMPORTRANGE(""https://docs.google.com/spreadsheets/d/1Dj4jcHCTV9JXKCaMoheSXS52JE63kDKyG7bPXnFogHk/edit?usp=shar"&amp;"ing"",""นครศรีธรรมราช!N361"")+IMPORTRANGE(""https://docs.google.com/spreadsheets/d/1iodCdmuK2GR3jzUwk8tpccY2JHQQA-87DLOtJP-ooyU/edit?usp=sharing"",""นราธิวาส!N361"")+IMPORTRANGE(""https://docs.google.com/spreadsheets/d/1SDNX3JhDdYRuIOsj0Wh2M-Qa_eaXl0NbWmh"&amp;"AOTbfQAs/edit?usp=sharing"",""ปัตตานี!N361"")+IMPORTRANGE(""https://docs.google.com/spreadsheets/d/16JDLGguT8s5DsGCND1KcwHP_AWR_zDMTqLHPLJUKhaU/edit?usp=sharing"",""พังงา!N361"")+IMPORTRANGE(""https://docs.google.com/spreadsheets/d/17ht0gPKzzT3PObBL1XJkeR"&amp;"mntBXI7wGjpLV7QorqlTk/edit?usp=sharing"",""พัทลุง!N361"")+IMPORTRANGE(""https://docs.google.com/spreadsheets/d/1rd4qoM1q_hsgaolqNGfrim9gbsoLxQsda4-vOz5x_BM/edit?usp=sharing"",""ภูเก็ต!N361"")+IMPORTRANGE(""https://docs.google.com/spreadsheets/d/1woKwKjgoL"&amp;"ssDvPcPeVyezB5izizAn4X1JDrys69n6xI/edit?usp=sharing"",""ยะลา!N361"")+IMPORTRANGE(""https://docs.google.com/spreadsheets/d/1qfrKjzMhm2HJfxQ-qVlJlJQ25Hne1d0khsySbZyGtPA/edit?usp=sharing"",""ระนอง!N361"")+IMPORTRANGE(""https://docs.google.com/spreadsheets/d/"&amp;"1IbSCnFOKpZsnFogBHJnL_isstZVaOMnFiIN0fGTPZZw/edit?usp=sharing"",""สงขลา!N361"")+IMPORTRANGE(""https://docs.google.com/spreadsheets/d/1q9nWasZJ-K8bFGvbE9n0qSRuKGA4Toe3Y89cKCiVtCU/edit?usp=sharing"",""สตูล!N361"")+IMPORTRANGE(""https://docs.google.com/sprea"&amp;"dsheets/d/18T20gbkS_WBjdscyTOV05cvq_JqvqQ17C81mpxf7Ncs/edit?usp=sharing"",""สุราษฎร์ธานี!N361"")"),5630648.05)</f>
        <v>5630648.0499999998</v>
      </c>
      <c r="O361" s="47">
        <f t="shared" ca="1" si="267"/>
        <v>61.955932175415235</v>
      </c>
      <c r="P361" s="47">
        <f t="shared" ca="1" si="268"/>
        <v>61.337171276592265</v>
      </c>
      <c r="Q361" s="47">
        <f ca="1">IFERROR(__xludf.DUMMYFUNCTION("IMPORTRANGE(""https://docs.google.com/spreadsheets/d/1kKUcYdkIfrgTSj8iHHHB2MD2FAtwyyocFgqGQn6ADyI/edit?usp=sharing"",""กระบี่!Q361"")+IMPORTRANGE(""https://docs.google.com/spreadsheets/d/1GwtLaSlNZkLk7iDqcyZz22giiy40b_usZZBXYciEN1U/edit?usp=sharing"",""ชุ"&amp;"มพร!Q361"")+IMPORTRANGE(""https://docs.google.com/spreadsheets/d/16pAz3pOhQEZBhvFNMa5KGgZS6iKWpsKX0pg6tQmwFpo/edit?usp=sharing"",""ตรัง!Q361"")+IMPORTRANGE(""https://docs.google.com/spreadsheets/d/1Dj4jcHCTV9JXKCaMoheSXS52JE63kDKyG7bPXnFogHk/edit?usp=shar"&amp;"ing"",""นครศรีธรรมราช!Q361"")+IMPORTRANGE(""https://docs.google.com/spreadsheets/d/1iodCdmuK2GR3jzUwk8tpccY2JHQQA-87DLOtJP-ooyU/edit?usp=sharing"",""นราธิวาส!Q361"")+IMPORTRANGE(""https://docs.google.com/spreadsheets/d/1SDNX3JhDdYRuIOsj0Wh2M-Qa_eaXl0NbWmh"&amp;"AOTbfQAs/edit?usp=sharing"",""ปัตตานี!Q361"")+IMPORTRANGE(""https://docs.google.com/spreadsheets/d/16JDLGguT8s5DsGCND1KcwHP_AWR_zDMTqLHPLJUKhaU/edit?usp=sharing"",""พังงา!Q361"")+IMPORTRANGE(""https://docs.google.com/spreadsheets/d/17ht0gPKzzT3PObBL1XJkeR"&amp;"mntBXI7wGjpLV7QorqlTk/edit?usp=sharing"",""พัทลุง!Q361"")+IMPORTRANGE(""https://docs.google.com/spreadsheets/d/1rd4qoM1q_hsgaolqNGfrim9gbsoLxQsda4-vOz5x_BM/edit?usp=sharing"",""ภูเก็ต!Q361"")+IMPORTRANGE(""https://docs.google.com/spreadsheets/d/1woKwKjgoL"&amp;"ssDvPcPeVyezB5izizAn4X1JDrys69n6xI/edit?usp=sharing"",""ยะลา!Q361"")+IMPORTRANGE(""https://docs.google.com/spreadsheets/d/1qfrKjzMhm2HJfxQ-qVlJlJQ25Hne1d0khsySbZyGtPA/edit?usp=sharing"",""ระนอง!Q361"")+IMPORTRANGE(""https://docs.google.com/spreadsheets/d/"&amp;"1IbSCnFOKpZsnFogBHJnL_isstZVaOMnFiIN0fGTPZZw/edit?usp=sharing"",""สงขลา!Q361"")+IMPORTRANGE(""https://docs.google.com/spreadsheets/d/1q9nWasZJ-K8bFGvbE9n0qSRuKGA4Toe3Y89cKCiVtCU/edit?usp=sharing"",""สตูล!Q361"")+IMPORTRANGE(""https://docs.google.com/sprea"&amp;"dsheets/d/18T20gbkS_WBjdscyTOV05cvq_JqvqQ17C81mpxf7Ncs/edit?usp=sharing"",""สุราษฎร์ธานี!Q361"")"),0)</f>
        <v>0</v>
      </c>
      <c r="R361" s="47">
        <f ca="1">IFERROR(__xludf.DUMMYFUNCTION("IMPORTRANGE(""https://docs.google.com/spreadsheets/d/1kKUcYdkIfrgTSj8iHHHB2MD2FAtwyyocFgqGQn6ADyI/edit?usp=sharing"",""กระบี่!R361"")+IMPORTRANGE(""https://docs.google.com/spreadsheets/d/1GwtLaSlNZkLk7iDqcyZz22giiy40b_usZZBXYciEN1U/edit?usp=sharing"",""ชุ"&amp;"มพร!R361"")+IMPORTRANGE(""https://docs.google.com/spreadsheets/d/16pAz3pOhQEZBhvFNMa5KGgZS6iKWpsKX0pg6tQmwFpo/edit?usp=sharing"",""ตรัง!R361"")+IMPORTRANGE(""https://docs.google.com/spreadsheets/d/1Dj4jcHCTV9JXKCaMoheSXS52JE63kDKyG7bPXnFogHk/edit?usp=shar"&amp;"ing"",""นครศรีธรรมราช!R361"")+IMPORTRANGE(""https://docs.google.com/spreadsheets/d/1iodCdmuK2GR3jzUwk8tpccY2JHQQA-87DLOtJP-ooyU/edit?usp=sharing"",""นราธิวาส!R361"")+IMPORTRANGE(""https://docs.google.com/spreadsheets/d/1SDNX3JhDdYRuIOsj0Wh2M-Qa_eaXl0NbWmh"&amp;"AOTbfQAs/edit?usp=sharing"",""ปัตตานี!R361"")+IMPORTRANGE(""https://docs.google.com/spreadsheets/d/16JDLGguT8s5DsGCND1KcwHP_AWR_zDMTqLHPLJUKhaU/edit?usp=sharing"",""พังงา!R361"")+IMPORTRANGE(""https://docs.google.com/spreadsheets/d/17ht0gPKzzT3PObBL1XJkeR"&amp;"mntBXI7wGjpLV7QorqlTk/edit?usp=sharing"",""พัทลุง!R361"")+IMPORTRANGE(""https://docs.google.com/spreadsheets/d/1rd4qoM1q_hsgaolqNGfrim9gbsoLxQsda4-vOz5x_BM/edit?usp=sharing"",""ภูเก็ต!R361"")+IMPORTRANGE(""https://docs.google.com/spreadsheets/d/1woKwKjgoL"&amp;"ssDvPcPeVyezB5izizAn4X1JDrys69n6xI/edit?usp=sharing"",""ยะลา!R361"")+IMPORTRANGE(""https://docs.google.com/spreadsheets/d/1qfrKjzMhm2HJfxQ-qVlJlJQ25Hne1d0khsySbZyGtPA/edit?usp=sharing"",""ระนอง!R361"")+IMPORTRANGE(""https://docs.google.com/spreadsheets/d/"&amp;"1IbSCnFOKpZsnFogBHJnL_isstZVaOMnFiIN0fGTPZZw/edit?usp=sharing"",""สงขลา!R361"")+IMPORTRANGE(""https://docs.google.com/spreadsheets/d/1q9nWasZJ-K8bFGvbE9n0qSRuKGA4Toe3Y89cKCiVtCU/edit?usp=sharing"",""สตูล!R361"")+IMPORTRANGE(""https://docs.google.com/sprea"&amp;"dsheets/d/18T20gbkS_WBjdscyTOV05cvq_JqvqQ17C81mpxf7Ncs/edit?usp=sharing"",""สุราษฎร์ธานี!R361"")"),0)</f>
        <v>0</v>
      </c>
      <c r="S361" s="47">
        <f ca="1">IFERROR(__xludf.DUMMYFUNCTION("IMPORTRANGE(""https://docs.google.com/spreadsheets/d/1kKUcYdkIfrgTSj8iHHHB2MD2FAtwyyocFgqGQn6ADyI/edit?usp=sharing"",""กระบี่!S361"")+IMPORTRANGE(""https://docs.google.com/spreadsheets/d/1GwtLaSlNZkLk7iDqcyZz22giiy40b_usZZBXYciEN1U/edit?usp=sharing"",""ชุ"&amp;"มพร!S361"")+IMPORTRANGE(""https://docs.google.com/spreadsheets/d/16pAz3pOhQEZBhvFNMa5KGgZS6iKWpsKX0pg6tQmwFpo/edit?usp=sharing"",""ตรัง!S361"")+IMPORTRANGE(""https://docs.google.com/spreadsheets/d/1Dj4jcHCTV9JXKCaMoheSXS52JE63kDKyG7bPXnFogHk/edit?usp=shar"&amp;"ing"",""นครศรีธรรมราช!S361"")+IMPORTRANGE(""https://docs.google.com/spreadsheets/d/1iodCdmuK2GR3jzUwk8tpccY2JHQQA-87DLOtJP-ooyU/edit?usp=sharing"",""นราธิวาส!S361"")+IMPORTRANGE(""https://docs.google.com/spreadsheets/d/1SDNX3JhDdYRuIOsj0Wh2M-Qa_eaXl0NbWmh"&amp;"AOTbfQAs/edit?usp=sharing"",""ปัตตานี!S361"")+IMPORTRANGE(""https://docs.google.com/spreadsheets/d/16JDLGguT8s5DsGCND1KcwHP_AWR_zDMTqLHPLJUKhaU/edit?usp=sharing"",""พังงา!S361"")+IMPORTRANGE(""https://docs.google.com/spreadsheets/d/17ht0gPKzzT3PObBL1XJkeR"&amp;"mntBXI7wGjpLV7QorqlTk/edit?usp=sharing"",""พัทลุง!S361"")+IMPORTRANGE(""https://docs.google.com/spreadsheets/d/1rd4qoM1q_hsgaolqNGfrim9gbsoLxQsda4-vOz5x_BM/edit?usp=sharing"",""ภูเก็ต!S361"")+IMPORTRANGE(""https://docs.google.com/spreadsheets/d/1woKwKjgoL"&amp;"ssDvPcPeVyezB5izizAn4X1JDrys69n6xI/edit?usp=sharing"",""ยะลา!S361"")+IMPORTRANGE(""https://docs.google.com/spreadsheets/d/1qfrKjzMhm2HJfxQ-qVlJlJQ25Hne1d0khsySbZyGtPA/edit?usp=sharing"",""ระนอง!S361"")+IMPORTRANGE(""https://docs.google.com/spreadsheets/d/"&amp;"1IbSCnFOKpZsnFogBHJnL_isstZVaOMnFiIN0fGTPZZw/edit?usp=sharing"",""สงขลา!S361"")+IMPORTRANGE(""https://docs.google.com/spreadsheets/d/1q9nWasZJ-K8bFGvbE9n0qSRuKGA4Toe3Y89cKCiVtCU/edit?usp=sharing"",""สตูล!S361"")+IMPORTRANGE(""https://docs.google.com/sprea"&amp;"dsheets/d/18T20gbkS_WBjdscyTOV05cvq_JqvqQ17C81mpxf7Ncs/edit?usp=sharing"",""สุราษฎร์ธานี!S361"")"),0)</f>
        <v>0</v>
      </c>
      <c r="T361" s="47">
        <f t="shared" ca="1" si="270"/>
        <v>0</v>
      </c>
      <c r="U361" s="47">
        <f t="shared" ca="1" si="271"/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7">
        <f t="shared" ref="L362:N362" ca="1" si="278">L363+L364</f>
        <v>0</v>
      </c>
      <c r="M362" s="47">
        <f t="shared" ca="1" si="278"/>
        <v>0</v>
      </c>
      <c r="N362" s="47">
        <f t="shared" ca="1" si="278"/>
        <v>0</v>
      </c>
      <c r="O362" s="47">
        <f t="shared" ca="1" si="267"/>
        <v>0</v>
      </c>
      <c r="P362" s="47">
        <f t="shared" ca="1" si="268"/>
        <v>0</v>
      </c>
      <c r="Q362" s="47">
        <f t="shared" ref="Q362:S362" ca="1" si="279">Q363+Q364</f>
        <v>0</v>
      </c>
      <c r="R362" s="47">
        <f t="shared" ca="1" si="279"/>
        <v>0</v>
      </c>
      <c r="S362" s="47">
        <f t="shared" ca="1" si="279"/>
        <v>0</v>
      </c>
      <c r="T362" s="47">
        <f t="shared" ca="1" si="270"/>
        <v>0</v>
      </c>
      <c r="U362" s="47">
        <f t="shared" ca="1" si="271"/>
        <v>0</v>
      </c>
    </row>
    <row r="363" spans="1:21" ht="18.75" hidden="1" x14ac:dyDescent="0.25">
      <c r="A363" s="128"/>
      <c r="B363" s="41"/>
      <c r="C363" s="41"/>
      <c r="D363" s="41"/>
      <c r="E363" s="48" t="s">
        <v>20</v>
      </c>
      <c r="F363" s="41"/>
      <c r="G363" s="43"/>
      <c r="H363" s="134" t="s">
        <v>14</v>
      </c>
      <c r="I363" s="135"/>
      <c r="J363" s="135"/>
      <c r="K363" s="136"/>
      <c r="L363" s="47">
        <f ca="1">IFERROR(__xludf.DUMMYFUNCTION("IMPORTRANGE(""https://docs.google.com/spreadsheets/d/1kKUcYdkIfrgTSj8iHHHB2MD2FAtwyyocFgqGQn6ADyI/edit?usp=sharing"",""กระบี่!L363"")+IMPORTRANGE(""https://docs.google.com/spreadsheets/d/1GwtLaSlNZkLk7iDqcyZz22giiy40b_usZZBXYciEN1U/edit?usp=sharing"",""ชุ"&amp;"มพร!L363"")+IMPORTRANGE(""https://docs.google.com/spreadsheets/d/16pAz3pOhQEZBhvFNMa5KGgZS6iKWpsKX0pg6tQmwFpo/edit?usp=sharing"",""ตรัง!L363"")+IMPORTRANGE(""https://docs.google.com/spreadsheets/d/1Dj4jcHCTV9JXKCaMoheSXS52JE63kDKyG7bPXnFogHk/edit?usp=shar"&amp;"ing"",""นครศรีธรรมราช!L363"")+IMPORTRANGE(""https://docs.google.com/spreadsheets/d/1iodCdmuK2GR3jzUwk8tpccY2JHQQA-87DLOtJP-ooyU/edit?usp=sharing"",""นราธิวาส!L363"")+IMPORTRANGE(""https://docs.google.com/spreadsheets/d/1SDNX3JhDdYRuIOsj0Wh2M-Qa_eaXl0NbWmh"&amp;"AOTbfQAs/edit?usp=sharing"",""ปัตตานี!L363"")+IMPORTRANGE(""https://docs.google.com/spreadsheets/d/16JDLGguT8s5DsGCND1KcwHP_AWR_zDMTqLHPLJUKhaU/edit?usp=sharing"",""พังงา!L363"")+IMPORTRANGE(""https://docs.google.com/spreadsheets/d/17ht0gPKzzT3PObBL1XJkeR"&amp;"mntBXI7wGjpLV7QorqlTk/edit?usp=sharing"",""พัทลุง!L363"")+IMPORTRANGE(""https://docs.google.com/spreadsheets/d/1rd4qoM1q_hsgaolqNGfrim9gbsoLxQsda4-vOz5x_BM/edit?usp=sharing"",""ภูเก็ต!L363"")+IMPORTRANGE(""https://docs.google.com/spreadsheets/d/1woKwKjgoL"&amp;"ssDvPcPeVyezB5izizAn4X1JDrys69n6xI/edit?usp=sharing"",""ยะลา!L363"")+IMPORTRANGE(""https://docs.google.com/spreadsheets/d/1qfrKjzMhm2HJfxQ-qVlJlJQ25Hne1d0khsySbZyGtPA/edit?usp=sharing"",""ระนอง!L363"")+IMPORTRANGE(""https://docs.google.com/spreadsheets/d/"&amp;"1IbSCnFOKpZsnFogBHJnL_isstZVaOMnFiIN0fGTPZZw/edit?usp=sharing"",""สงขลา!L363"")+IMPORTRANGE(""https://docs.google.com/spreadsheets/d/1q9nWasZJ-K8bFGvbE9n0qSRuKGA4Toe3Y89cKCiVtCU/edit?usp=sharing"",""สตูล!L363"")+IMPORTRANGE(""https://docs.google.com/sprea"&amp;"dsheets/d/18T20gbkS_WBjdscyTOV05cvq_JqvqQ17C81mpxf7Ncs/edit?usp=sharing"",""สุราษฎร์ธานี!L363"")"),0)</f>
        <v>0</v>
      </c>
      <c r="M363" s="47">
        <f ca="1">IFERROR(__xludf.DUMMYFUNCTION("IMPORTRANGE(""https://docs.google.com/spreadsheets/d/1kKUcYdkIfrgTSj8iHHHB2MD2FAtwyyocFgqGQn6ADyI/edit?usp=sharing"",""กระบี่!M363"")+IMPORTRANGE(""https://docs.google.com/spreadsheets/d/1GwtLaSlNZkLk7iDqcyZz22giiy40b_usZZBXYciEN1U/edit?usp=sharing"",""ชุ"&amp;"มพร!M363"")+IMPORTRANGE(""https://docs.google.com/spreadsheets/d/16pAz3pOhQEZBhvFNMa5KGgZS6iKWpsKX0pg6tQmwFpo/edit?usp=sharing"",""ตรัง!M363"")+IMPORTRANGE(""https://docs.google.com/spreadsheets/d/1Dj4jcHCTV9JXKCaMoheSXS52JE63kDKyG7bPXnFogHk/edit?usp=shar"&amp;"ing"",""นครศรีธรรมราช!M363"")+IMPORTRANGE(""https://docs.google.com/spreadsheets/d/1iodCdmuK2GR3jzUwk8tpccY2JHQQA-87DLOtJP-ooyU/edit?usp=sharing"",""นราธิวาส!M363"")+IMPORTRANGE(""https://docs.google.com/spreadsheets/d/1SDNX3JhDdYRuIOsj0Wh2M-Qa_eaXl0NbWmh"&amp;"AOTbfQAs/edit?usp=sharing"",""ปัตตานี!M363"")+IMPORTRANGE(""https://docs.google.com/spreadsheets/d/16JDLGguT8s5DsGCND1KcwHP_AWR_zDMTqLHPLJUKhaU/edit?usp=sharing"",""พังงา!M363"")+IMPORTRANGE(""https://docs.google.com/spreadsheets/d/17ht0gPKzzT3PObBL1XJkeR"&amp;"mntBXI7wGjpLV7QorqlTk/edit?usp=sharing"",""พัทลุง!M363"")+IMPORTRANGE(""https://docs.google.com/spreadsheets/d/1rd4qoM1q_hsgaolqNGfrim9gbsoLxQsda4-vOz5x_BM/edit?usp=sharing"",""ภูเก็ต!M363"")+IMPORTRANGE(""https://docs.google.com/spreadsheets/d/1woKwKjgoL"&amp;"ssDvPcPeVyezB5izizAn4X1JDrys69n6xI/edit?usp=sharing"",""ยะลา!M363"")+IMPORTRANGE(""https://docs.google.com/spreadsheets/d/1qfrKjzMhm2HJfxQ-qVlJlJQ25Hne1d0khsySbZyGtPA/edit?usp=sharing"",""ระนอง!M363"")+IMPORTRANGE(""https://docs.google.com/spreadsheets/d/"&amp;"1IbSCnFOKpZsnFogBHJnL_isstZVaOMnFiIN0fGTPZZw/edit?usp=sharing"",""สงขลา!M363"")+IMPORTRANGE(""https://docs.google.com/spreadsheets/d/1q9nWasZJ-K8bFGvbE9n0qSRuKGA4Toe3Y89cKCiVtCU/edit?usp=sharing"",""สตูล!M363"")+IMPORTRANGE(""https://docs.google.com/sprea"&amp;"dsheets/d/18T20gbkS_WBjdscyTOV05cvq_JqvqQ17C81mpxf7Ncs/edit?usp=sharing"",""สุราษฎร์ธานี!M363"")"),0)</f>
        <v>0</v>
      </c>
      <c r="N363" s="47">
        <f ca="1">IFERROR(__xludf.DUMMYFUNCTION("IMPORTRANGE(""https://docs.google.com/spreadsheets/d/1kKUcYdkIfrgTSj8iHHHB2MD2FAtwyyocFgqGQn6ADyI/edit?usp=sharing"",""กระบี่!N363"")+IMPORTRANGE(""https://docs.google.com/spreadsheets/d/1GwtLaSlNZkLk7iDqcyZz22giiy40b_usZZBXYciEN1U/edit?usp=sharing"",""ชุ"&amp;"มพร!N363"")+IMPORTRANGE(""https://docs.google.com/spreadsheets/d/16pAz3pOhQEZBhvFNMa5KGgZS6iKWpsKX0pg6tQmwFpo/edit?usp=sharing"",""ตรัง!N363"")+IMPORTRANGE(""https://docs.google.com/spreadsheets/d/1Dj4jcHCTV9JXKCaMoheSXS52JE63kDKyG7bPXnFogHk/edit?usp=shar"&amp;"ing"",""นครศรีธรรมราช!N363"")+IMPORTRANGE(""https://docs.google.com/spreadsheets/d/1iodCdmuK2GR3jzUwk8tpccY2JHQQA-87DLOtJP-ooyU/edit?usp=sharing"",""นราธิวาส!N363"")+IMPORTRANGE(""https://docs.google.com/spreadsheets/d/1SDNX3JhDdYRuIOsj0Wh2M-Qa_eaXl0NbWmh"&amp;"AOTbfQAs/edit?usp=sharing"",""ปัตตานี!N363"")+IMPORTRANGE(""https://docs.google.com/spreadsheets/d/16JDLGguT8s5DsGCND1KcwHP_AWR_zDMTqLHPLJUKhaU/edit?usp=sharing"",""พังงา!N363"")+IMPORTRANGE(""https://docs.google.com/spreadsheets/d/17ht0gPKzzT3PObBL1XJkeR"&amp;"mntBXI7wGjpLV7QorqlTk/edit?usp=sharing"",""พัทลุง!N363"")+IMPORTRANGE(""https://docs.google.com/spreadsheets/d/1rd4qoM1q_hsgaolqNGfrim9gbsoLxQsda4-vOz5x_BM/edit?usp=sharing"",""ภูเก็ต!N363"")+IMPORTRANGE(""https://docs.google.com/spreadsheets/d/1woKwKjgoL"&amp;"ssDvPcPeVyezB5izizAn4X1JDrys69n6xI/edit?usp=sharing"",""ยะลา!N363"")+IMPORTRANGE(""https://docs.google.com/spreadsheets/d/1qfrKjzMhm2HJfxQ-qVlJlJQ25Hne1d0khsySbZyGtPA/edit?usp=sharing"",""ระนอง!N363"")+IMPORTRANGE(""https://docs.google.com/spreadsheets/d/"&amp;"1IbSCnFOKpZsnFogBHJnL_isstZVaOMnFiIN0fGTPZZw/edit?usp=sharing"",""สงขลา!N363"")+IMPORTRANGE(""https://docs.google.com/spreadsheets/d/1q9nWasZJ-K8bFGvbE9n0qSRuKGA4Toe3Y89cKCiVtCU/edit?usp=sharing"",""สตูล!N363"")+IMPORTRANGE(""https://docs.google.com/sprea"&amp;"dsheets/d/18T20gbkS_WBjdscyTOV05cvq_JqvqQ17C81mpxf7Ncs/edit?usp=sharing"",""สุราษฎร์ธานี!N363"")"),0)</f>
        <v>0</v>
      </c>
      <c r="O363" s="47">
        <f t="shared" ca="1" si="267"/>
        <v>0</v>
      </c>
      <c r="P363" s="47">
        <f t="shared" ca="1" si="268"/>
        <v>0</v>
      </c>
      <c r="Q363" s="47">
        <f ca="1">IFERROR(__xludf.DUMMYFUNCTION("IMPORTRANGE(""https://docs.google.com/spreadsheets/d/1kKUcYdkIfrgTSj8iHHHB2MD2FAtwyyocFgqGQn6ADyI/edit?usp=sharing"",""กระบี่!Q363"")+IMPORTRANGE(""https://docs.google.com/spreadsheets/d/1GwtLaSlNZkLk7iDqcyZz22giiy40b_usZZBXYciEN1U/edit?usp=sharing"",""ชุ"&amp;"มพร!Q363"")+IMPORTRANGE(""https://docs.google.com/spreadsheets/d/16pAz3pOhQEZBhvFNMa5KGgZS6iKWpsKX0pg6tQmwFpo/edit?usp=sharing"",""ตรัง!Q363"")+IMPORTRANGE(""https://docs.google.com/spreadsheets/d/1Dj4jcHCTV9JXKCaMoheSXS52JE63kDKyG7bPXnFogHk/edit?usp=shar"&amp;"ing"",""นครศรีธรรมราช!Q363"")+IMPORTRANGE(""https://docs.google.com/spreadsheets/d/1iodCdmuK2GR3jzUwk8tpccY2JHQQA-87DLOtJP-ooyU/edit?usp=sharing"",""นราธิวาส!Q363"")+IMPORTRANGE(""https://docs.google.com/spreadsheets/d/1SDNX3JhDdYRuIOsj0Wh2M-Qa_eaXl0NbWmh"&amp;"AOTbfQAs/edit?usp=sharing"",""ปัตตานี!Q363"")+IMPORTRANGE(""https://docs.google.com/spreadsheets/d/16JDLGguT8s5DsGCND1KcwHP_AWR_zDMTqLHPLJUKhaU/edit?usp=sharing"",""พังงา!Q363"")+IMPORTRANGE(""https://docs.google.com/spreadsheets/d/17ht0gPKzzT3PObBL1XJkeR"&amp;"mntBXI7wGjpLV7QorqlTk/edit?usp=sharing"",""พัทลุง!Q363"")+IMPORTRANGE(""https://docs.google.com/spreadsheets/d/1rd4qoM1q_hsgaolqNGfrim9gbsoLxQsda4-vOz5x_BM/edit?usp=sharing"",""ภูเก็ต!Q363"")+IMPORTRANGE(""https://docs.google.com/spreadsheets/d/1woKwKjgoL"&amp;"ssDvPcPeVyezB5izizAn4X1JDrys69n6xI/edit?usp=sharing"",""ยะลา!Q363"")+IMPORTRANGE(""https://docs.google.com/spreadsheets/d/1qfrKjzMhm2HJfxQ-qVlJlJQ25Hne1d0khsySbZyGtPA/edit?usp=sharing"",""ระนอง!Q363"")+IMPORTRANGE(""https://docs.google.com/spreadsheets/d/"&amp;"1IbSCnFOKpZsnFogBHJnL_isstZVaOMnFiIN0fGTPZZw/edit?usp=sharing"",""สงขลา!Q363"")+IMPORTRANGE(""https://docs.google.com/spreadsheets/d/1q9nWasZJ-K8bFGvbE9n0qSRuKGA4Toe3Y89cKCiVtCU/edit?usp=sharing"",""สตูล!Q363"")+IMPORTRANGE(""https://docs.google.com/sprea"&amp;"dsheets/d/18T20gbkS_WBjdscyTOV05cvq_JqvqQ17C81mpxf7Ncs/edit?usp=sharing"",""สุราษฎร์ธานี!Q363"")"),0)</f>
        <v>0</v>
      </c>
      <c r="R363" s="47">
        <f ca="1">IFERROR(__xludf.DUMMYFUNCTION("IMPORTRANGE(""https://docs.google.com/spreadsheets/d/1kKUcYdkIfrgTSj8iHHHB2MD2FAtwyyocFgqGQn6ADyI/edit?usp=sharing"",""กระบี่!R363"")+IMPORTRANGE(""https://docs.google.com/spreadsheets/d/1GwtLaSlNZkLk7iDqcyZz22giiy40b_usZZBXYciEN1U/edit?usp=sharing"",""ชุ"&amp;"มพร!R363"")+IMPORTRANGE(""https://docs.google.com/spreadsheets/d/16pAz3pOhQEZBhvFNMa5KGgZS6iKWpsKX0pg6tQmwFpo/edit?usp=sharing"",""ตรัง!R363"")+IMPORTRANGE(""https://docs.google.com/spreadsheets/d/1Dj4jcHCTV9JXKCaMoheSXS52JE63kDKyG7bPXnFogHk/edit?usp=shar"&amp;"ing"",""นครศรีธรรมราช!R363"")+IMPORTRANGE(""https://docs.google.com/spreadsheets/d/1iodCdmuK2GR3jzUwk8tpccY2JHQQA-87DLOtJP-ooyU/edit?usp=sharing"",""นราธิวาส!R363"")+IMPORTRANGE(""https://docs.google.com/spreadsheets/d/1SDNX3JhDdYRuIOsj0Wh2M-Qa_eaXl0NbWmh"&amp;"AOTbfQAs/edit?usp=sharing"",""ปัตตานี!R363"")+IMPORTRANGE(""https://docs.google.com/spreadsheets/d/16JDLGguT8s5DsGCND1KcwHP_AWR_zDMTqLHPLJUKhaU/edit?usp=sharing"",""พังงา!R363"")+IMPORTRANGE(""https://docs.google.com/spreadsheets/d/17ht0gPKzzT3PObBL1XJkeR"&amp;"mntBXI7wGjpLV7QorqlTk/edit?usp=sharing"",""พัทลุง!R363"")+IMPORTRANGE(""https://docs.google.com/spreadsheets/d/1rd4qoM1q_hsgaolqNGfrim9gbsoLxQsda4-vOz5x_BM/edit?usp=sharing"",""ภูเก็ต!R363"")+IMPORTRANGE(""https://docs.google.com/spreadsheets/d/1woKwKjgoL"&amp;"ssDvPcPeVyezB5izizAn4X1JDrys69n6xI/edit?usp=sharing"",""ยะลา!R363"")+IMPORTRANGE(""https://docs.google.com/spreadsheets/d/1qfrKjzMhm2HJfxQ-qVlJlJQ25Hne1d0khsySbZyGtPA/edit?usp=sharing"",""ระนอง!R363"")+IMPORTRANGE(""https://docs.google.com/spreadsheets/d/"&amp;"1IbSCnFOKpZsnFogBHJnL_isstZVaOMnFiIN0fGTPZZw/edit?usp=sharing"",""สงขลา!R363"")+IMPORTRANGE(""https://docs.google.com/spreadsheets/d/1q9nWasZJ-K8bFGvbE9n0qSRuKGA4Toe3Y89cKCiVtCU/edit?usp=sharing"",""สตูล!R363"")+IMPORTRANGE(""https://docs.google.com/sprea"&amp;"dsheets/d/18T20gbkS_WBjdscyTOV05cvq_JqvqQ17C81mpxf7Ncs/edit?usp=sharing"",""สุราษฎร์ธานี!R363"")"),0)</f>
        <v>0</v>
      </c>
      <c r="S363" s="47">
        <f ca="1">IFERROR(__xludf.DUMMYFUNCTION("IMPORTRANGE(""https://docs.google.com/spreadsheets/d/1kKUcYdkIfrgTSj8iHHHB2MD2FAtwyyocFgqGQn6ADyI/edit?usp=sharing"",""กระบี่!S363"")+IMPORTRANGE(""https://docs.google.com/spreadsheets/d/1GwtLaSlNZkLk7iDqcyZz22giiy40b_usZZBXYciEN1U/edit?usp=sharing"",""ชุ"&amp;"มพร!S363"")+IMPORTRANGE(""https://docs.google.com/spreadsheets/d/16pAz3pOhQEZBhvFNMa5KGgZS6iKWpsKX0pg6tQmwFpo/edit?usp=sharing"",""ตรัง!S363"")+IMPORTRANGE(""https://docs.google.com/spreadsheets/d/1Dj4jcHCTV9JXKCaMoheSXS52JE63kDKyG7bPXnFogHk/edit?usp=shar"&amp;"ing"",""นครศรีธรรมราช!S363"")+IMPORTRANGE(""https://docs.google.com/spreadsheets/d/1iodCdmuK2GR3jzUwk8tpccY2JHQQA-87DLOtJP-ooyU/edit?usp=sharing"",""นราธิวาส!S363"")+IMPORTRANGE(""https://docs.google.com/spreadsheets/d/1SDNX3JhDdYRuIOsj0Wh2M-Qa_eaXl0NbWmh"&amp;"AOTbfQAs/edit?usp=sharing"",""ปัตตานี!S363"")+IMPORTRANGE(""https://docs.google.com/spreadsheets/d/16JDLGguT8s5DsGCND1KcwHP_AWR_zDMTqLHPLJUKhaU/edit?usp=sharing"",""พังงา!S363"")+IMPORTRANGE(""https://docs.google.com/spreadsheets/d/17ht0gPKzzT3PObBL1XJkeR"&amp;"mntBXI7wGjpLV7QorqlTk/edit?usp=sharing"",""พัทลุง!S363"")+IMPORTRANGE(""https://docs.google.com/spreadsheets/d/1rd4qoM1q_hsgaolqNGfrim9gbsoLxQsda4-vOz5x_BM/edit?usp=sharing"",""ภูเก็ต!S363"")+IMPORTRANGE(""https://docs.google.com/spreadsheets/d/1woKwKjgoL"&amp;"ssDvPcPeVyezB5izizAn4X1JDrys69n6xI/edit?usp=sharing"",""ยะลา!S363"")+IMPORTRANGE(""https://docs.google.com/spreadsheets/d/1qfrKjzMhm2HJfxQ-qVlJlJQ25Hne1d0khsySbZyGtPA/edit?usp=sharing"",""ระนอง!S363"")+IMPORTRANGE(""https://docs.google.com/spreadsheets/d/"&amp;"1IbSCnFOKpZsnFogBHJnL_isstZVaOMnFiIN0fGTPZZw/edit?usp=sharing"",""สงขลา!S363"")+IMPORTRANGE(""https://docs.google.com/spreadsheets/d/1q9nWasZJ-K8bFGvbE9n0qSRuKGA4Toe3Y89cKCiVtCU/edit?usp=sharing"",""สตูล!S363"")+IMPORTRANGE(""https://docs.google.com/sprea"&amp;"dsheets/d/18T20gbkS_WBjdscyTOV05cvq_JqvqQ17C81mpxf7Ncs/edit?usp=sharing"",""สุราษฎร์ธานี!S363"")"),0)</f>
        <v>0</v>
      </c>
      <c r="T363" s="49">
        <f t="shared" ca="1" si="270"/>
        <v>0</v>
      </c>
      <c r="U363" s="49">
        <f t="shared" ca="1" si="271"/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7">
        <f ca="1">IFERROR(__xludf.DUMMYFUNCTION("IMPORTRANGE(""https://docs.google.com/spreadsheets/d/1kKUcYdkIfrgTSj8iHHHB2MD2FAtwyyocFgqGQn6ADyI/edit?usp=sharing"",""กระบี่!L364"")+IMPORTRANGE(""https://docs.google.com/spreadsheets/d/1GwtLaSlNZkLk7iDqcyZz22giiy40b_usZZBXYciEN1U/edit?usp=sharing"",""ชุ"&amp;"มพร!L364"")+IMPORTRANGE(""https://docs.google.com/spreadsheets/d/16pAz3pOhQEZBhvFNMa5KGgZS6iKWpsKX0pg6tQmwFpo/edit?usp=sharing"",""ตรัง!L364"")+IMPORTRANGE(""https://docs.google.com/spreadsheets/d/1Dj4jcHCTV9JXKCaMoheSXS52JE63kDKyG7bPXnFogHk/edit?usp=shar"&amp;"ing"",""นครศรีธรรมราช!L364"")+IMPORTRANGE(""https://docs.google.com/spreadsheets/d/1iodCdmuK2GR3jzUwk8tpccY2JHQQA-87DLOtJP-ooyU/edit?usp=sharing"",""นราธิวาส!L364"")+IMPORTRANGE(""https://docs.google.com/spreadsheets/d/1SDNX3JhDdYRuIOsj0Wh2M-Qa_eaXl0NbWmh"&amp;"AOTbfQAs/edit?usp=sharing"",""ปัตตานี!L364"")+IMPORTRANGE(""https://docs.google.com/spreadsheets/d/16JDLGguT8s5DsGCND1KcwHP_AWR_zDMTqLHPLJUKhaU/edit?usp=sharing"",""พังงา!L364"")+IMPORTRANGE(""https://docs.google.com/spreadsheets/d/17ht0gPKzzT3PObBL1XJkeR"&amp;"mntBXI7wGjpLV7QorqlTk/edit?usp=sharing"",""พัทลุง!L364"")+IMPORTRANGE(""https://docs.google.com/spreadsheets/d/1rd4qoM1q_hsgaolqNGfrim9gbsoLxQsda4-vOz5x_BM/edit?usp=sharing"",""ภูเก็ต!L364"")+IMPORTRANGE(""https://docs.google.com/spreadsheets/d/1woKwKjgoL"&amp;"ssDvPcPeVyezB5izizAn4X1JDrys69n6xI/edit?usp=sharing"",""ยะลา!L364"")+IMPORTRANGE(""https://docs.google.com/spreadsheets/d/1qfrKjzMhm2HJfxQ-qVlJlJQ25Hne1d0khsySbZyGtPA/edit?usp=sharing"",""ระนอง!L364"")+IMPORTRANGE(""https://docs.google.com/spreadsheets/d/"&amp;"1IbSCnFOKpZsnFogBHJnL_isstZVaOMnFiIN0fGTPZZw/edit?usp=sharing"",""สงขลา!L364"")+IMPORTRANGE(""https://docs.google.com/spreadsheets/d/1q9nWasZJ-K8bFGvbE9n0qSRuKGA4Toe3Y89cKCiVtCU/edit?usp=sharing"",""สตูล!L364"")+IMPORTRANGE(""https://docs.google.com/sprea"&amp;"dsheets/d/18T20gbkS_WBjdscyTOV05cvq_JqvqQ17C81mpxf7Ncs/edit?usp=sharing"",""สุราษฎร์ธานี!L364"")"),0)</f>
        <v>0</v>
      </c>
      <c r="M364" s="47">
        <f ca="1">IFERROR(__xludf.DUMMYFUNCTION("IMPORTRANGE(""https://docs.google.com/spreadsheets/d/1kKUcYdkIfrgTSj8iHHHB2MD2FAtwyyocFgqGQn6ADyI/edit?usp=sharing"",""กระบี่!M364"")+IMPORTRANGE(""https://docs.google.com/spreadsheets/d/1GwtLaSlNZkLk7iDqcyZz22giiy40b_usZZBXYciEN1U/edit?usp=sharing"",""ชุ"&amp;"มพร!M364"")+IMPORTRANGE(""https://docs.google.com/spreadsheets/d/16pAz3pOhQEZBhvFNMa5KGgZS6iKWpsKX0pg6tQmwFpo/edit?usp=sharing"",""ตรัง!M364"")+IMPORTRANGE(""https://docs.google.com/spreadsheets/d/1Dj4jcHCTV9JXKCaMoheSXS52JE63kDKyG7bPXnFogHk/edit?usp=shar"&amp;"ing"",""นครศรีธรรมราช!M364"")+IMPORTRANGE(""https://docs.google.com/spreadsheets/d/1iodCdmuK2GR3jzUwk8tpccY2JHQQA-87DLOtJP-ooyU/edit?usp=sharing"",""นราธิวาส!M364"")+IMPORTRANGE(""https://docs.google.com/spreadsheets/d/1SDNX3JhDdYRuIOsj0Wh2M-Qa_eaXl0NbWmh"&amp;"AOTbfQAs/edit?usp=sharing"",""ปัตตานี!M364"")+IMPORTRANGE(""https://docs.google.com/spreadsheets/d/16JDLGguT8s5DsGCND1KcwHP_AWR_zDMTqLHPLJUKhaU/edit?usp=sharing"",""พังงา!M364"")+IMPORTRANGE(""https://docs.google.com/spreadsheets/d/17ht0gPKzzT3PObBL1XJkeR"&amp;"mntBXI7wGjpLV7QorqlTk/edit?usp=sharing"",""พัทลุง!M364"")+IMPORTRANGE(""https://docs.google.com/spreadsheets/d/1rd4qoM1q_hsgaolqNGfrim9gbsoLxQsda4-vOz5x_BM/edit?usp=sharing"",""ภูเก็ต!M364"")+IMPORTRANGE(""https://docs.google.com/spreadsheets/d/1woKwKjgoL"&amp;"ssDvPcPeVyezB5izizAn4X1JDrys69n6xI/edit?usp=sharing"",""ยะลา!M364"")+IMPORTRANGE(""https://docs.google.com/spreadsheets/d/1qfrKjzMhm2HJfxQ-qVlJlJQ25Hne1d0khsySbZyGtPA/edit?usp=sharing"",""ระนอง!M364"")+IMPORTRANGE(""https://docs.google.com/spreadsheets/d/"&amp;"1IbSCnFOKpZsnFogBHJnL_isstZVaOMnFiIN0fGTPZZw/edit?usp=sharing"",""สงขลา!M364"")+IMPORTRANGE(""https://docs.google.com/spreadsheets/d/1q9nWasZJ-K8bFGvbE9n0qSRuKGA4Toe3Y89cKCiVtCU/edit?usp=sharing"",""สตูล!M364"")+IMPORTRANGE(""https://docs.google.com/sprea"&amp;"dsheets/d/18T20gbkS_WBjdscyTOV05cvq_JqvqQ17C81mpxf7Ncs/edit?usp=sharing"",""สุราษฎร์ธานี!M364"")"),0)</f>
        <v>0</v>
      </c>
      <c r="N364" s="47">
        <f ca="1">IFERROR(__xludf.DUMMYFUNCTION("IMPORTRANGE(""https://docs.google.com/spreadsheets/d/1kKUcYdkIfrgTSj8iHHHB2MD2FAtwyyocFgqGQn6ADyI/edit?usp=sharing"",""กระบี่!N364"")+IMPORTRANGE(""https://docs.google.com/spreadsheets/d/1GwtLaSlNZkLk7iDqcyZz22giiy40b_usZZBXYciEN1U/edit?usp=sharing"",""ชุ"&amp;"มพร!N364"")+IMPORTRANGE(""https://docs.google.com/spreadsheets/d/16pAz3pOhQEZBhvFNMa5KGgZS6iKWpsKX0pg6tQmwFpo/edit?usp=sharing"",""ตรัง!N364"")+IMPORTRANGE(""https://docs.google.com/spreadsheets/d/1Dj4jcHCTV9JXKCaMoheSXS52JE63kDKyG7bPXnFogHk/edit?usp=shar"&amp;"ing"",""นครศรีธรรมราช!N364"")+IMPORTRANGE(""https://docs.google.com/spreadsheets/d/1iodCdmuK2GR3jzUwk8tpccY2JHQQA-87DLOtJP-ooyU/edit?usp=sharing"",""นราธิวาส!N364"")+IMPORTRANGE(""https://docs.google.com/spreadsheets/d/1SDNX3JhDdYRuIOsj0Wh2M-Qa_eaXl0NbWmh"&amp;"AOTbfQAs/edit?usp=sharing"",""ปัตตานี!N364"")+IMPORTRANGE(""https://docs.google.com/spreadsheets/d/16JDLGguT8s5DsGCND1KcwHP_AWR_zDMTqLHPLJUKhaU/edit?usp=sharing"",""พังงา!N364"")+IMPORTRANGE(""https://docs.google.com/spreadsheets/d/17ht0gPKzzT3PObBL1XJkeR"&amp;"mntBXI7wGjpLV7QorqlTk/edit?usp=sharing"",""พัทลุง!N364"")+IMPORTRANGE(""https://docs.google.com/spreadsheets/d/1rd4qoM1q_hsgaolqNGfrim9gbsoLxQsda4-vOz5x_BM/edit?usp=sharing"",""ภูเก็ต!N364"")+IMPORTRANGE(""https://docs.google.com/spreadsheets/d/1woKwKjgoL"&amp;"ssDvPcPeVyezB5izizAn4X1JDrys69n6xI/edit?usp=sharing"",""ยะลา!N364"")+IMPORTRANGE(""https://docs.google.com/spreadsheets/d/1qfrKjzMhm2HJfxQ-qVlJlJQ25Hne1d0khsySbZyGtPA/edit?usp=sharing"",""ระนอง!N364"")+IMPORTRANGE(""https://docs.google.com/spreadsheets/d/"&amp;"1IbSCnFOKpZsnFogBHJnL_isstZVaOMnFiIN0fGTPZZw/edit?usp=sharing"",""สงขลา!N364"")+IMPORTRANGE(""https://docs.google.com/spreadsheets/d/1q9nWasZJ-K8bFGvbE9n0qSRuKGA4Toe3Y89cKCiVtCU/edit?usp=sharing"",""สตูล!N364"")+IMPORTRANGE(""https://docs.google.com/sprea"&amp;"dsheets/d/18T20gbkS_WBjdscyTOV05cvq_JqvqQ17C81mpxf7Ncs/edit?usp=sharing"",""สุราษฎร์ธานี!N364"")"),0)</f>
        <v>0</v>
      </c>
      <c r="O364" s="47">
        <f t="shared" ca="1" si="267"/>
        <v>0</v>
      </c>
      <c r="P364" s="47">
        <f t="shared" ca="1" si="268"/>
        <v>0</v>
      </c>
      <c r="Q364" s="47">
        <f ca="1">IFERROR(__xludf.DUMMYFUNCTION("IMPORTRANGE(""https://docs.google.com/spreadsheets/d/1kKUcYdkIfrgTSj8iHHHB2MD2FAtwyyocFgqGQn6ADyI/edit?usp=sharing"",""กระบี่!Q364"")+IMPORTRANGE(""https://docs.google.com/spreadsheets/d/1GwtLaSlNZkLk7iDqcyZz22giiy40b_usZZBXYciEN1U/edit?usp=sharing"",""ชุ"&amp;"มพร!Q364"")+IMPORTRANGE(""https://docs.google.com/spreadsheets/d/16pAz3pOhQEZBhvFNMa5KGgZS6iKWpsKX0pg6tQmwFpo/edit?usp=sharing"",""ตรัง!Q364"")+IMPORTRANGE(""https://docs.google.com/spreadsheets/d/1Dj4jcHCTV9JXKCaMoheSXS52JE63kDKyG7bPXnFogHk/edit?usp=shar"&amp;"ing"",""นครศรีธรรมราช!Q364"")+IMPORTRANGE(""https://docs.google.com/spreadsheets/d/1iodCdmuK2GR3jzUwk8tpccY2JHQQA-87DLOtJP-ooyU/edit?usp=sharing"",""นราธิวาส!Q364"")+IMPORTRANGE(""https://docs.google.com/spreadsheets/d/1SDNX3JhDdYRuIOsj0Wh2M-Qa_eaXl0NbWmh"&amp;"AOTbfQAs/edit?usp=sharing"",""ปัตตานี!Q364"")+IMPORTRANGE(""https://docs.google.com/spreadsheets/d/16JDLGguT8s5DsGCND1KcwHP_AWR_zDMTqLHPLJUKhaU/edit?usp=sharing"",""พังงา!Q364"")+IMPORTRANGE(""https://docs.google.com/spreadsheets/d/17ht0gPKzzT3PObBL1XJkeR"&amp;"mntBXI7wGjpLV7QorqlTk/edit?usp=sharing"",""พัทลุง!Q364"")+IMPORTRANGE(""https://docs.google.com/spreadsheets/d/1rd4qoM1q_hsgaolqNGfrim9gbsoLxQsda4-vOz5x_BM/edit?usp=sharing"",""ภูเก็ต!Q364"")+IMPORTRANGE(""https://docs.google.com/spreadsheets/d/1woKwKjgoL"&amp;"ssDvPcPeVyezB5izizAn4X1JDrys69n6xI/edit?usp=sharing"",""ยะลา!Q364"")+IMPORTRANGE(""https://docs.google.com/spreadsheets/d/1qfrKjzMhm2HJfxQ-qVlJlJQ25Hne1d0khsySbZyGtPA/edit?usp=sharing"",""ระนอง!Q364"")+IMPORTRANGE(""https://docs.google.com/spreadsheets/d/"&amp;"1IbSCnFOKpZsnFogBHJnL_isstZVaOMnFiIN0fGTPZZw/edit?usp=sharing"",""สงขลา!Q364"")+IMPORTRANGE(""https://docs.google.com/spreadsheets/d/1q9nWasZJ-K8bFGvbE9n0qSRuKGA4Toe3Y89cKCiVtCU/edit?usp=sharing"",""สตูล!Q364"")+IMPORTRANGE(""https://docs.google.com/sprea"&amp;"dsheets/d/18T20gbkS_WBjdscyTOV05cvq_JqvqQ17C81mpxf7Ncs/edit?usp=sharing"",""สุราษฎร์ธานี!Q364"")"),0)</f>
        <v>0</v>
      </c>
      <c r="R364" s="47">
        <f ca="1">IFERROR(__xludf.DUMMYFUNCTION("IMPORTRANGE(""https://docs.google.com/spreadsheets/d/1kKUcYdkIfrgTSj8iHHHB2MD2FAtwyyocFgqGQn6ADyI/edit?usp=sharing"",""กระบี่!R364"")+IMPORTRANGE(""https://docs.google.com/spreadsheets/d/1GwtLaSlNZkLk7iDqcyZz22giiy40b_usZZBXYciEN1U/edit?usp=sharing"",""ชุ"&amp;"มพร!R364"")+IMPORTRANGE(""https://docs.google.com/spreadsheets/d/16pAz3pOhQEZBhvFNMa5KGgZS6iKWpsKX0pg6tQmwFpo/edit?usp=sharing"",""ตรัง!R364"")+IMPORTRANGE(""https://docs.google.com/spreadsheets/d/1Dj4jcHCTV9JXKCaMoheSXS52JE63kDKyG7bPXnFogHk/edit?usp=shar"&amp;"ing"",""นครศรีธรรมราช!R364"")+IMPORTRANGE(""https://docs.google.com/spreadsheets/d/1iodCdmuK2GR3jzUwk8tpccY2JHQQA-87DLOtJP-ooyU/edit?usp=sharing"",""นราธิวาส!R364"")+IMPORTRANGE(""https://docs.google.com/spreadsheets/d/1SDNX3JhDdYRuIOsj0Wh2M-Qa_eaXl0NbWmh"&amp;"AOTbfQAs/edit?usp=sharing"",""ปัตตานี!R364"")+IMPORTRANGE(""https://docs.google.com/spreadsheets/d/16JDLGguT8s5DsGCND1KcwHP_AWR_zDMTqLHPLJUKhaU/edit?usp=sharing"",""พังงา!R364"")+IMPORTRANGE(""https://docs.google.com/spreadsheets/d/17ht0gPKzzT3PObBL1XJkeR"&amp;"mntBXI7wGjpLV7QorqlTk/edit?usp=sharing"",""พัทลุง!R364"")+IMPORTRANGE(""https://docs.google.com/spreadsheets/d/1rd4qoM1q_hsgaolqNGfrim9gbsoLxQsda4-vOz5x_BM/edit?usp=sharing"",""ภูเก็ต!R364"")+IMPORTRANGE(""https://docs.google.com/spreadsheets/d/1woKwKjgoL"&amp;"ssDvPcPeVyezB5izizAn4X1JDrys69n6xI/edit?usp=sharing"",""ยะลา!R364"")+IMPORTRANGE(""https://docs.google.com/spreadsheets/d/1qfrKjzMhm2HJfxQ-qVlJlJQ25Hne1d0khsySbZyGtPA/edit?usp=sharing"",""ระนอง!R364"")+IMPORTRANGE(""https://docs.google.com/spreadsheets/d/"&amp;"1IbSCnFOKpZsnFogBHJnL_isstZVaOMnFiIN0fGTPZZw/edit?usp=sharing"",""สงขลา!R364"")+IMPORTRANGE(""https://docs.google.com/spreadsheets/d/1q9nWasZJ-K8bFGvbE9n0qSRuKGA4Toe3Y89cKCiVtCU/edit?usp=sharing"",""สตูล!R364"")+IMPORTRANGE(""https://docs.google.com/sprea"&amp;"dsheets/d/18T20gbkS_WBjdscyTOV05cvq_JqvqQ17C81mpxf7Ncs/edit?usp=sharing"",""สุราษฎร์ธานี!R364"")"),0)</f>
        <v>0</v>
      </c>
      <c r="S364" s="47">
        <f ca="1">IFERROR(__xludf.DUMMYFUNCTION("IMPORTRANGE(""https://docs.google.com/spreadsheets/d/1kKUcYdkIfrgTSj8iHHHB2MD2FAtwyyocFgqGQn6ADyI/edit?usp=sharing"",""กระบี่!S364"")+IMPORTRANGE(""https://docs.google.com/spreadsheets/d/1GwtLaSlNZkLk7iDqcyZz22giiy40b_usZZBXYciEN1U/edit?usp=sharing"",""ชุ"&amp;"มพร!S364"")+IMPORTRANGE(""https://docs.google.com/spreadsheets/d/16pAz3pOhQEZBhvFNMa5KGgZS6iKWpsKX0pg6tQmwFpo/edit?usp=sharing"",""ตรัง!S364"")+IMPORTRANGE(""https://docs.google.com/spreadsheets/d/1Dj4jcHCTV9JXKCaMoheSXS52JE63kDKyG7bPXnFogHk/edit?usp=shar"&amp;"ing"",""นครศรีธรรมราช!S364"")+IMPORTRANGE(""https://docs.google.com/spreadsheets/d/1iodCdmuK2GR3jzUwk8tpccY2JHQQA-87DLOtJP-ooyU/edit?usp=sharing"",""นราธิวาส!S364"")+IMPORTRANGE(""https://docs.google.com/spreadsheets/d/1SDNX3JhDdYRuIOsj0Wh2M-Qa_eaXl0NbWmh"&amp;"AOTbfQAs/edit?usp=sharing"",""ปัตตานี!S364"")+IMPORTRANGE(""https://docs.google.com/spreadsheets/d/16JDLGguT8s5DsGCND1KcwHP_AWR_zDMTqLHPLJUKhaU/edit?usp=sharing"",""พังงา!S364"")+IMPORTRANGE(""https://docs.google.com/spreadsheets/d/17ht0gPKzzT3PObBL1XJkeR"&amp;"mntBXI7wGjpLV7QorqlTk/edit?usp=sharing"",""พัทลุง!S364"")+IMPORTRANGE(""https://docs.google.com/spreadsheets/d/1rd4qoM1q_hsgaolqNGfrim9gbsoLxQsda4-vOz5x_BM/edit?usp=sharing"",""ภูเก็ต!S364"")+IMPORTRANGE(""https://docs.google.com/spreadsheets/d/1woKwKjgoL"&amp;"ssDvPcPeVyezB5izizAn4X1JDrys69n6xI/edit?usp=sharing"",""ยะลา!S364"")+IMPORTRANGE(""https://docs.google.com/spreadsheets/d/1qfrKjzMhm2HJfxQ-qVlJlJQ25Hne1d0khsySbZyGtPA/edit?usp=sharing"",""ระนอง!S364"")+IMPORTRANGE(""https://docs.google.com/spreadsheets/d/"&amp;"1IbSCnFOKpZsnFogBHJnL_isstZVaOMnFiIN0fGTPZZw/edit?usp=sharing"",""สงขลา!S364"")+IMPORTRANGE(""https://docs.google.com/spreadsheets/d/1q9nWasZJ-K8bFGvbE9n0qSRuKGA4Toe3Y89cKCiVtCU/edit?usp=sharing"",""สตูล!S364"")+IMPORTRANGE(""https://docs.google.com/sprea"&amp;"dsheets/d/18T20gbkS_WBjdscyTOV05cvq_JqvqQ17C81mpxf7Ncs/edit?usp=sharing"",""สุราษฎร์ธานี!S364"")"),0)</f>
        <v>0</v>
      </c>
      <c r="T364" s="47">
        <f t="shared" ca="1" si="270"/>
        <v>0</v>
      </c>
      <c r="U364" s="47">
        <f t="shared" ca="1" si="271"/>
        <v>0</v>
      </c>
    </row>
    <row r="365" spans="1:21" ht="19.5" x14ac:dyDescent="0.3">
      <c r="A365" s="222"/>
      <c r="B365" s="223"/>
      <c r="C365" s="225"/>
      <c r="D365" s="318" t="s">
        <v>149</v>
      </c>
      <c r="E365" s="225"/>
      <c r="F365" s="225"/>
      <c r="G365" s="226"/>
      <c r="H365" s="234" t="s">
        <v>35</v>
      </c>
      <c r="I365" s="228">
        <f t="shared" ref="I365:J365" ca="1" si="280">I371</f>
        <v>3951</v>
      </c>
      <c r="J365" s="228">
        <f t="shared" ca="1" si="280"/>
        <v>2599</v>
      </c>
      <c r="K365" s="229">
        <f ca="1">IF(I365&gt;0,J365*100/I365,0)</f>
        <v>65.780814983548467</v>
      </c>
      <c r="L365" s="230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140" t="s">
        <v>38</v>
      </c>
      <c r="E366" s="141"/>
      <c r="F366" s="141"/>
      <c r="G366" s="142"/>
      <c r="H366" s="143"/>
      <c r="I366" s="45"/>
      <c r="J366" s="45"/>
      <c r="K366" s="4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kKUcYdkIfrgTSj8iHHHB2MD2FAtwyyocFgqGQn6ADyI/edit?usp=sharing"",""กระบี่!J367"")+IMPORTRANGE(""https://docs.google.com/spreadsheets/d/1GwtLaSlNZkLk7iDqcyZz22giiy40b_usZZBXYciEN1U/edit?usp=sharing"",""ชุ"&amp;"มพร!J367"")+IMPORTRANGE(""https://docs.google.com/spreadsheets/d/16pAz3pOhQEZBhvFNMa5KGgZS6iKWpsKX0pg6tQmwFpo/edit?usp=sharing"",""ตรัง!J367"")+IMPORTRANGE(""https://docs.google.com/spreadsheets/d/1Dj4jcHCTV9JXKCaMoheSXS52JE63kDKyG7bPXnFogHk/edit?usp=shar"&amp;"ing"",""นครศรีธรรมราช!J367"")+IMPORTRANGE(""https://docs.google.com/spreadsheets/d/1iodCdmuK2GR3jzUwk8tpccY2JHQQA-87DLOtJP-ooyU/edit?usp=sharing"",""นราธิวาส!J367"")+IMPORTRANGE(""https://docs.google.com/spreadsheets/d/1SDNX3JhDdYRuIOsj0Wh2M-Qa_eaXl0NbWmh"&amp;"AOTbfQAs/edit?usp=sharing"",""ปัตตานี!J367"")+IMPORTRANGE(""https://docs.google.com/spreadsheets/d/16JDLGguT8s5DsGCND1KcwHP_AWR_zDMTqLHPLJUKhaU/edit?usp=sharing"",""พังงา!J367"")+IMPORTRANGE(""https://docs.google.com/spreadsheets/d/17ht0gPKzzT3PObBL1XJkeR"&amp;"mntBXI7wGjpLV7QorqlTk/edit?usp=sharing"",""พัทลุง!J367"")+IMPORTRANGE(""https://docs.google.com/spreadsheets/d/1rd4qoM1q_hsgaolqNGfrim9gbsoLxQsda4-vOz5x_BM/edit?usp=sharing"",""ภูเก็ต!J367"")+IMPORTRANGE(""https://docs.google.com/spreadsheets/d/1woKwKjgoL"&amp;"ssDvPcPeVyezB5izizAn4X1JDrys69n6xI/edit?usp=sharing"",""ยะลา!J367"")+IMPORTRANGE(""https://docs.google.com/spreadsheets/d/1qfrKjzMhm2HJfxQ-qVlJlJQ25Hne1d0khsySbZyGtPA/edit?usp=sharing"",""ระนอง!J367"")+IMPORTRANGE(""https://docs.google.com/spreadsheets/d/"&amp;"1IbSCnFOKpZsnFogBHJnL_isstZVaOMnFiIN0fGTPZZw/edit?usp=sharing"",""สงขลา!J367"")+IMPORTRANGE(""https://docs.google.com/spreadsheets/d/1q9nWasZJ-K8bFGvbE9n0qSRuKGA4Toe3Y89cKCiVtCU/edit?usp=sharing"",""สตูล!J367"")+IMPORTRANGE(""https://docs.google.com/sprea"&amp;"dsheets/d/18T20gbkS_WBjdscyTOV05cvq_JqvqQ17C81mpxf7Ncs/edit?usp=sharing"",""สุราษฎร์ธานี!J367"")"),1777)</f>
        <v>1777</v>
      </c>
      <c r="K367" s="47">
        <f t="shared" ref="K367:K372" si="281">IF(I367&gt;0,J367*100/I367,0)</f>
        <v>0</v>
      </c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kKUcYdkIfrgTSj8iHHHB2MD2FAtwyyocFgqGQn6ADyI/edit?usp=sharing"",""กระบี่!I368"")+IMPORTRANGE(""https://docs.google.com/spreadsheets/d/1GwtLaSlNZkLk7iDqcyZz22giiy40b_usZZBXYciEN1U/edit?usp=sharing"",""ชุ"&amp;"มพร!I368"")+IMPORTRANGE(""https://docs.google.com/spreadsheets/d/16pAz3pOhQEZBhvFNMa5KGgZS6iKWpsKX0pg6tQmwFpo/edit?usp=sharing"",""ตรัง!I368"")+IMPORTRANGE(""https://docs.google.com/spreadsheets/d/1Dj4jcHCTV9JXKCaMoheSXS52JE63kDKyG7bPXnFogHk/edit?usp=shar"&amp;"ing"",""นครศรีธรรมราช!I368"")+IMPORTRANGE(""https://docs.google.com/spreadsheets/d/1iodCdmuK2GR3jzUwk8tpccY2JHQQA-87DLOtJP-ooyU/edit?usp=sharing"",""นราธิวาส!I368"")+IMPORTRANGE(""https://docs.google.com/spreadsheets/d/1SDNX3JhDdYRuIOsj0Wh2M-Qa_eaXl0NbWmh"&amp;"AOTbfQAs/edit?usp=sharing"",""ปัตตานี!I368"")+IMPORTRANGE(""https://docs.google.com/spreadsheets/d/16JDLGguT8s5DsGCND1KcwHP_AWR_zDMTqLHPLJUKhaU/edit?usp=sharing"",""พังงา!I368"")+IMPORTRANGE(""https://docs.google.com/spreadsheets/d/17ht0gPKzzT3PObBL1XJkeR"&amp;"mntBXI7wGjpLV7QorqlTk/edit?usp=sharing"",""พัทลุง!I368"")+IMPORTRANGE(""https://docs.google.com/spreadsheets/d/1rd4qoM1q_hsgaolqNGfrim9gbsoLxQsda4-vOz5x_BM/edit?usp=sharing"",""ภูเก็ต!I368"")+IMPORTRANGE(""https://docs.google.com/spreadsheets/d/1woKwKjgoL"&amp;"ssDvPcPeVyezB5izizAn4X1JDrys69n6xI/edit?usp=sharing"",""ยะลา!I368"")+IMPORTRANGE(""https://docs.google.com/spreadsheets/d/1qfrKjzMhm2HJfxQ-qVlJlJQ25Hne1d0khsySbZyGtPA/edit?usp=sharing"",""ระนอง!I368"")+IMPORTRANGE(""https://docs.google.com/spreadsheets/d/"&amp;"1IbSCnFOKpZsnFogBHJnL_isstZVaOMnFiIN0fGTPZZw/edit?usp=sharing"",""สงขลา!I368"")+IMPORTRANGE(""https://docs.google.com/spreadsheets/d/1q9nWasZJ-K8bFGvbE9n0qSRuKGA4Toe3Y89cKCiVtCU/edit?usp=sharing"",""สตูล!I368"")+IMPORTRANGE(""https://docs.google.com/sprea"&amp;"dsheets/d/18T20gbkS_WBjdscyTOV05cvq_JqvqQ17C81mpxf7Ncs/edit?usp=sharing"",""สุราษฎร์ธานี!I368"")"),13105)</f>
        <v>13105</v>
      </c>
      <c r="J368" s="152">
        <f ca="1">IFERROR(__xludf.DUMMYFUNCTION("IMPORTRANGE(""https://docs.google.com/spreadsheets/d/1kKUcYdkIfrgTSj8iHHHB2MD2FAtwyyocFgqGQn6ADyI/edit?usp=sharing"",""กระบี่!J368"")+IMPORTRANGE(""https://docs.google.com/spreadsheets/d/1GwtLaSlNZkLk7iDqcyZz22giiy40b_usZZBXYciEN1U/edit?usp=sharing"",""ชุ"&amp;"มพร!J368"")+IMPORTRANGE(""https://docs.google.com/spreadsheets/d/16pAz3pOhQEZBhvFNMa5KGgZS6iKWpsKX0pg6tQmwFpo/edit?usp=sharing"",""ตรัง!J368"")+IMPORTRANGE(""https://docs.google.com/spreadsheets/d/1Dj4jcHCTV9JXKCaMoheSXS52JE63kDKyG7bPXnFogHk/edit?usp=shar"&amp;"ing"",""นครศรีธรรมราช!J368"")+IMPORTRANGE(""https://docs.google.com/spreadsheets/d/1iodCdmuK2GR3jzUwk8tpccY2JHQQA-87DLOtJP-ooyU/edit?usp=sharing"",""นราธิวาส!J368"")+IMPORTRANGE(""https://docs.google.com/spreadsheets/d/1SDNX3JhDdYRuIOsj0Wh2M-Qa_eaXl0NbWmh"&amp;"AOTbfQAs/edit?usp=sharing"",""ปัตตานี!J368"")+IMPORTRANGE(""https://docs.google.com/spreadsheets/d/16JDLGguT8s5DsGCND1KcwHP_AWR_zDMTqLHPLJUKhaU/edit?usp=sharing"",""พังงา!J368"")+IMPORTRANGE(""https://docs.google.com/spreadsheets/d/17ht0gPKzzT3PObBL1XJkeR"&amp;"mntBXI7wGjpLV7QorqlTk/edit?usp=sharing"",""พัทลุง!J368"")+IMPORTRANGE(""https://docs.google.com/spreadsheets/d/1rd4qoM1q_hsgaolqNGfrim9gbsoLxQsda4-vOz5x_BM/edit?usp=sharing"",""ภูเก็ต!J368"")+IMPORTRANGE(""https://docs.google.com/spreadsheets/d/1woKwKjgoL"&amp;"ssDvPcPeVyezB5izizAn4X1JDrys69n6xI/edit?usp=sharing"",""ยะลา!J368"")+IMPORTRANGE(""https://docs.google.com/spreadsheets/d/1qfrKjzMhm2HJfxQ-qVlJlJQ25Hne1d0khsySbZyGtPA/edit?usp=sharing"",""ระนอง!J368"")+IMPORTRANGE(""https://docs.google.com/spreadsheets/d/"&amp;"1IbSCnFOKpZsnFogBHJnL_isstZVaOMnFiIN0fGTPZZw/edit?usp=sharing"",""สงขลา!J368"")+IMPORTRANGE(""https://docs.google.com/spreadsheets/d/1q9nWasZJ-K8bFGvbE9n0qSRuKGA4Toe3Y89cKCiVtCU/edit?usp=sharing"",""สตูล!J368"")+IMPORTRANGE(""https://docs.google.com/sprea"&amp;"dsheets/d/18T20gbkS_WBjdscyTOV05cvq_JqvqQ17C81mpxf7Ncs/edit?usp=sharing"",""สุราษฎร์ธานี!J368"")"),15629.9199999999)</f>
        <v>15629.9199999999</v>
      </c>
      <c r="K368" s="47">
        <f t="shared" ca="1" si="281"/>
        <v>119.26684471575658</v>
      </c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kKUcYdkIfrgTSj8iHHHB2MD2FAtwyyocFgqGQn6ADyI/edit?usp=sharing"",""กระบี่!I369"")+IMPORTRANGE(""https://docs.google.com/spreadsheets/d/1GwtLaSlNZkLk7iDqcyZz22giiy40b_usZZBXYciEN1U/edit?usp=sharing"",""ชุ"&amp;"มพร!I369"")+IMPORTRANGE(""https://docs.google.com/spreadsheets/d/16pAz3pOhQEZBhvFNMa5KGgZS6iKWpsKX0pg6tQmwFpo/edit?usp=sharing"",""ตรัง!I369"")+IMPORTRANGE(""https://docs.google.com/spreadsheets/d/1Dj4jcHCTV9JXKCaMoheSXS52JE63kDKyG7bPXnFogHk/edit?usp=shar"&amp;"ing"",""นครศรีธรรมราช!I369"")+IMPORTRANGE(""https://docs.google.com/spreadsheets/d/1iodCdmuK2GR3jzUwk8tpccY2JHQQA-87DLOtJP-ooyU/edit?usp=sharing"",""นราธิวาส!I369"")+IMPORTRANGE(""https://docs.google.com/spreadsheets/d/1SDNX3JhDdYRuIOsj0Wh2M-Qa_eaXl0NbWmh"&amp;"AOTbfQAs/edit?usp=sharing"",""ปัตตานี!I369"")+IMPORTRANGE(""https://docs.google.com/spreadsheets/d/16JDLGguT8s5DsGCND1KcwHP_AWR_zDMTqLHPLJUKhaU/edit?usp=sharing"",""พังงา!I369"")+IMPORTRANGE(""https://docs.google.com/spreadsheets/d/17ht0gPKzzT3PObBL1XJkeR"&amp;"mntBXI7wGjpLV7QorqlTk/edit?usp=sharing"",""พัทลุง!I369"")+IMPORTRANGE(""https://docs.google.com/spreadsheets/d/1rd4qoM1q_hsgaolqNGfrim9gbsoLxQsda4-vOz5x_BM/edit?usp=sharing"",""ภูเก็ต!I369"")+IMPORTRANGE(""https://docs.google.com/spreadsheets/d/1woKwKjgoL"&amp;"ssDvPcPeVyezB5izizAn4X1JDrys69n6xI/edit?usp=sharing"",""ยะลา!I369"")+IMPORTRANGE(""https://docs.google.com/spreadsheets/d/1qfrKjzMhm2HJfxQ-qVlJlJQ25Hne1d0khsySbZyGtPA/edit?usp=sharing"",""ระนอง!I369"")+IMPORTRANGE(""https://docs.google.com/spreadsheets/d/"&amp;"1IbSCnFOKpZsnFogBHJnL_isstZVaOMnFiIN0fGTPZZw/edit?usp=sharing"",""สงขลา!I369"")+IMPORTRANGE(""https://docs.google.com/spreadsheets/d/1q9nWasZJ-K8bFGvbE9n0qSRuKGA4Toe3Y89cKCiVtCU/edit?usp=sharing"",""สตูล!I369"")+IMPORTRANGE(""https://docs.google.com/sprea"&amp;"dsheets/d/18T20gbkS_WBjdscyTOV05cvq_JqvqQ17C81mpxf7Ncs/edit?usp=sharing"",""สุราษฎร์ธานี!I369"")"),3951)</f>
        <v>3951</v>
      </c>
      <c r="J369" s="152">
        <f ca="1">IFERROR(__xludf.DUMMYFUNCTION("IMPORTRANGE(""https://docs.google.com/spreadsheets/d/1kKUcYdkIfrgTSj8iHHHB2MD2FAtwyyocFgqGQn6ADyI/edit?usp=sharing"",""กระบี่!J369"")+IMPORTRANGE(""https://docs.google.com/spreadsheets/d/1GwtLaSlNZkLk7iDqcyZz22giiy40b_usZZBXYciEN1U/edit?usp=sharing"",""ชุ"&amp;"มพร!J369"")+IMPORTRANGE(""https://docs.google.com/spreadsheets/d/16pAz3pOhQEZBhvFNMa5KGgZS6iKWpsKX0pg6tQmwFpo/edit?usp=sharing"",""ตรัง!J369"")+IMPORTRANGE(""https://docs.google.com/spreadsheets/d/1Dj4jcHCTV9JXKCaMoheSXS52JE63kDKyG7bPXnFogHk/edit?usp=shar"&amp;"ing"",""นครศรีธรรมราช!J369"")+IMPORTRANGE(""https://docs.google.com/spreadsheets/d/1iodCdmuK2GR3jzUwk8tpccY2JHQQA-87DLOtJP-ooyU/edit?usp=sharing"",""นราธิวาส!J369"")+IMPORTRANGE(""https://docs.google.com/spreadsheets/d/1SDNX3JhDdYRuIOsj0Wh2M-Qa_eaXl0NbWmh"&amp;"AOTbfQAs/edit?usp=sharing"",""ปัตตานี!J369"")+IMPORTRANGE(""https://docs.google.com/spreadsheets/d/16JDLGguT8s5DsGCND1KcwHP_AWR_zDMTqLHPLJUKhaU/edit?usp=sharing"",""พังงา!J369"")+IMPORTRANGE(""https://docs.google.com/spreadsheets/d/17ht0gPKzzT3PObBL1XJkeR"&amp;"mntBXI7wGjpLV7QorqlTk/edit?usp=sharing"",""พัทลุง!J369"")+IMPORTRANGE(""https://docs.google.com/spreadsheets/d/1rd4qoM1q_hsgaolqNGfrim9gbsoLxQsda4-vOz5x_BM/edit?usp=sharing"",""ภูเก็ต!J369"")+IMPORTRANGE(""https://docs.google.com/spreadsheets/d/1woKwKjgoL"&amp;"ssDvPcPeVyezB5izizAn4X1JDrys69n6xI/edit?usp=sharing"",""ยะลา!J369"")+IMPORTRANGE(""https://docs.google.com/spreadsheets/d/1qfrKjzMhm2HJfxQ-qVlJlJQ25Hne1d0khsySbZyGtPA/edit?usp=sharing"",""ระนอง!J369"")+IMPORTRANGE(""https://docs.google.com/spreadsheets/d/"&amp;"1IbSCnFOKpZsnFogBHJnL_isstZVaOMnFiIN0fGTPZZw/edit?usp=sharing"",""สงขลา!J369"")+IMPORTRANGE(""https://docs.google.com/spreadsheets/d/1q9nWasZJ-K8bFGvbE9n0qSRuKGA4Toe3Y89cKCiVtCU/edit?usp=sharing"",""สตูล!J369"")+IMPORTRANGE(""https://docs.google.com/sprea"&amp;"dsheets/d/18T20gbkS_WBjdscyTOV05cvq_JqvqQ17C81mpxf7Ncs/edit?usp=sharing"",""สุราษฎร์ธานี!J369"")"),3482)</f>
        <v>3482</v>
      </c>
      <c r="K369" s="47">
        <f t="shared" ca="1" si="281"/>
        <v>88.129587446216149</v>
      </c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152">
        <f ca="1">IFERROR(__xludf.DUMMYFUNCTION("IMPORTRANGE(""https://docs.google.com/spreadsheets/d/1kKUcYdkIfrgTSj8iHHHB2MD2FAtwyyocFgqGQn6ADyI/edit?usp=sharing"",""กระบี่!J370"")+IMPORTRANGE(""https://docs.google.com/spreadsheets/d/1GwtLaSlNZkLk7iDqcyZz22giiy40b_usZZBXYciEN1U/edit?usp=sharing"",""ชุ"&amp;"มพร!J370"")+IMPORTRANGE(""https://docs.google.com/spreadsheets/d/16pAz3pOhQEZBhvFNMa5KGgZS6iKWpsKX0pg6tQmwFpo/edit?usp=sharing"",""ตรัง!J370"")+IMPORTRANGE(""https://docs.google.com/spreadsheets/d/1Dj4jcHCTV9JXKCaMoheSXS52JE63kDKyG7bPXnFogHk/edit?usp=shar"&amp;"ing"",""นครศรีธรรมราช!J370"")+IMPORTRANGE(""https://docs.google.com/spreadsheets/d/1iodCdmuK2GR3jzUwk8tpccY2JHQQA-87DLOtJP-ooyU/edit?usp=sharing"",""นราธิวาส!J370"")+IMPORTRANGE(""https://docs.google.com/spreadsheets/d/1SDNX3JhDdYRuIOsj0Wh2M-Qa_eaXl0NbWmh"&amp;"AOTbfQAs/edit?usp=sharing"",""ปัตตานี!J370"")+IMPORTRANGE(""https://docs.google.com/spreadsheets/d/16JDLGguT8s5DsGCND1KcwHP_AWR_zDMTqLHPLJUKhaU/edit?usp=sharing"",""พังงา!J370"")+IMPORTRANGE(""https://docs.google.com/spreadsheets/d/17ht0gPKzzT3PObBL1XJkeR"&amp;"mntBXI7wGjpLV7QorqlTk/edit?usp=sharing"",""พัทลุง!J370"")+IMPORTRANGE(""https://docs.google.com/spreadsheets/d/1rd4qoM1q_hsgaolqNGfrim9gbsoLxQsda4-vOz5x_BM/edit?usp=sharing"",""ภูเก็ต!J370"")+IMPORTRANGE(""https://docs.google.com/spreadsheets/d/1woKwKjgoL"&amp;"ssDvPcPeVyezB5izizAn4X1JDrys69n6xI/edit?usp=sharing"",""ยะลา!J370"")+IMPORTRANGE(""https://docs.google.com/spreadsheets/d/1qfrKjzMhm2HJfxQ-qVlJlJQ25Hne1d0khsySbZyGtPA/edit?usp=sharing"",""ระนอง!J370"")+IMPORTRANGE(""https://docs.google.com/spreadsheets/d/"&amp;"1IbSCnFOKpZsnFogBHJnL_isstZVaOMnFiIN0fGTPZZw/edit?usp=sharing"",""สงขลา!J370"")+IMPORTRANGE(""https://docs.google.com/spreadsheets/d/1q9nWasZJ-K8bFGvbE9n0qSRuKGA4Toe3Y89cKCiVtCU/edit?usp=sharing"",""สตูล!J370"")+IMPORTRANGE(""https://docs.google.com/sprea"&amp;"dsheets/d/18T20gbkS_WBjdscyTOV05cvq_JqvqQ17C81mpxf7Ncs/edit?usp=sharing"",""สุราษฎร์ธานี!J370"")"),40969.2099999999)</f>
        <v>40969.209999999897</v>
      </c>
      <c r="K370" s="47">
        <f t="shared" si="281"/>
        <v>0</v>
      </c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kKUcYdkIfrgTSj8iHHHB2MD2FAtwyyocFgqGQn6ADyI/edit?usp=sharing"",""กระบี่!I371"")+IMPORTRANGE(""https://docs.google.com/spreadsheets/d/1GwtLaSlNZkLk7iDqcyZz22giiy40b_usZZBXYciEN1U/edit?usp=sharing"",""ชุ"&amp;"มพร!I371"")+IMPORTRANGE(""https://docs.google.com/spreadsheets/d/16pAz3pOhQEZBhvFNMa5KGgZS6iKWpsKX0pg6tQmwFpo/edit?usp=sharing"",""ตรัง!I371"")+IMPORTRANGE(""https://docs.google.com/spreadsheets/d/1Dj4jcHCTV9JXKCaMoheSXS52JE63kDKyG7bPXnFogHk/edit?usp=shar"&amp;"ing"",""นครศรีธรรมราช!I371"")+IMPORTRANGE(""https://docs.google.com/spreadsheets/d/1iodCdmuK2GR3jzUwk8tpccY2JHQQA-87DLOtJP-ooyU/edit?usp=sharing"",""นราธิวาส!I371"")+IMPORTRANGE(""https://docs.google.com/spreadsheets/d/1SDNX3JhDdYRuIOsj0Wh2M-Qa_eaXl0NbWmh"&amp;"AOTbfQAs/edit?usp=sharing"",""ปัตตานี!I371"")+IMPORTRANGE(""https://docs.google.com/spreadsheets/d/16JDLGguT8s5DsGCND1KcwHP_AWR_zDMTqLHPLJUKhaU/edit?usp=sharing"",""พังงา!I371"")+IMPORTRANGE(""https://docs.google.com/spreadsheets/d/17ht0gPKzzT3PObBL1XJkeR"&amp;"mntBXI7wGjpLV7QorqlTk/edit?usp=sharing"",""พัทลุง!I371"")+IMPORTRANGE(""https://docs.google.com/spreadsheets/d/1rd4qoM1q_hsgaolqNGfrim9gbsoLxQsda4-vOz5x_BM/edit?usp=sharing"",""ภูเก็ต!I371"")+IMPORTRANGE(""https://docs.google.com/spreadsheets/d/1woKwKjgoL"&amp;"ssDvPcPeVyezB5izizAn4X1JDrys69n6xI/edit?usp=sharing"",""ยะลา!I371"")+IMPORTRANGE(""https://docs.google.com/spreadsheets/d/1qfrKjzMhm2HJfxQ-qVlJlJQ25Hne1d0khsySbZyGtPA/edit?usp=sharing"",""ระนอง!I371"")+IMPORTRANGE(""https://docs.google.com/spreadsheets/d/"&amp;"1IbSCnFOKpZsnFogBHJnL_isstZVaOMnFiIN0fGTPZZw/edit?usp=sharing"",""สงขลา!I371"")+IMPORTRANGE(""https://docs.google.com/spreadsheets/d/1q9nWasZJ-K8bFGvbE9n0qSRuKGA4Toe3Y89cKCiVtCU/edit?usp=sharing"",""สตูล!I371"")+IMPORTRANGE(""https://docs.google.com/sprea"&amp;"dsheets/d/18T20gbkS_WBjdscyTOV05cvq_JqvqQ17C81mpxf7Ncs/edit?usp=sharing"",""สุราษฎร์ธานี!I371"")"),3951)</f>
        <v>3951</v>
      </c>
      <c r="J371" s="152">
        <f ca="1">IFERROR(__xludf.DUMMYFUNCTION("IMPORTRANGE(""https://docs.google.com/spreadsheets/d/1kKUcYdkIfrgTSj8iHHHB2MD2FAtwyyocFgqGQn6ADyI/edit?usp=sharing"",""กระบี่!J371"")+IMPORTRANGE(""https://docs.google.com/spreadsheets/d/1GwtLaSlNZkLk7iDqcyZz22giiy40b_usZZBXYciEN1U/edit?usp=sharing"",""ชุ"&amp;"มพร!J371"")+IMPORTRANGE(""https://docs.google.com/spreadsheets/d/16pAz3pOhQEZBhvFNMa5KGgZS6iKWpsKX0pg6tQmwFpo/edit?usp=sharing"",""ตรัง!J371"")+IMPORTRANGE(""https://docs.google.com/spreadsheets/d/1Dj4jcHCTV9JXKCaMoheSXS52JE63kDKyG7bPXnFogHk/edit?usp=shar"&amp;"ing"",""นครศรีธรรมราช!J371"")+IMPORTRANGE(""https://docs.google.com/spreadsheets/d/1iodCdmuK2GR3jzUwk8tpccY2JHQQA-87DLOtJP-ooyU/edit?usp=sharing"",""นราธิวาส!J371"")+IMPORTRANGE(""https://docs.google.com/spreadsheets/d/1SDNX3JhDdYRuIOsj0Wh2M-Qa_eaXl0NbWmh"&amp;"AOTbfQAs/edit?usp=sharing"",""ปัตตานี!J371"")+IMPORTRANGE(""https://docs.google.com/spreadsheets/d/16JDLGguT8s5DsGCND1KcwHP_AWR_zDMTqLHPLJUKhaU/edit?usp=sharing"",""พังงา!J371"")+IMPORTRANGE(""https://docs.google.com/spreadsheets/d/17ht0gPKzzT3PObBL1XJkeR"&amp;"mntBXI7wGjpLV7QorqlTk/edit?usp=sharing"",""พัทลุง!J371"")+IMPORTRANGE(""https://docs.google.com/spreadsheets/d/1rd4qoM1q_hsgaolqNGfrim9gbsoLxQsda4-vOz5x_BM/edit?usp=sharing"",""ภูเก็ต!J371"")+IMPORTRANGE(""https://docs.google.com/spreadsheets/d/1woKwKjgoL"&amp;"ssDvPcPeVyezB5izizAn4X1JDrys69n6xI/edit?usp=sharing"",""ยะลา!J371"")+IMPORTRANGE(""https://docs.google.com/spreadsheets/d/1qfrKjzMhm2HJfxQ-qVlJlJQ25Hne1d0khsySbZyGtPA/edit?usp=sharing"",""ระนอง!J371"")+IMPORTRANGE(""https://docs.google.com/spreadsheets/d/"&amp;"1IbSCnFOKpZsnFogBHJnL_isstZVaOMnFiIN0fGTPZZw/edit?usp=sharing"",""สงขลา!J371"")+IMPORTRANGE(""https://docs.google.com/spreadsheets/d/1q9nWasZJ-K8bFGvbE9n0qSRuKGA4Toe3Y89cKCiVtCU/edit?usp=sharing"",""สตูล!J371"")+IMPORTRANGE(""https://docs.google.com/sprea"&amp;"dsheets/d/18T20gbkS_WBjdscyTOV05cvq_JqvqQ17C81mpxf7Ncs/edit?usp=sharing"",""สุราษฎร์ธานี!J371"")"),2599)</f>
        <v>2599</v>
      </c>
      <c r="K371" s="47">
        <f t="shared" ca="1" si="281"/>
        <v>65.780814983548467</v>
      </c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152">
        <f ca="1">IFERROR(__xludf.DUMMYFUNCTION("IMPORTRANGE(""https://docs.google.com/spreadsheets/d/1kKUcYdkIfrgTSj8iHHHB2MD2FAtwyyocFgqGQn6ADyI/edit?usp=sharing"",""กระบี่!J372"")+IMPORTRANGE(""https://docs.google.com/spreadsheets/d/1GwtLaSlNZkLk7iDqcyZz22giiy40b_usZZBXYciEN1U/edit?usp=sharing"",""ชุ"&amp;"มพร!J372"")+IMPORTRANGE(""https://docs.google.com/spreadsheets/d/16pAz3pOhQEZBhvFNMa5KGgZS6iKWpsKX0pg6tQmwFpo/edit?usp=sharing"",""ตรัง!J372"")+IMPORTRANGE(""https://docs.google.com/spreadsheets/d/1Dj4jcHCTV9JXKCaMoheSXS52JE63kDKyG7bPXnFogHk/edit?usp=shar"&amp;"ing"",""นครศรีธรรมราช!J372"")+IMPORTRANGE(""https://docs.google.com/spreadsheets/d/1iodCdmuK2GR3jzUwk8tpccY2JHQQA-87DLOtJP-ooyU/edit?usp=sharing"",""นราธิวาส!J372"")+IMPORTRANGE(""https://docs.google.com/spreadsheets/d/1SDNX3JhDdYRuIOsj0Wh2M-Qa_eaXl0NbWmh"&amp;"AOTbfQAs/edit?usp=sharing"",""ปัตตานี!J372"")+IMPORTRANGE(""https://docs.google.com/spreadsheets/d/16JDLGguT8s5DsGCND1KcwHP_AWR_zDMTqLHPLJUKhaU/edit?usp=sharing"",""พังงา!J372"")+IMPORTRANGE(""https://docs.google.com/spreadsheets/d/17ht0gPKzzT3PObBL1XJkeR"&amp;"mntBXI7wGjpLV7QorqlTk/edit?usp=sharing"",""พัทลุง!J372"")+IMPORTRANGE(""https://docs.google.com/spreadsheets/d/1rd4qoM1q_hsgaolqNGfrim9gbsoLxQsda4-vOz5x_BM/edit?usp=sharing"",""ภูเก็ต!J372"")+IMPORTRANGE(""https://docs.google.com/spreadsheets/d/1woKwKjgoL"&amp;"ssDvPcPeVyezB5izizAn4X1JDrys69n6xI/edit?usp=sharing"",""ยะลา!J372"")+IMPORTRANGE(""https://docs.google.com/spreadsheets/d/1qfrKjzMhm2HJfxQ-qVlJlJQ25Hne1d0khsySbZyGtPA/edit?usp=sharing"",""ระนอง!J372"")+IMPORTRANGE(""https://docs.google.com/spreadsheets/d/"&amp;"1IbSCnFOKpZsnFogBHJnL_isstZVaOMnFiIN0fGTPZZw/edit?usp=sharing"",""สงขลา!J372"")+IMPORTRANGE(""https://docs.google.com/spreadsheets/d/1q9nWasZJ-K8bFGvbE9n0qSRuKGA4Toe3Y89cKCiVtCU/edit?usp=sharing"",""สตูล!J372"")+IMPORTRANGE(""https://docs.google.com/sprea"&amp;"dsheets/d/18T20gbkS_WBjdscyTOV05cvq_JqvqQ17C81mpxf7Ncs/edit?usp=sharing"",""สุราษฎร์ธานี!J372"")"),32585.9299999999)</f>
        <v>32585.929999999898</v>
      </c>
      <c r="K372" s="47">
        <f t="shared" si="281"/>
        <v>0</v>
      </c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1"/>
      <c r="F373" s="1"/>
      <c r="G373" s="53"/>
      <c r="H373" s="53"/>
      <c r="I373" s="55"/>
      <c r="J373" s="55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313"/>
      <c r="B374" s="322" t="s">
        <v>153</v>
      </c>
      <c r="C374" s="314"/>
      <c r="D374" s="315"/>
      <c r="E374" s="307"/>
      <c r="F374" s="307"/>
      <c r="G374" s="308"/>
      <c r="H374" s="323" t="s">
        <v>46</v>
      </c>
      <c r="I374" s="310">
        <f ca="1">I385</f>
        <v>0</v>
      </c>
      <c r="J374" s="310">
        <f ca="1">J386+J388</f>
        <v>626</v>
      </c>
      <c r="K374" s="311">
        <f ca="1">IF(I374&gt;0,J374*100/I374,0)</f>
        <v>0</v>
      </c>
      <c r="L374" s="312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324" t="s">
        <v>19</v>
      </c>
      <c r="E375" s="159"/>
      <c r="F375" s="159"/>
      <c r="G375" s="191"/>
      <c r="H375" s="131" t="s">
        <v>14</v>
      </c>
      <c r="I375" s="45"/>
      <c r="J375" s="45"/>
      <c r="K375" s="46"/>
      <c r="L375" s="132">
        <f t="shared" ref="L375:N375" ca="1" si="282">L376+L377</f>
        <v>220800</v>
      </c>
      <c r="M375" s="132">
        <f t="shared" ca="1" si="282"/>
        <v>220800</v>
      </c>
      <c r="N375" s="132">
        <f t="shared" ca="1" si="282"/>
        <v>255</v>
      </c>
      <c r="O375" s="132">
        <f t="shared" ref="O375:O383" ca="1" si="283">IF(L375&gt;0,N375*100/L375,0)</f>
        <v>0.11548913043478261</v>
      </c>
      <c r="P375" s="132">
        <f t="shared" ref="P375:P383" ca="1" si="284">IF(M375&gt;0,N375*100/M375,0)</f>
        <v>0.11548913043478261</v>
      </c>
      <c r="Q375" s="132">
        <f t="shared" ref="Q375:S375" ca="1" si="285">Q376+Q377</f>
        <v>618750</v>
      </c>
      <c r="R375" s="132">
        <f t="shared" ca="1" si="285"/>
        <v>533875</v>
      </c>
      <c r="S375" s="132">
        <f t="shared" ca="1" si="285"/>
        <v>7800</v>
      </c>
      <c r="T375" s="132">
        <f t="shared" ref="T375:T383" ca="1" si="286">IF(Q375&gt;0,S375*100/Q375,0)</f>
        <v>1.2606060606060605</v>
      </c>
      <c r="U375" s="132">
        <f t="shared" ref="U375:U383" ca="1" si="287">IF(R375&gt;0,S375*100/R375,0)</f>
        <v>1.4610161554671037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9">
        <f t="shared" ref="L376:N376" ca="1" si="288">L379+L382</f>
        <v>0</v>
      </c>
      <c r="M376" s="49">
        <f t="shared" ca="1" si="288"/>
        <v>0</v>
      </c>
      <c r="N376" s="49">
        <f t="shared" ca="1" si="288"/>
        <v>0</v>
      </c>
      <c r="O376" s="49">
        <f t="shared" ca="1" si="283"/>
        <v>0</v>
      </c>
      <c r="P376" s="49">
        <f t="shared" ca="1" si="284"/>
        <v>0</v>
      </c>
      <c r="Q376" s="49">
        <f t="shared" ref="Q376:S376" ca="1" si="289">Q379+Q382</f>
        <v>0</v>
      </c>
      <c r="R376" s="49">
        <f t="shared" ca="1" si="289"/>
        <v>0</v>
      </c>
      <c r="S376" s="49">
        <f t="shared" ca="1" si="289"/>
        <v>0</v>
      </c>
      <c r="T376" s="49">
        <f t="shared" ca="1" si="286"/>
        <v>0</v>
      </c>
      <c r="U376" s="49">
        <f t="shared" ca="1" si="287"/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7">
        <f t="shared" ref="L377:N377" ca="1" si="290">L380+L383</f>
        <v>220800</v>
      </c>
      <c r="M377" s="47">
        <f t="shared" ca="1" si="290"/>
        <v>220800</v>
      </c>
      <c r="N377" s="47">
        <f t="shared" ca="1" si="290"/>
        <v>255</v>
      </c>
      <c r="O377" s="47">
        <f t="shared" ca="1" si="283"/>
        <v>0.11548913043478261</v>
      </c>
      <c r="P377" s="47">
        <f t="shared" ca="1" si="284"/>
        <v>0.11548913043478261</v>
      </c>
      <c r="Q377" s="47">
        <f t="shared" ref="Q377:S377" ca="1" si="291">Q380+Q383</f>
        <v>618750</v>
      </c>
      <c r="R377" s="47">
        <f t="shared" ca="1" si="291"/>
        <v>533875</v>
      </c>
      <c r="S377" s="47">
        <f t="shared" ca="1" si="291"/>
        <v>7800</v>
      </c>
      <c r="T377" s="47">
        <f t="shared" ca="1" si="286"/>
        <v>1.2606060606060605</v>
      </c>
      <c r="U377" s="47">
        <f t="shared" ca="1" si="287"/>
        <v>1.4610161554671037</v>
      </c>
    </row>
    <row r="378" spans="1:21" ht="18.75" x14ac:dyDescent="0.25">
      <c r="A378" s="128"/>
      <c r="B378" s="159"/>
      <c r="C378" s="159"/>
      <c r="D378" s="161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7">
        <f t="shared" ref="L378:N378" ca="1" si="292">L379+L380</f>
        <v>220800</v>
      </c>
      <c r="M378" s="47">
        <f t="shared" ca="1" si="292"/>
        <v>220800</v>
      </c>
      <c r="N378" s="47">
        <f t="shared" ca="1" si="292"/>
        <v>255</v>
      </c>
      <c r="O378" s="47">
        <f t="shared" ca="1" si="283"/>
        <v>0.11548913043478261</v>
      </c>
      <c r="P378" s="47">
        <f t="shared" ca="1" si="284"/>
        <v>0.11548913043478261</v>
      </c>
      <c r="Q378" s="47">
        <f t="shared" ref="Q378:S378" ca="1" si="293">Q379+Q380</f>
        <v>618750</v>
      </c>
      <c r="R378" s="47">
        <f t="shared" ca="1" si="293"/>
        <v>533875</v>
      </c>
      <c r="S378" s="47">
        <f t="shared" ca="1" si="293"/>
        <v>7800</v>
      </c>
      <c r="T378" s="47">
        <f t="shared" ca="1" si="286"/>
        <v>1.2606060606060605</v>
      </c>
      <c r="U378" s="47">
        <f t="shared" ca="1" si="287"/>
        <v>1.4610161554671037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9">
        <f ca="1">IFERROR(__xludf.DUMMYFUNCTION("IMPORTRANGE(""https://docs.google.com/spreadsheets/d/1kKUcYdkIfrgTSj8iHHHB2MD2FAtwyyocFgqGQn6ADyI/edit?usp=sharing"",""กระบี่!L379"")+IMPORTRANGE(""https://docs.google.com/spreadsheets/d/1GwtLaSlNZkLk7iDqcyZz22giiy40b_usZZBXYciEN1U/edit?usp=sharing"",""ชุ"&amp;"มพร!L379"")+IMPORTRANGE(""https://docs.google.com/spreadsheets/d/16pAz3pOhQEZBhvFNMa5KGgZS6iKWpsKX0pg6tQmwFpo/edit?usp=sharing"",""ตรัง!L379"")+IMPORTRANGE(""https://docs.google.com/spreadsheets/d/1Dj4jcHCTV9JXKCaMoheSXS52JE63kDKyG7bPXnFogHk/edit?usp=shar"&amp;"ing"",""นครศรีธรรมราช!L379"")+IMPORTRANGE(""https://docs.google.com/spreadsheets/d/1iodCdmuK2GR3jzUwk8tpccY2JHQQA-87DLOtJP-ooyU/edit?usp=sharing"",""นราธิวาส!L379"")+IMPORTRANGE(""https://docs.google.com/spreadsheets/d/1SDNX3JhDdYRuIOsj0Wh2M-Qa_eaXl0NbWmh"&amp;"AOTbfQAs/edit?usp=sharing"",""ปัตตานี!L379"")+IMPORTRANGE(""https://docs.google.com/spreadsheets/d/16JDLGguT8s5DsGCND1KcwHP_AWR_zDMTqLHPLJUKhaU/edit?usp=sharing"",""พังงา!L379"")+IMPORTRANGE(""https://docs.google.com/spreadsheets/d/17ht0gPKzzT3PObBL1XJkeR"&amp;"mntBXI7wGjpLV7QorqlTk/edit?usp=sharing"",""พัทลุง!L379"")+IMPORTRANGE(""https://docs.google.com/spreadsheets/d/1rd4qoM1q_hsgaolqNGfrim9gbsoLxQsda4-vOz5x_BM/edit?usp=sharing"",""ภูเก็ต!L379"")+IMPORTRANGE(""https://docs.google.com/spreadsheets/d/1woKwKjgoL"&amp;"ssDvPcPeVyezB5izizAn4X1JDrys69n6xI/edit?usp=sharing"",""ยะลา!L379"")+IMPORTRANGE(""https://docs.google.com/spreadsheets/d/1qfrKjzMhm2HJfxQ-qVlJlJQ25Hne1d0khsySbZyGtPA/edit?usp=sharing"",""ระนอง!L379"")+IMPORTRANGE(""https://docs.google.com/spreadsheets/d/"&amp;"1IbSCnFOKpZsnFogBHJnL_isstZVaOMnFiIN0fGTPZZw/edit?usp=sharing"",""สงขลา!L379"")+IMPORTRANGE(""https://docs.google.com/spreadsheets/d/1q9nWasZJ-K8bFGvbE9n0qSRuKGA4Toe3Y89cKCiVtCU/edit?usp=sharing"",""สตูล!L379"")+IMPORTRANGE(""https://docs.google.com/sprea"&amp;"dsheets/d/18T20gbkS_WBjdscyTOV05cvq_JqvqQ17C81mpxf7Ncs/edit?usp=sharing"",""สุราษฎร์ธานี!L379"")"),0)</f>
        <v>0</v>
      </c>
      <c r="M379" s="49">
        <f ca="1">IFERROR(__xludf.DUMMYFUNCTION("IMPORTRANGE(""https://docs.google.com/spreadsheets/d/1kKUcYdkIfrgTSj8iHHHB2MD2FAtwyyocFgqGQn6ADyI/edit?usp=sharing"",""กระบี่!M379"")+IMPORTRANGE(""https://docs.google.com/spreadsheets/d/1GwtLaSlNZkLk7iDqcyZz22giiy40b_usZZBXYciEN1U/edit?usp=sharing"",""ชุ"&amp;"มพร!M379"")+IMPORTRANGE(""https://docs.google.com/spreadsheets/d/16pAz3pOhQEZBhvFNMa5KGgZS6iKWpsKX0pg6tQmwFpo/edit?usp=sharing"",""ตรัง!M379"")+IMPORTRANGE(""https://docs.google.com/spreadsheets/d/1Dj4jcHCTV9JXKCaMoheSXS52JE63kDKyG7bPXnFogHk/edit?usp=shar"&amp;"ing"",""นครศรีธรรมราช!M379"")+IMPORTRANGE(""https://docs.google.com/spreadsheets/d/1iodCdmuK2GR3jzUwk8tpccY2JHQQA-87DLOtJP-ooyU/edit?usp=sharing"",""นราธิวาส!M379"")+IMPORTRANGE(""https://docs.google.com/spreadsheets/d/1SDNX3JhDdYRuIOsj0Wh2M-Qa_eaXl0NbWmh"&amp;"AOTbfQAs/edit?usp=sharing"",""ปัตตานี!M379"")+IMPORTRANGE(""https://docs.google.com/spreadsheets/d/16JDLGguT8s5DsGCND1KcwHP_AWR_zDMTqLHPLJUKhaU/edit?usp=sharing"",""พังงา!M379"")+IMPORTRANGE(""https://docs.google.com/spreadsheets/d/17ht0gPKzzT3PObBL1XJkeR"&amp;"mntBXI7wGjpLV7QorqlTk/edit?usp=sharing"",""พัทลุง!M379"")+IMPORTRANGE(""https://docs.google.com/spreadsheets/d/1rd4qoM1q_hsgaolqNGfrim9gbsoLxQsda4-vOz5x_BM/edit?usp=sharing"",""ภูเก็ต!M379"")+IMPORTRANGE(""https://docs.google.com/spreadsheets/d/1woKwKjgoL"&amp;"ssDvPcPeVyezB5izizAn4X1JDrys69n6xI/edit?usp=sharing"",""ยะลา!M379"")+IMPORTRANGE(""https://docs.google.com/spreadsheets/d/1qfrKjzMhm2HJfxQ-qVlJlJQ25Hne1d0khsySbZyGtPA/edit?usp=sharing"",""ระนอง!M379"")+IMPORTRANGE(""https://docs.google.com/spreadsheets/d/"&amp;"1IbSCnFOKpZsnFogBHJnL_isstZVaOMnFiIN0fGTPZZw/edit?usp=sharing"",""สงขลา!M379"")+IMPORTRANGE(""https://docs.google.com/spreadsheets/d/1q9nWasZJ-K8bFGvbE9n0qSRuKGA4Toe3Y89cKCiVtCU/edit?usp=sharing"",""สตูล!M379"")+IMPORTRANGE(""https://docs.google.com/sprea"&amp;"dsheets/d/18T20gbkS_WBjdscyTOV05cvq_JqvqQ17C81mpxf7Ncs/edit?usp=sharing"",""สุราษฎร์ธานี!M379"")"),0)</f>
        <v>0</v>
      </c>
      <c r="N379" s="49">
        <f ca="1">IFERROR(__xludf.DUMMYFUNCTION("IMPORTRANGE(""https://docs.google.com/spreadsheets/d/1kKUcYdkIfrgTSj8iHHHB2MD2FAtwyyocFgqGQn6ADyI/edit?usp=sharing"",""กระบี่!N379"")+IMPORTRANGE(""https://docs.google.com/spreadsheets/d/1GwtLaSlNZkLk7iDqcyZz22giiy40b_usZZBXYciEN1U/edit?usp=sharing"",""ชุ"&amp;"มพร!N379"")+IMPORTRANGE(""https://docs.google.com/spreadsheets/d/16pAz3pOhQEZBhvFNMa5KGgZS6iKWpsKX0pg6tQmwFpo/edit?usp=sharing"",""ตรัง!N379"")+IMPORTRANGE(""https://docs.google.com/spreadsheets/d/1Dj4jcHCTV9JXKCaMoheSXS52JE63kDKyG7bPXnFogHk/edit?usp=shar"&amp;"ing"",""นครศรีธรรมราช!N379"")+IMPORTRANGE(""https://docs.google.com/spreadsheets/d/1iodCdmuK2GR3jzUwk8tpccY2JHQQA-87DLOtJP-ooyU/edit?usp=sharing"",""นราธิวาส!N379"")+IMPORTRANGE(""https://docs.google.com/spreadsheets/d/1SDNX3JhDdYRuIOsj0Wh2M-Qa_eaXl0NbWmh"&amp;"AOTbfQAs/edit?usp=sharing"",""ปัตตานี!N379"")+IMPORTRANGE(""https://docs.google.com/spreadsheets/d/16JDLGguT8s5DsGCND1KcwHP_AWR_zDMTqLHPLJUKhaU/edit?usp=sharing"",""พังงา!N379"")+IMPORTRANGE(""https://docs.google.com/spreadsheets/d/17ht0gPKzzT3PObBL1XJkeR"&amp;"mntBXI7wGjpLV7QorqlTk/edit?usp=sharing"",""พัทลุง!N379"")+IMPORTRANGE(""https://docs.google.com/spreadsheets/d/1rd4qoM1q_hsgaolqNGfrim9gbsoLxQsda4-vOz5x_BM/edit?usp=sharing"",""ภูเก็ต!N379"")+IMPORTRANGE(""https://docs.google.com/spreadsheets/d/1woKwKjgoL"&amp;"ssDvPcPeVyezB5izizAn4X1JDrys69n6xI/edit?usp=sharing"",""ยะลา!N379"")+IMPORTRANGE(""https://docs.google.com/spreadsheets/d/1qfrKjzMhm2HJfxQ-qVlJlJQ25Hne1d0khsySbZyGtPA/edit?usp=sharing"",""ระนอง!N379"")+IMPORTRANGE(""https://docs.google.com/spreadsheets/d/"&amp;"1IbSCnFOKpZsnFogBHJnL_isstZVaOMnFiIN0fGTPZZw/edit?usp=sharing"",""สงขลา!N379"")+IMPORTRANGE(""https://docs.google.com/spreadsheets/d/1q9nWasZJ-K8bFGvbE9n0qSRuKGA4Toe3Y89cKCiVtCU/edit?usp=sharing"",""สตูล!N379"")+IMPORTRANGE(""https://docs.google.com/sprea"&amp;"dsheets/d/18T20gbkS_WBjdscyTOV05cvq_JqvqQ17C81mpxf7Ncs/edit?usp=sharing"",""สุราษฎร์ธานี!N379"")"),0)</f>
        <v>0</v>
      </c>
      <c r="O379" s="49">
        <f t="shared" ca="1" si="283"/>
        <v>0</v>
      </c>
      <c r="P379" s="49">
        <f t="shared" ca="1" si="284"/>
        <v>0</v>
      </c>
      <c r="Q379" s="49">
        <f ca="1">IFERROR(__xludf.DUMMYFUNCTION("IMPORTRANGE(""https://docs.google.com/spreadsheets/d/1kKUcYdkIfrgTSj8iHHHB2MD2FAtwyyocFgqGQn6ADyI/edit?usp=sharing"",""กระบี่!Q379"")+IMPORTRANGE(""https://docs.google.com/spreadsheets/d/1GwtLaSlNZkLk7iDqcyZz22giiy40b_usZZBXYciEN1U/edit?usp=sharing"",""ชุ"&amp;"มพร!Q379"")+IMPORTRANGE(""https://docs.google.com/spreadsheets/d/16pAz3pOhQEZBhvFNMa5KGgZS6iKWpsKX0pg6tQmwFpo/edit?usp=sharing"",""ตรัง!Q379"")+IMPORTRANGE(""https://docs.google.com/spreadsheets/d/1Dj4jcHCTV9JXKCaMoheSXS52JE63kDKyG7bPXnFogHk/edit?usp=shar"&amp;"ing"",""นครศรีธรรมราช!Q379"")+IMPORTRANGE(""https://docs.google.com/spreadsheets/d/1iodCdmuK2GR3jzUwk8tpccY2JHQQA-87DLOtJP-ooyU/edit?usp=sharing"",""นราธิวาส!Q379"")+IMPORTRANGE(""https://docs.google.com/spreadsheets/d/1SDNX3JhDdYRuIOsj0Wh2M-Qa_eaXl0NbWmh"&amp;"AOTbfQAs/edit?usp=sharing"",""ปัตตานี!Q379"")+IMPORTRANGE(""https://docs.google.com/spreadsheets/d/16JDLGguT8s5DsGCND1KcwHP_AWR_zDMTqLHPLJUKhaU/edit?usp=sharing"",""พังงา!Q379"")+IMPORTRANGE(""https://docs.google.com/spreadsheets/d/17ht0gPKzzT3PObBL1XJkeR"&amp;"mntBXI7wGjpLV7QorqlTk/edit?usp=sharing"",""พัทลุง!Q379"")+IMPORTRANGE(""https://docs.google.com/spreadsheets/d/1rd4qoM1q_hsgaolqNGfrim9gbsoLxQsda4-vOz5x_BM/edit?usp=sharing"",""ภูเก็ต!Q379"")+IMPORTRANGE(""https://docs.google.com/spreadsheets/d/1woKwKjgoL"&amp;"ssDvPcPeVyezB5izizAn4X1JDrys69n6xI/edit?usp=sharing"",""ยะลา!Q379"")+IMPORTRANGE(""https://docs.google.com/spreadsheets/d/1qfrKjzMhm2HJfxQ-qVlJlJQ25Hne1d0khsySbZyGtPA/edit?usp=sharing"",""ระนอง!Q379"")+IMPORTRANGE(""https://docs.google.com/spreadsheets/d/"&amp;"1IbSCnFOKpZsnFogBHJnL_isstZVaOMnFiIN0fGTPZZw/edit?usp=sharing"",""สงขลา!Q379"")+IMPORTRANGE(""https://docs.google.com/spreadsheets/d/1q9nWasZJ-K8bFGvbE9n0qSRuKGA4Toe3Y89cKCiVtCU/edit?usp=sharing"",""สตูล!Q379"")+IMPORTRANGE(""https://docs.google.com/sprea"&amp;"dsheets/d/18T20gbkS_WBjdscyTOV05cvq_JqvqQ17C81mpxf7Ncs/edit?usp=sharing"",""สุราษฎร์ธานี!Q379"")"),0)</f>
        <v>0</v>
      </c>
      <c r="R379" s="49">
        <f ca="1">IFERROR(__xludf.DUMMYFUNCTION("IMPORTRANGE(""https://docs.google.com/spreadsheets/d/1kKUcYdkIfrgTSj8iHHHB2MD2FAtwyyocFgqGQn6ADyI/edit?usp=sharing"",""กระบี่!R379"")+IMPORTRANGE(""https://docs.google.com/spreadsheets/d/1GwtLaSlNZkLk7iDqcyZz22giiy40b_usZZBXYciEN1U/edit?usp=sharing"",""ชุ"&amp;"มพร!R379"")+IMPORTRANGE(""https://docs.google.com/spreadsheets/d/16pAz3pOhQEZBhvFNMa5KGgZS6iKWpsKX0pg6tQmwFpo/edit?usp=sharing"",""ตรัง!R379"")+IMPORTRANGE(""https://docs.google.com/spreadsheets/d/1Dj4jcHCTV9JXKCaMoheSXS52JE63kDKyG7bPXnFogHk/edit?usp=shar"&amp;"ing"",""นครศรีธรรมราช!R379"")+IMPORTRANGE(""https://docs.google.com/spreadsheets/d/1iodCdmuK2GR3jzUwk8tpccY2JHQQA-87DLOtJP-ooyU/edit?usp=sharing"",""นราธิวาส!R379"")+IMPORTRANGE(""https://docs.google.com/spreadsheets/d/1SDNX3JhDdYRuIOsj0Wh2M-Qa_eaXl0NbWmh"&amp;"AOTbfQAs/edit?usp=sharing"",""ปัตตานี!R379"")+IMPORTRANGE(""https://docs.google.com/spreadsheets/d/16JDLGguT8s5DsGCND1KcwHP_AWR_zDMTqLHPLJUKhaU/edit?usp=sharing"",""พังงา!R379"")+IMPORTRANGE(""https://docs.google.com/spreadsheets/d/17ht0gPKzzT3PObBL1XJkeR"&amp;"mntBXI7wGjpLV7QorqlTk/edit?usp=sharing"",""พัทลุง!R379"")+IMPORTRANGE(""https://docs.google.com/spreadsheets/d/1rd4qoM1q_hsgaolqNGfrim9gbsoLxQsda4-vOz5x_BM/edit?usp=sharing"",""ภูเก็ต!R379"")+IMPORTRANGE(""https://docs.google.com/spreadsheets/d/1woKwKjgoL"&amp;"ssDvPcPeVyezB5izizAn4X1JDrys69n6xI/edit?usp=sharing"",""ยะลา!R379"")+IMPORTRANGE(""https://docs.google.com/spreadsheets/d/1qfrKjzMhm2HJfxQ-qVlJlJQ25Hne1d0khsySbZyGtPA/edit?usp=sharing"",""ระนอง!R379"")+IMPORTRANGE(""https://docs.google.com/spreadsheets/d/"&amp;"1IbSCnFOKpZsnFogBHJnL_isstZVaOMnFiIN0fGTPZZw/edit?usp=sharing"",""สงขลา!R379"")+IMPORTRANGE(""https://docs.google.com/spreadsheets/d/1q9nWasZJ-K8bFGvbE9n0qSRuKGA4Toe3Y89cKCiVtCU/edit?usp=sharing"",""สตูล!R379"")+IMPORTRANGE(""https://docs.google.com/sprea"&amp;"dsheets/d/18T20gbkS_WBjdscyTOV05cvq_JqvqQ17C81mpxf7Ncs/edit?usp=sharing"",""สุราษฎร์ธานี!R379"")"),0)</f>
        <v>0</v>
      </c>
      <c r="S379" s="49">
        <f ca="1">IFERROR(__xludf.DUMMYFUNCTION("IMPORTRANGE(""https://docs.google.com/spreadsheets/d/1kKUcYdkIfrgTSj8iHHHB2MD2FAtwyyocFgqGQn6ADyI/edit?usp=sharing"",""กระบี่!S379"")+IMPORTRANGE(""https://docs.google.com/spreadsheets/d/1GwtLaSlNZkLk7iDqcyZz22giiy40b_usZZBXYciEN1U/edit?usp=sharing"",""ชุ"&amp;"มพร!S379"")+IMPORTRANGE(""https://docs.google.com/spreadsheets/d/16pAz3pOhQEZBhvFNMa5KGgZS6iKWpsKX0pg6tQmwFpo/edit?usp=sharing"",""ตรัง!S379"")+IMPORTRANGE(""https://docs.google.com/spreadsheets/d/1Dj4jcHCTV9JXKCaMoheSXS52JE63kDKyG7bPXnFogHk/edit?usp=shar"&amp;"ing"",""นครศรีธรรมราช!S379"")+IMPORTRANGE(""https://docs.google.com/spreadsheets/d/1iodCdmuK2GR3jzUwk8tpccY2JHQQA-87DLOtJP-ooyU/edit?usp=sharing"",""นราธิวาส!S379"")+IMPORTRANGE(""https://docs.google.com/spreadsheets/d/1SDNX3JhDdYRuIOsj0Wh2M-Qa_eaXl0NbWmh"&amp;"AOTbfQAs/edit?usp=sharing"",""ปัตตานี!S379"")+IMPORTRANGE(""https://docs.google.com/spreadsheets/d/16JDLGguT8s5DsGCND1KcwHP_AWR_zDMTqLHPLJUKhaU/edit?usp=sharing"",""พังงา!S379"")+IMPORTRANGE(""https://docs.google.com/spreadsheets/d/17ht0gPKzzT3PObBL1XJkeR"&amp;"mntBXI7wGjpLV7QorqlTk/edit?usp=sharing"",""พัทลุง!S379"")+IMPORTRANGE(""https://docs.google.com/spreadsheets/d/1rd4qoM1q_hsgaolqNGfrim9gbsoLxQsda4-vOz5x_BM/edit?usp=sharing"",""ภูเก็ต!S379"")+IMPORTRANGE(""https://docs.google.com/spreadsheets/d/1woKwKjgoL"&amp;"ssDvPcPeVyezB5izizAn4X1JDrys69n6xI/edit?usp=sharing"",""ยะลา!S379"")+IMPORTRANGE(""https://docs.google.com/spreadsheets/d/1qfrKjzMhm2HJfxQ-qVlJlJQ25Hne1d0khsySbZyGtPA/edit?usp=sharing"",""ระนอง!S379"")+IMPORTRANGE(""https://docs.google.com/spreadsheets/d/"&amp;"1IbSCnFOKpZsnFogBHJnL_isstZVaOMnFiIN0fGTPZZw/edit?usp=sharing"",""สงขลา!S379"")+IMPORTRANGE(""https://docs.google.com/spreadsheets/d/1q9nWasZJ-K8bFGvbE9n0qSRuKGA4Toe3Y89cKCiVtCU/edit?usp=sharing"",""สตูล!S379"")+IMPORTRANGE(""https://docs.google.com/sprea"&amp;"dsheets/d/18T20gbkS_WBjdscyTOV05cvq_JqvqQ17C81mpxf7Ncs/edit?usp=sharing"",""สุราษฎร์ธานี!S379"")"),0)</f>
        <v>0</v>
      </c>
      <c r="T379" s="49">
        <f t="shared" ca="1" si="286"/>
        <v>0</v>
      </c>
      <c r="U379" s="49">
        <f t="shared" ca="1" si="287"/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7">
        <f ca="1">IFERROR(__xludf.DUMMYFUNCTION("IMPORTRANGE(""https://docs.google.com/spreadsheets/d/1kKUcYdkIfrgTSj8iHHHB2MD2FAtwyyocFgqGQn6ADyI/edit?usp=sharing"",""กระบี่!L380"")+IMPORTRANGE(""https://docs.google.com/spreadsheets/d/1GwtLaSlNZkLk7iDqcyZz22giiy40b_usZZBXYciEN1U/edit?usp=sharing"",""ชุ"&amp;"มพร!L380"")+IMPORTRANGE(""https://docs.google.com/spreadsheets/d/16pAz3pOhQEZBhvFNMa5KGgZS6iKWpsKX0pg6tQmwFpo/edit?usp=sharing"",""ตรัง!L380"")+IMPORTRANGE(""https://docs.google.com/spreadsheets/d/1Dj4jcHCTV9JXKCaMoheSXS52JE63kDKyG7bPXnFogHk/edit?usp=shar"&amp;"ing"",""นครศรีธรรมราช!L380"")+IMPORTRANGE(""https://docs.google.com/spreadsheets/d/1iodCdmuK2GR3jzUwk8tpccY2JHQQA-87DLOtJP-ooyU/edit?usp=sharing"",""นราธิวาส!L380"")+IMPORTRANGE(""https://docs.google.com/spreadsheets/d/1SDNX3JhDdYRuIOsj0Wh2M-Qa_eaXl0NbWmh"&amp;"AOTbfQAs/edit?usp=sharing"",""ปัตตานี!L380"")+IMPORTRANGE(""https://docs.google.com/spreadsheets/d/16JDLGguT8s5DsGCND1KcwHP_AWR_zDMTqLHPLJUKhaU/edit?usp=sharing"",""พังงา!L380"")+IMPORTRANGE(""https://docs.google.com/spreadsheets/d/17ht0gPKzzT3PObBL1XJkeR"&amp;"mntBXI7wGjpLV7QorqlTk/edit?usp=sharing"",""พัทลุง!L380"")+IMPORTRANGE(""https://docs.google.com/spreadsheets/d/1rd4qoM1q_hsgaolqNGfrim9gbsoLxQsda4-vOz5x_BM/edit?usp=sharing"",""ภูเก็ต!L380"")+IMPORTRANGE(""https://docs.google.com/spreadsheets/d/1woKwKjgoL"&amp;"ssDvPcPeVyezB5izizAn4X1JDrys69n6xI/edit?usp=sharing"",""ยะลา!L380"")+IMPORTRANGE(""https://docs.google.com/spreadsheets/d/1qfrKjzMhm2HJfxQ-qVlJlJQ25Hne1d0khsySbZyGtPA/edit?usp=sharing"",""ระนอง!L380"")+IMPORTRANGE(""https://docs.google.com/spreadsheets/d/"&amp;"1IbSCnFOKpZsnFogBHJnL_isstZVaOMnFiIN0fGTPZZw/edit?usp=sharing"",""สงขลา!L380"")+IMPORTRANGE(""https://docs.google.com/spreadsheets/d/1q9nWasZJ-K8bFGvbE9n0qSRuKGA4Toe3Y89cKCiVtCU/edit?usp=sharing"",""สตูล!L380"")+IMPORTRANGE(""https://docs.google.com/sprea"&amp;"dsheets/d/18T20gbkS_WBjdscyTOV05cvq_JqvqQ17C81mpxf7Ncs/edit?usp=sharing"",""สุราษฎร์ธานี!L380"")"),220800)</f>
        <v>220800</v>
      </c>
      <c r="M380" s="47">
        <f ca="1">IFERROR(__xludf.DUMMYFUNCTION("IMPORTRANGE(""https://docs.google.com/spreadsheets/d/1kKUcYdkIfrgTSj8iHHHB2MD2FAtwyyocFgqGQn6ADyI/edit?usp=sharing"",""กระบี่!M380"")+IMPORTRANGE(""https://docs.google.com/spreadsheets/d/1GwtLaSlNZkLk7iDqcyZz22giiy40b_usZZBXYciEN1U/edit?usp=sharing"",""ชุ"&amp;"มพร!M380"")+IMPORTRANGE(""https://docs.google.com/spreadsheets/d/16pAz3pOhQEZBhvFNMa5KGgZS6iKWpsKX0pg6tQmwFpo/edit?usp=sharing"",""ตรัง!M380"")+IMPORTRANGE(""https://docs.google.com/spreadsheets/d/1Dj4jcHCTV9JXKCaMoheSXS52JE63kDKyG7bPXnFogHk/edit?usp=shar"&amp;"ing"",""นครศรีธรรมราช!M380"")+IMPORTRANGE(""https://docs.google.com/spreadsheets/d/1iodCdmuK2GR3jzUwk8tpccY2JHQQA-87DLOtJP-ooyU/edit?usp=sharing"",""นราธิวาส!M380"")+IMPORTRANGE(""https://docs.google.com/spreadsheets/d/1SDNX3JhDdYRuIOsj0Wh2M-Qa_eaXl0NbWmh"&amp;"AOTbfQAs/edit?usp=sharing"",""ปัตตานี!M380"")+IMPORTRANGE(""https://docs.google.com/spreadsheets/d/16JDLGguT8s5DsGCND1KcwHP_AWR_zDMTqLHPLJUKhaU/edit?usp=sharing"",""พังงา!M380"")+IMPORTRANGE(""https://docs.google.com/spreadsheets/d/17ht0gPKzzT3PObBL1XJkeR"&amp;"mntBXI7wGjpLV7QorqlTk/edit?usp=sharing"",""พัทลุง!M380"")+IMPORTRANGE(""https://docs.google.com/spreadsheets/d/1rd4qoM1q_hsgaolqNGfrim9gbsoLxQsda4-vOz5x_BM/edit?usp=sharing"",""ภูเก็ต!M380"")+IMPORTRANGE(""https://docs.google.com/spreadsheets/d/1woKwKjgoL"&amp;"ssDvPcPeVyezB5izizAn4X1JDrys69n6xI/edit?usp=sharing"",""ยะลา!M380"")+IMPORTRANGE(""https://docs.google.com/spreadsheets/d/1qfrKjzMhm2HJfxQ-qVlJlJQ25Hne1d0khsySbZyGtPA/edit?usp=sharing"",""ระนอง!M380"")+IMPORTRANGE(""https://docs.google.com/spreadsheets/d/"&amp;"1IbSCnFOKpZsnFogBHJnL_isstZVaOMnFiIN0fGTPZZw/edit?usp=sharing"",""สงขลา!M380"")+IMPORTRANGE(""https://docs.google.com/spreadsheets/d/1q9nWasZJ-K8bFGvbE9n0qSRuKGA4Toe3Y89cKCiVtCU/edit?usp=sharing"",""สตูล!M380"")+IMPORTRANGE(""https://docs.google.com/sprea"&amp;"dsheets/d/18T20gbkS_WBjdscyTOV05cvq_JqvqQ17C81mpxf7Ncs/edit?usp=sharing"",""สุราษฎร์ธานี!M380"")"),220800)</f>
        <v>220800</v>
      </c>
      <c r="N380" s="47">
        <f ca="1">IFERROR(__xludf.DUMMYFUNCTION("IMPORTRANGE(""https://docs.google.com/spreadsheets/d/1kKUcYdkIfrgTSj8iHHHB2MD2FAtwyyocFgqGQn6ADyI/edit?usp=sharing"",""กระบี่!N380"")+IMPORTRANGE(""https://docs.google.com/spreadsheets/d/1GwtLaSlNZkLk7iDqcyZz22giiy40b_usZZBXYciEN1U/edit?usp=sharing"",""ชุ"&amp;"มพร!N380"")+IMPORTRANGE(""https://docs.google.com/spreadsheets/d/16pAz3pOhQEZBhvFNMa5KGgZS6iKWpsKX0pg6tQmwFpo/edit?usp=sharing"",""ตรัง!N380"")+IMPORTRANGE(""https://docs.google.com/spreadsheets/d/1Dj4jcHCTV9JXKCaMoheSXS52JE63kDKyG7bPXnFogHk/edit?usp=shar"&amp;"ing"",""นครศรีธรรมราช!N380"")+IMPORTRANGE(""https://docs.google.com/spreadsheets/d/1iodCdmuK2GR3jzUwk8tpccY2JHQQA-87DLOtJP-ooyU/edit?usp=sharing"",""นราธิวาส!N380"")+IMPORTRANGE(""https://docs.google.com/spreadsheets/d/1SDNX3JhDdYRuIOsj0Wh2M-Qa_eaXl0NbWmh"&amp;"AOTbfQAs/edit?usp=sharing"",""ปัตตานี!N380"")+IMPORTRANGE(""https://docs.google.com/spreadsheets/d/16JDLGguT8s5DsGCND1KcwHP_AWR_zDMTqLHPLJUKhaU/edit?usp=sharing"",""พังงา!N380"")+IMPORTRANGE(""https://docs.google.com/spreadsheets/d/17ht0gPKzzT3PObBL1XJkeR"&amp;"mntBXI7wGjpLV7QorqlTk/edit?usp=sharing"",""พัทลุง!N380"")+IMPORTRANGE(""https://docs.google.com/spreadsheets/d/1rd4qoM1q_hsgaolqNGfrim9gbsoLxQsda4-vOz5x_BM/edit?usp=sharing"",""ภูเก็ต!N380"")+IMPORTRANGE(""https://docs.google.com/spreadsheets/d/1woKwKjgoL"&amp;"ssDvPcPeVyezB5izizAn4X1JDrys69n6xI/edit?usp=sharing"",""ยะลา!N380"")+IMPORTRANGE(""https://docs.google.com/spreadsheets/d/1qfrKjzMhm2HJfxQ-qVlJlJQ25Hne1d0khsySbZyGtPA/edit?usp=sharing"",""ระนอง!N380"")+IMPORTRANGE(""https://docs.google.com/spreadsheets/d/"&amp;"1IbSCnFOKpZsnFogBHJnL_isstZVaOMnFiIN0fGTPZZw/edit?usp=sharing"",""สงขลา!N380"")+IMPORTRANGE(""https://docs.google.com/spreadsheets/d/1q9nWasZJ-K8bFGvbE9n0qSRuKGA4Toe3Y89cKCiVtCU/edit?usp=sharing"",""สตูล!N380"")+IMPORTRANGE(""https://docs.google.com/sprea"&amp;"dsheets/d/18T20gbkS_WBjdscyTOV05cvq_JqvqQ17C81mpxf7Ncs/edit?usp=sharing"",""สุราษฎร์ธานี!N380"")"),255)</f>
        <v>255</v>
      </c>
      <c r="O380" s="47">
        <f t="shared" ca="1" si="283"/>
        <v>0.11548913043478261</v>
      </c>
      <c r="P380" s="47">
        <f t="shared" ca="1" si="284"/>
        <v>0.11548913043478261</v>
      </c>
      <c r="Q380" s="47">
        <f ca="1">IFERROR(__xludf.DUMMYFUNCTION("IMPORTRANGE(""https://docs.google.com/spreadsheets/d/1kKUcYdkIfrgTSj8iHHHB2MD2FAtwyyocFgqGQn6ADyI/edit?usp=sharing"",""กระบี่!Q380"")+IMPORTRANGE(""https://docs.google.com/spreadsheets/d/1GwtLaSlNZkLk7iDqcyZz22giiy40b_usZZBXYciEN1U/edit?usp=sharing"",""ชุ"&amp;"มพร!Q380"")+IMPORTRANGE(""https://docs.google.com/spreadsheets/d/16pAz3pOhQEZBhvFNMa5KGgZS6iKWpsKX0pg6tQmwFpo/edit?usp=sharing"",""ตรัง!Q380"")+IMPORTRANGE(""https://docs.google.com/spreadsheets/d/1Dj4jcHCTV9JXKCaMoheSXS52JE63kDKyG7bPXnFogHk/edit?usp=shar"&amp;"ing"",""นครศรีธรรมราช!Q380"")+IMPORTRANGE(""https://docs.google.com/spreadsheets/d/1iodCdmuK2GR3jzUwk8tpccY2JHQQA-87DLOtJP-ooyU/edit?usp=sharing"",""นราธิวาส!Q380"")+IMPORTRANGE(""https://docs.google.com/spreadsheets/d/1SDNX3JhDdYRuIOsj0Wh2M-Qa_eaXl0NbWmh"&amp;"AOTbfQAs/edit?usp=sharing"",""ปัตตานี!Q380"")+IMPORTRANGE(""https://docs.google.com/spreadsheets/d/16JDLGguT8s5DsGCND1KcwHP_AWR_zDMTqLHPLJUKhaU/edit?usp=sharing"",""พังงา!Q380"")+IMPORTRANGE(""https://docs.google.com/spreadsheets/d/17ht0gPKzzT3PObBL1XJkeR"&amp;"mntBXI7wGjpLV7QorqlTk/edit?usp=sharing"",""พัทลุง!Q380"")+IMPORTRANGE(""https://docs.google.com/spreadsheets/d/1rd4qoM1q_hsgaolqNGfrim9gbsoLxQsda4-vOz5x_BM/edit?usp=sharing"",""ภูเก็ต!Q380"")+IMPORTRANGE(""https://docs.google.com/spreadsheets/d/1woKwKjgoL"&amp;"ssDvPcPeVyezB5izizAn4X1JDrys69n6xI/edit?usp=sharing"",""ยะลา!Q380"")+IMPORTRANGE(""https://docs.google.com/spreadsheets/d/1qfrKjzMhm2HJfxQ-qVlJlJQ25Hne1d0khsySbZyGtPA/edit?usp=sharing"",""ระนอง!Q380"")+IMPORTRANGE(""https://docs.google.com/spreadsheets/d/"&amp;"1IbSCnFOKpZsnFogBHJnL_isstZVaOMnFiIN0fGTPZZw/edit?usp=sharing"",""สงขลา!Q380"")+IMPORTRANGE(""https://docs.google.com/spreadsheets/d/1q9nWasZJ-K8bFGvbE9n0qSRuKGA4Toe3Y89cKCiVtCU/edit?usp=sharing"",""สตูล!Q380"")+IMPORTRANGE(""https://docs.google.com/sprea"&amp;"dsheets/d/18T20gbkS_WBjdscyTOV05cvq_JqvqQ17C81mpxf7Ncs/edit?usp=sharing"",""สุราษฎร์ธานี!Q380"")"),618750)</f>
        <v>618750</v>
      </c>
      <c r="R380" s="47">
        <f ca="1">IFERROR(__xludf.DUMMYFUNCTION("IMPORTRANGE(""https://docs.google.com/spreadsheets/d/1kKUcYdkIfrgTSj8iHHHB2MD2FAtwyyocFgqGQn6ADyI/edit?usp=sharing"",""กระบี่!R380"")+IMPORTRANGE(""https://docs.google.com/spreadsheets/d/1GwtLaSlNZkLk7iDqcyZz22giiy40b_usZZBXYciEN1U/edit?usp=sharing"",""ชุ"&amp;"มพร!R380"")+IMPORTRANGE(""https://docs.google.com/spreadsheets/d/16pAz3pOhQEZBhvFNMa5KGgZS6iKWpsKX0pg6tQmwFpo/edit?usp=sharing"",""ตรัง!R380"")+IMPORTRANGE(""https://docs.google.com/spreadsheets/d/1Dj4jcHCTV9JXKCaMoheSXS52JE63kDKyG7bPXnFogHk/edit?usp=shar"&amp;"ing"",""นครศรีธรรมราช!R380"")+IMPORTRANGE(""https://docs.google.com/spreadsheets/d/1iodCdmuK2GR3jzUwk8tpccY2JHQQA-87DLOtJP-ooyU/edit?usp=sharing"",""นราธิวาส!R380"")+IMPORTRANGE(""https://docs.google.com/spreadsheets/d/1SDNX3JhDdYRuIOsj0Wh2M-Qa_eaXl0NbWmh"&amp;"AOTbfQAs/edit?usp=sharing"",""ปัตตานี!R380"")+IMPORTRANGE(""https://docs.google.com/spreadsheets/d/16JDLGguT8s5DsGCND1KcwHP_AWR_zDMTqLHPLJUKhaU/edit?usp=sharing"",""พังงา!R380"")+IMPORTRANGE(""https://docs.google.com/spreadsheets/d/17ht0gPKzzT3PObBL1XJkeR"&amp;"mntBXI7wGjpLV7QorqlTk/edit?usp=sharing"",""พัทลุง!R380"")+IMPORTRANGE(""https://docs.google.com/spreadsheets/d/1rd4qoM1q_hsgaolqNGfrim9gbsoLxQsda4-vOz5x_BM/edit?usp=sharing"",""ภูเก็ต!R380"")+IMPORTRANGE(""https://docs.google.com/spreadsheets/d/1woKwKjgoL"&amp;"ssDvPcPeVyezB5izizAn4X1JDrys69n6xI/edit?usp=sharing"",""ยะลา!R380"")+IMPORTRANGE(""https://docs.google.com/spreadsheets/d/1qfrKjzMhm2HJfxQ-qVlJlJQ25Hne1d0khsySbZyGtPA/edit?usp=sharing"",""ระนอง!R380"")+IMPORTRANGE(""https://docs.google.com/spreadsheets/d/"&amp;"1IbSCnFOKpZsnFogBHJnL_isstZVaOMnFiIN0fGTPZZw/edit?usp=sharing"",""สงขลา!R380"")+IMPORTRANGE(""https://docs.google.com/spreadsheets/d/1q9nWasZJ-K8bFGvbE9n0qSRuKGA4Toe3Y89cKCiVtCU/edit?usp=sharing"",""สตูล!R380"")+IMPORTRANGE(""https://docs.google.com/sprea"&amp;"dsheets/d/18T20gbkS_WBjdscyTOV05cvq_JqvqQ17C81mpxf7Ncs/edit?usp=sharing"",""สุราษฎร์ธานี!R380"")"),533875)</f>
        <v>533875</v>
      </c>
      <c r="S380" s="47">
        <f ca="1">IFERROR(__xludf.DUMMYFUNCTION("IMPORTRANGE(""https://docs.google.com/spreadsheets/d/1kKUcYdkIfrgTSj8iHHHB2MD2FAtwyyocFgqGQn6ADyI/edit?usp=sharing"",""กระบี่!S380"")+IMPORTRANGE(""https://docs.google.com/spreadsheets/d/1GwtLaSlNZkLk7iDqcyZz22giiy40b_usZZBXYciEN1U/edit?usp=sharing"",""ชุ"&amp;"มพร!S380"")+IMPORTRANGE(""https://docs.google.com/spreadsheets/d/16pAz3pOhQEZBhvFNMa5KGgZS6iKWpsKX0pg6tQmwFpo/edit?usp=sharing"",""ตรัง!S380"")+IMPORTRANGE(""https://docs.google.com/spreadsheets/d/1Dj4jcHCTV9JXKCaMoheSXS52JE63kDKyG7bPXnFogHk/edit?usp=shar"&amp;"ing"",""นครศรีธรรมราช!S380"")+IMPORTRANGE(""https://docs.google.com/spreadsheets/d/1iodCdmuK2GR3jzUwk8tpccY2JHQQA-87DLOtJP-ooyU/edit?usp=sharing"",""นราธิวาส!S380"")+IMPORTRANGE(""https://docs.google.com/spreadsheets/d/1SDNX3JhDdYRuIOsj0Wh2M-Qa_eaXl0NbWmh"&amp;"AOTbfQAs/edit?usp=sharing"",""ปัตตานี!S380"")+IMPORTRANGE(""https://docs.google.com/spreadsheets/d/16JDLGguT8s5DsGCND1KcwHP_AWR_zDMTqLHPLJUKhaU/edit?usp=sharing"",""พังงา!S380"")+IMPORTRANGE(""https://docs.google.com/spreadsheets/d/17ht0gPKzzT3PObBL1XJkeR"&amp;"mntBXI7wGjpLV7QorqlTk/edit?usp=sharing"",""พัทลุง!S380"")+IMPORTRANGE(""https://docs.google.com/spreadsheets/d/1rd4qoM1q_hsgaolqNGfrim9gbsoLxQsda4-vOz5x_BM/edit?usp=sharing"",""ภูเก็ต!S380"")+IMPORTRANGE(""https://docs.google.com/spreadsheets/d/1woKwKjgoL"&amp;"ssDvPcPeVyezB5izizAn4X1JDrys69n6xI/edit?usp=sharing"",""ยะลา!S380"")+IMPORTRANGE(""https://docs.google.com/spreadsheets/d/1qfrKjzMhm2HJfxQ-qVlJlJQ25Hne1d0khsySbZyGtPA/edit?usp=sharing"",""ระนอง!S380"")+IMPORTRANGE(""https://docs.google.com/spreadsheets/d/"&amp;"1IbSCnFOKpZsnFogBHJnL_isstZVaOMnFiIN0fGTPZZw/edit?usp=sharing"",""สงขลา!S380"")+IMPORTRANGE(""https://docs.google.com/spreadsheets/d/1q9nWasZJ-K8bFGvbE9n0qSRuKGA4Toe3Y89cKCiVtCU/edit?usp=sharing"",""สตูล!S380"")+IMPORTRANGE(""https://docs.google.com/sprea"&amp;"dsheets/d/18T20gbkS_WBjdscyTOV05cvq_JqvqQ17C81mpxf7Ncs/edit?usp=sharing"",""สุราษฎร์ธานี!S380"")"),7800)</f>
        <v>7800</v>
      </c>
      <c r="T380" s="47">
        <f t="shared" ca="1" si="286"/>
        <v>1.2606060606060605</v>
      </c>
      <c r="U380" s="47">
        <f t="shared" ca="1" si="287"/>
        <v>1.4610161554671037</v>
      </c>
    </row>
    <row r="381" spans="1:21" ht="18.75" x14ac:dyDescent="0.25">
      <c r="A381" s="128"/>
      <c r="B381" s="159"/>
      <c r="C381" s="159"/>
      <c r="D381" s="161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7">
        <f t="shared" ref="L381:N381" ca="1" si="294">L382+L383</f>
        <v>0</v>
      </c>
      <c r="M381" s="47">
        <f t="shared" ca="1" si="294"/>
        <v>0</v>
      </c>
      <c r="N381" s="47">
        <f t="shared" ca="1" si="294"/>
        <v>0</v>
      </c>
      <c r="O381" s="47">
        <f t="shared" ca="1" si="283"/>
        <v>0</v>
      </c>
      <c r="P381" s="47">
        <f t="shared" ca="1" si="284"/>
        <v>0</v>
      </c>
      <c r="Q381" s="47">
        <f t="shared" ref="Q381:S381" ca="1" si="295">Q382+Q383</f>
        <v>0</v>
      </c>
      <c r="R381" s="47">
        <f t="shared" ca="1" si="295"/>
        <v>0</v>
      </c>
      <c r="S381" s="47">
        <f t="shared" ca="1" si="295"/>
        <v>0</v>
      </c>
      <c r="T381" s="47">
        <f t="shared" ca="1" si="286"/>
        <v>0</v>
      </c>
      <c r="U381" s="47">
        <f t="shared" ca="1" si="287"/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9">
        <f ca="1">IFERROR(__xludf.DUMMYFUNCTION("IMPORTRANGE(""https://docs.google.com/spreadsheets/d/1kKUcYdkIfrgTSj8iHHHB2MD2FAtwyyocFgqGQn6ADyI/edit?usp=sharing"",""กระบี่!L382"")+IMPORTRANGE(""https://docs.google.com/spreadsheets/d/1GwtLaSlNZkLk7iDqcyZz22giiy40b_usZZBXYciEN1U/edit?usp=sharing"",""ชุ"&amp;"มพร!L382"")+IMPORTRANGE(""https://docs.google.com/spreadsheets/d/16pAz3pOhQEZBhvFNMa5KGgZS6iKWpsKX0pg6tQmwFpo/edit?usp=sharing"",""ตรัง!L382"")+IMPORTRANGE(""https://docs.google.com/spreadsheets/d/1Dj4jcHCTV9JXKCaMoheSXS52JE63kDKyG7bPXnFogHk/edit?usp=shar"&amp;"ing"",""นครศรีธรรมราช!L382"")+IMPORTRANGE(""https://docs.google.com/spreadsheets/d/1iodCdmuK2GR3jzUwk8tpccY2JHQQA-87DLOtJP-ooyU/edit?usp=sharing"",""นราธิวาส!L382"")+IMPORTRANGE(""https://docs.google.com/spreadsheets/d/1SDNX3JhDdYRuIOsj0Wh2M-Qa_eaXl0NbWmh"&amp;"AOTbfQAs/edit?usp=sharing"",""ปัตตานี!L382"")+IMPORTRANGE(""https://docs.google.com/spreadsheets/d/16JDLGguT8s5DsGCND1KcwHP_AWR_zDMTqLHPLJUKhaU/edit?usp=sharing"",""พังงา!L382"")+IMPORTRANGE(""https://docs.google.com/spreadsheets/d/17ht0gPKzzT3PObBL1XJkeR"&amp;"mntBXI7wGjpLV7QorqlTk/edit?usp=sharing"",""พัทลุง!L382"")+IMPORTRANGE(""https://docs.google.com/spreadsheets/d/1rd4qoM1q_hsgaolqNGfrim9gbsoLxQsda4-vOz5x_BM/edit?usp=sharing"",""ภูเก็ต!L382"")+IMPORTRANGE(""https://docs.google.com/spreadsheets/d/1woKwKjgoL"&amp;"ssDvPcPeVyezB5izizAn4X1JDrys69n6xI/edit?usp=sharing"",""ยะลา!L382"")+IMPORTRANGE(""https://docs.google.com/spreadsheets/d/1qfrKjzMhm2HJfxQ-qVlJlJQ25Hne1d0khsySbZyGtPA/edit?usp=sharing"",""ระนอง!L382"")+IMPORTRANGE(""https://docs.google.com/spreadsheets/d/"&amp;"1IbSCnFOKpZsnFogBHJnL_isstZVaOMnFiIN0fGTPZZw/edit?usp=sharing"",""สงขลา!L382"")+IMPORTRANGE(""https://docs.google.com/spreadsheets/d/1q9nWasZJ-K8bFGvbE9n0qSRuKGA4Toe3Y89cKCiVtCU/edit?usp=sharing"",""สตูล!L382"")+IMPORTRANGE(""https://docs.google.com/sprea"&amp;"dsheets/d/18T20gbkS_WBjdscyTOV05cvq_JqvqQ17C81mpxf7Ncs/edit?usp=sharing"",""สุราษฎร์ธานี!L382"")"),0)</f>
        <v>0</v>
      </c>
      <c r="M382" s="49">
        <f ca="1">IFERROR(__xludf.DUMMYFUNCTION("IMPORTRANGE(""https://docs.google.com/spreadsheets/d/1kKUcYdkIfrgTSj8iHHHB2MD2FAtwyyocFgqGQn6ADyI/edit?usp=sharing"",""กระบี่!M382"")+IMPORTRANGE(""https://docs.google.com/spreadsheets/d/1GwtLaSlNZkLk7iDqcyZz22giiy40b_usZZBXYciEN1U/edit?usp=sharing"",""ชุ"&amp;"มพร!M382"")+IMPORTRANGE(""https://docs.google.com/spreadsheets/d/16pAz3pOhQEZBhvFNMa5KGgZS6iKWpsKX0pg6tQmwFpo/edit?usp=sharing"",""ตรัง!M382"")+IMPORTRANGE(""https://docs.google.com/spreadsheets/d/1Dj4jcHCTV9JXKCaMoheSXS52JE63kDKyG7bPXnFogHk/edit?usp=shar"&amp;"ing"",""นครศรีธรรมราช!M382"")+IMPORTRANGE(""https://docs.google.com/spreadsheets/d/1iodCdmuK2GR3jzUwk8tpccY2JHQQA-87DLOtJP-ooyU/edit?usp=sharing"",""นราธิวาส!M382"")+IMPORTRANGE(""https://docs.google.com/spreadsheets/d/1SDNX3JhDdYRuIOsj0Wh2M-Qa_eaXl0NbWmh"&amp;"AOTbfQAs/edit?usp=sharing"",""ปัตตานี!M382"")+IMPORTRANGE(""https://docs.google.com/spreadsheets/d/16JDLGguT8s5DsGCND1KcwHP_AWR_zDMTqLHPLJUKhaU/edit?usp=sharing"",""พังงา!M382"")+IMPORTRANGE(""https://docs.google.com/spreadsheets/d/17ht0gPKzzT3PObBL1XJkeR"&amp;"mntBXI7wGjpLV7QorqlTk/edit?usp=sharing"",""พัทลุง!M382"")+IMPORTRANGE(""https://docs.google.com/spreadsheets/d/1rd4qoM1q_hsgaolqNGfrim9gbsoLxQsda4-vOz5x_BM/edit?usp=sharing"",""ภูเก็ต!M382"")+IMPORTRANGE(""https://docs.google.com/spreadsheets/d/1woKwKjgoL"&amp;"ssDvPcPeVyezB5izizAn4X1JDrys69n6xI/edit?usp=sharing"",""ยะลา!M382"")+IMPORTRANGE(""https://docs.google.com/spreadsheets/d/1qfrKjzMhm2HJfxQ-qVlJlJQ25Hne1d0khsySbZyGtPA/edit?usp=sharing"",""ระนอง!M382"")+IMPORTRANGE(""https://docs.google.com/spreadsheets/d/"&amp;"1IbSCnFOKpZsnFogBHJnL_isstZVaOMnFiIN0fGTPZZw/edit?usp=sharing"",""สงขลา!M382"")+IMPORTRANGE(""https://docs.google.com/spreadsheets/d/1q9nWasZJ-K8bFGvbE9n0qSRuKGA4Toe3Y89cKCiVtCU/edit?usp=sharing"",""สตูล!M382"")+IMPORTRANGE(""https://docs.google.com/sprea"&amp;"dsheets/d/18T20gbkS_WBjdscyTOV05cvq_JqvqQ17C81mpxf7Ncs/edit?usp=sharing"",""สุราษฎร์ธานี!M382"")"),0)</f>
        <v>0</v>
      </c>
      <c r="N382" s="49">
        <f ca="1">IFERROR(__xludf.DUMMYFUNCTION("IMPORTRANGE(""https://docs.google.com/spreadsheets/d/1kKUcYdkIfrgTSj8iHHHB2MD2FAtwyyocFgqGQn6ADyI/edit?usp=sharing"",""กระบี่!N382"")+IMPORTRANGE(""https://docs.google.com/spreadsheets/d/1GwtLaSlNZkLk7iDqcyZz22giiy40b_usZZBXYciEN1U/edit?usp=sharing"",""ชุ"&amp;"มพร!N382"")+IMPORTRANGE(""https://docs.google.com/spreadsheets/d/16pAz3pOhQEZBhvFNMa5KGgZS6iKWpsKX0pg6tQmwFpo/edit?usp=sharing"",""ตรัง!N382"")+IMPORTRANGE(""https://docs.google.com/spreadsheets/d/1Dj4jcHCTV9JXKCaMoheSXS52JE63kDKyG7bPXnFogHk/edit?usp=shar"&amp;"ing"",""นครศรีธรรมราช!N382"")+IMPORTRANGE(""https://docs.google.com/spreadsheets/d/1iodCdmuK2GR3jzUwk8tpccY2JHQQA-87DLOtJP-ooyU/edit?usp=sharing"",""นราธิวาส!N382"")+IMPORTRANGE(""https://docs.google.com/spreadsheets/d/1SDNX3JhDdYRuIOsj0Wh2M-Qa_eaXl0NbWmh"&amp;"AOTbfQAs/edit?usp=sharing"",""ปัตตานี!N382"")+IMPORTRANGE(""https://docs.google.com/spreadsheets/d/16JDLGguT8s5DsGCND1KcwHP_AWR_zDMTqLHPLJUKhaU/edit?usp=sharing"",""พังงา!N382"")+IMPORTRANGE(""https://docs.google.com/spreadsheets/d/17ht0gPKzzT3PObBL1XJkeR"&amp;"mntBXI7wGjpLV7QorqlTk/edit?usp=sharing"",""พัทลุง!N382"")+IMPORTRANGE(""https://docs.google.com/spreadsheets/d/1rd4qoM1q_hsgaolqNGfrim9gbsoLxQsda4-vOz5x_BM/edit?usp=sharing"",""ภูเก็ต!N382"")+IMPORTRANGE(""https://docs.google.com/spreadsheets/d/1woKwKjgoL"&amp;"ssDvPcPeVyezB5izizAn4X1JDrys69n6xI/edit?usp=sharing"",""ยะลา!N382"")+IMPORTRANGE(""https://docs.google.com/spreadsheets/d/1qfrKjzMhm2HJfxQ-qVlJlJQ25Hne1d0khsySbZyGtPA/edit?usp=sharing"",""ระนอง!N382"")+IMPORTRANGE(""https://docs.google.com/spreadsheets/d/"&amp;"1IbSCnFOKpZsnFogBHJnL_isstZVaOMnFiIN0fGTPZZw/edit?usp=sharing"",""สงขลา!N382"")+IMPORTRANGE(""https://docs.google.com/spreadsheets/d/1q9nWasZJ-K8bFGvbE9n0qSRuKGA4Toe3Y89cKCiVtCU/edit?usp=sharing"",""สตูล!N382"")+IMPORTRANGE(""https://docs.google.com/sprea"&amp;"dsheets/d/18T20gbkS_WBjdscyTOV05cvq_JqvqQ17C81mpxf7Ncs/edit?usp=sharing"",""สุราษฎร์ธานี!N382"")"),0)</f>
        <v>0</v>
      </c>
      <c r="O382" s="49">
        <f t="shared" ca="1" si="283"/>
        <v>0</v>
      </c>
      <c r="P382" s="49">
        <f t="shared" ca="1" si="284"/>
        <v>0</v>
      </c>
      <c r="Q382" s="49">
        <f ca="1">IFERROR(__xludf.DUMMYFUNCTION("IMPORTRANGE(""https://docs.google.com/spreadsheets/d/1kKUcYdkIfrgTSj8iHHHB2MD2FAtwyyocFgqGQn6ADyI/edit?usp=sharing"",""กระบี่!Q382"")+IMPORTRANGE(""https://docs.google.com/spreadsheets/d/1GwtLaSlNZkLk7iDqcyZz22giiy40b_usZZBXYciEN1U/edit?usp=sharing"",""ชุ"&amp;"มพร!Q382"")+IMPORTRANGE(""https://docs.google.com/spreadsheets/d/16pAz3pOhQEZBhvFNMa5KGgZS6iKWpsKX0pg6tQmwFpo/edit?usp=sharing"",""ตรัง!Q382"")+IMPORTRANGE(""https://docs.google.com/spreadsheets/d/1Dj4jcHCTV9JXKCaMoheSXS52JE63kDKyG7bPXnFogHk/edit?usp=shar"&amp;"ing"",""นครศรีธรรมราช!Q382"")+IMPORTRANGE(""https://docs.google.com/spreadsheets/d/1iodCdmuK2GR3jzUwk8tpccY2JHQQA-87DLOtJP-ooyU/edit?usp=sharing"",""นราธิวาส!Q382"")+IMPORTRANGE(""https://docs.google.com/spreadsheets/d/1SDNX3JhDdYRuIOsj0Wh2M-Qa_eaXl0NbWmh"&amp;"AOTbfQAs/edit?usp=sharing"",""ปัตตานี!Q382"")+IMPORTRANGE(""https://docs.google.com/spreadsheets/d/16JDLGguT8s5DsGCND1KcwHP_AWR_zDMTqLHPLJUKhaU/edit?usp=sharing"",""พังงา!Q382"")+IMPORTRANGE(""https://docs.google.com/spreadsheets/d/17ht0gPKzzT3PObBL1XJkeR"&amp;"mntBXI7wGjpLV7QorqlTk/edit?usp=sharing"",""พัทลุง!Q382"")+IMPORTRANGE(""https://docs.google.com/spreadsheets/d/1rd4qoM1q_hsgaolqNGfrim9gbsoLxQsda4-vOz5x_BM/edit?usp=sharing"",""ภูเก็ต!Q382"")+IMPORTRANGE(""https://docs.google.com/spreadsheets/d/1woKwKjgoL"&amp;"ssDvPcPeVyezB5izizAn4X1JDrys69n6xI/edit?usp=sharing"",""ยะลา!Q382"")+IMPORTRANGE(""https://docs.google.com/spreadsheets/d/1qfrKjzMhm2HJfxQ-qVlJlJQ25Hne1d0khsySbZyGtPA/edit?usp=sharing"",""ระนอง!Q382"")+IMPORTRANGE(""https://docs.google.com/spreadsheets/d/"&amp;"1IbSCnFOKpZsnFogBHJnL_isstZVaOMnFiIN0fGTPZZw/edit?usp=sharing"",""สงขลา!Q382"")+IMPORTRANGE(""https://docs.google.com/spreadsheets/d/1q9nWasZJ-K8bFGvbE9n0qSRuKGA4Toe3Y89cKCiVtCU/edit?usp=sharing"",""สตูล!Q382"")+IMPORTRANGE(""https://docs.google.com/sprea"&amp;"dsheets/d/18T20gbkS_WBjdscyTOV05cvq_JqvqQ17C81mpxf7Ncs/edit?usp=sharing"",""สุราษฎร์ธานี!Q382"")"),0)</f>
        <v>0</v>
      </c>
      <c r="R382" s="49">
        <f ca="1">IFERROR(__xludf.DUMMYFUNCTION("IMPORTRANGE(""https://docs.google.com/spreadsheets/d/1kKUcYdkIfrgTSj8iHHHB2MD2FAtwyyocFgqGQn6ADyI/edit?usp=sharing"",""กระบี่!R382"")+IMPORTRANGE(""https://docs.google.com/spreadsheets/d/1GwtLaSlNZkLk7iDqcyZz22giiy40b_usZZBXYciEN1U/edit?usp=sharing"",""ชุ"&amp;"มพร!R382"")+IMPORTRANGE(""https://docs.google.com/spreadsheets/d/16pAz3pOhQEZBhvFNMa5KGgZS6iKWpsKX0pg6tQmwFpo/edit?usp=sharing"",""ตรัง!R382"")+IMPORTRANGE(""https://docs.google.com/spreadsheets/d/1Dj4jcHCTV9JXKCaMoheSXS52JE63kDKyG7bPXnFogHk/edit?usp=shar"&amp;"ing"",""นครศรีธรรมราช!R382"")+IMPORTRANGE(""https://docs.google.com/spreadsheets/d/1iodCdmuK2GR3jzUwk8tpccY2JHQQA-87DLOtJP-ooyU/edit?usp=sharing"",""นราธิวาส!R382"")+IMPORTRANGE(""https://docs.google.com/spreadsheets/d/1SDNX3JhDdYRuIOsj0Wh2M-Qa_eaXl0NbWmh"&amp;"AOTbfQAs/edit?usp=sharing"",""ปัตตานี!R382"")+IMPORTRANGE(""https://docs.google.com/spreadsheets/d/16JDLGguT8s5DsGCND1KcwHP_AWR_zDMTqLHPLJUKhaU/edit?usp=sharing"",""พังงา!R382"")+IMPORTRANGE(""https://docs.google.com/spreadsheets/d/17ht0gPKzzT3PObBL1XJkeR"&amp;"mntBXI7wGjpLV7QorqlTk/edit?usp=sharing"",""พัทลุง!R382"")+IMPORTRANGE(""https://docs.google.com/spreadsheets/d/1rd4qoM1q_hsgaolqNGfrim9gbsoLxQsda4-vOz5x_BM/edit?usp=sharing"",""ภูเก็ต!R382"")+IMPORTRANGE(""https://docs.google.com/spreadsheets/d/1woKwKjgoL"&amp;"ssDvPcPeVyezB5izizAn4X1JDrys69n6xI/edit?usp=sharing"",""ยะลา!R382"")+IMPORTRANGE(""https://docs.google.com/spreadsheets/d/1qfrKjzMhm2HJfxQ-qVlJlJQ25Hne1d0khsySbZyGtPA/edit?usp=sharing"",""ระนอง!R382"")+IMPORTRANGE(""https://docs.google.com/spreadsheets/d/"&amp;"1IbSCnFOKpZsnFogBHJnL_isstZVaOMnFiIN0fGTPZZw/edit?usp=sharing"",""สงขลา!R382"")+IMPORTRANGE(""https://docs.google.com/spreadsheets/d/1q9nWasZJ-K8bFGvbE9n0qSRuKGA4Toe3Y89cKCiVtCU/edit?usp=sharing"",""สตูล!R382"")+IMPORTRANGE(""https://docs.google.com/sprea"&amp;"dsheets/d/18T20gbkS_WBjdscyTOV05cvq_JqvqQ17C81mpxf7Ncs/edit?usp=sharing"",""สุราษฎร์ธานี!R382"")"),0)</f>
        <v>0</v>
      </c>
      <c r="S382" s="49">
        <f ca="1">IFERROR(__xludf.DUMMYFUNCTION("IMPORTRANGE(""https://docs.google.com/spreadsheets/d/1kKUcYdkIfrgTSj8iHHHB2MD2FAtwyyocFgqGQn6ADyI/edit?usp=sharing"",""กระบี่!S382"")+IMPORTRANGE(""https://docs.google.com/spreadsheets/d/1GwtLaSlNZkLk7iDqcyZz22giiy40b_usZZBXYciEN1U/edit?usp=sharing"",""ชุ"&amp;"มพร!S382"")+IMPORTRANGE(""https://docs.google.com/spreadsheets/d/16pAz3pOhQEZBhvFNMa5KGgZS6iKWpsKX0pg6tQmwFpo/edit?usp=sharing"",""ตรัง!S382"")+IMPORTRANGE(""https://docs.google.com/spreadsheets/d/1Dj4jcHCTV9JXKCaMoheSXS52JE63kDKyG7bPXnFogHk/edit?usp=shar"&amp;"ing"",""นครศรีธรรมราช!S382"")+IMPORTRANGE(""https://docs.google.com/spreadsheets/d/1iodCdmuK2GR3jzUwk8tpccY2JHQQA-87DLOtJP-ooyU/edit?usp=sharing"",""นราธิวาส!S382"")+IMPORTRANGE(""https://docs.google.com/spreadsheets/d/1SDNX3JhDdYRuIOsj0Wh2M-Qa_eaXl0NbWmh"&amp;"AOTbfQAs/edit?usp=sharing"",""ปัตตานี!S382"")+IMPORTRANGE(""https://docs.google.com/spreadsheets/d/16JDLGguT8s5DsGCND1KcwHP_AWR_zDMTqLHPLJUKhaU/edit?usp=sharing"",""พังงา!S382"")+IMPORTRANGE(""https://docs.google.com/spreadsheets/d/17ht0gPKzzT3PObBL1XJkeR"&amp;"mntBXI7wGjpLV7QorqlTk/edit?usp=sharing"",""พัทลุง!S382"")+IMPORTRANGE(""https://docs.google.com/spreadsheets/d/1rd4qoM1q_hsgaolqNGfrim9gbsoLxQsda4-vOz5x_BM/edit?usp=sharing"",""ภูเก็ต!S382"")+IMPORTRANGE(""https://docs.google.com/spreadsheets/d/1woKwKjgoL"&amp;"ssDvPcPeVyezB5izizAn4X1JDrys69n6xI/edit?usp=sharing"",""ยะลา!S382"")+IMPORTRANGE(""https://docs.google.com/spreadsheets/d/1qfrKjzMhm2HJfxQ-qVlJlJQ25Hne1d0khsySbZyGtPA/edit?usp=sharing"",""ระนอง!S382"")+IMPORTRANGE(""https://docs.google.com/spreadsheets/d/"&amp;"1IbSCnFOKpZsnFogBHJnL_isstZVaOMnFiIN0fGTPZZw/edit?usp=sharing"",""สงขลา!S382"")+IMPORTRANGE(""https://docs.google.com/spreadsheets/d/1q9nWasZJ-K8bFGvbE9n0qSRuKGA4Toe3Y89cKCiVtCU/edit?usp=sharing"",""สตูล!S382"")+IMPORTRANGE(""https://docs.google.com/sprea"&amp;"dsheets/d/18T20gbkS_WBjdscyTOV05cvq_JqvqQ17C81mpxf7Ncs/edit?usp=sharing"",""สุราษฎร์ธานี!S382"")"),0)</f>
        <v>0</v>
      </c>
      <c r="T382" s="49">
        <f t="shared" ca="1" si="286"/>
        <v>0</v>
      </c>
      <c r="U382" s="49">
        <f t="shared" ca="1" si="287"/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7">
        <f ca="1">IFERROR(__xludf.DUMMYFUNCTION("IMPORTRANGE(""https://docs.google.com/spreadsheets/d/1kKUcYdkIfrgTSj8iHHHB2MD2FAtwyyocFgqGQn6ADyI/edit?usp=sharing"",""กระบี่!L383"")+IMPORTRANGE(""https://docs.google.com/spreadsheets/d/1GwtLaSlNZkLk7iDqcyZz22giiy40b_usZZBXYciEN1U/edit?usp=sharing"",""ชุ"&amp;"มพร!L383"")+IMPORTRANGE(""https://docs.google.com/spreadsheets/d/16pAz3pOhQEZBhvFNMa5KGgZS6iKWpsKX0pg6tQmwFpo/edit?usp=sharing"",""ตรัง!L383"")+IMPORTRANGE(""https://docs.google.com/spreadsheets/d/1Dj4jcHCTV9JXKCaMoheSXS52JE63kDKyG7bPXnFogHk/edit?usp=shar"&amp;"ing"",""นครศรีธรรมราช!L383"")+IMPORTRANGE(""https://docs.google.com/spreadsheets/d/1iodCdmuK2GR3jzUwk8tpccY2JHQQA-87DLOtJP-ooyU/edit?usp=sharing"",""นราธิวาส!L383"")+IMPORTRANGE(""https://docs.google.com/spreadsheets/d/1SDNX3JhDdYRuIOsj0Wh2M-Qa_eaXl0NbWmh"&amp;"AOTbfQAs/edit?usp=sharing"",""ปัตตานี!L383"")+IMPORTRANGE(""https://docs.google.com/spreadsheets/d/16JDLGguT8s5DsGCND1KcwHP_AWR_zDMTqLHPLJUKhaU/edit?usp=sharing"",""พังงา!L383"")+IMPORTRANGE(""https://docs.google.com/spreadsheets/d/17ht0gPKzzT3PObBL1XJkeR"&amp;"mntBXI7wGjpLV7QorqlTk/edit?usp=sharing"",""พัทลุง!L383"")+IMPORTRANGE(""https://docs.google.com/spreadsheets/d/1rd4qoM1q_hsgaolqNGfrim9gbsoLxQsda4-vOz5x_BM/edit?usp=sharing"",""ภูเก็ต!L383"")+IMPORTRANGE(""https://docs.google.com/spreadsheets/d/1woKwKjgoL"&amp;"ssDvPcPeVyezB5izizAn4X1JDrys69n6xI/edit?usp=sharing"",""ยะลา!L383"")+IMPORTRANGE(""https://docs.google.com/spreadsheets/d/1qfrKjzMhm2HJfxQ-qVlJlJQ25Hne1d0khsySbZyGtPA/edit?usp=sharing"",""ระนอง!L383"")+IMPORTRANGE(""https://docs.google.com/spreadsheets/d/"&amp;"1IbSCnFOKpZsnFogBHJnL_isstZVaOMnFiIN0fGTPZZw/edit?usp=sharing"",""สงขลา!L383"")+IMPORTRANGE(""https://docs.google.com/spreadsheets/d/1q9nWasZJ-K8bFGvbE9n0qSRuKGA4Toe3Y89cKCiVtCU/edit?usp=sharing"",""สตูล!L383"")+IMPORTRANGE(""https://docs.google.com/sprea"&amp;"dsheets/d/18T20gbkS_WBjdscyTOV05cvq_JqvqQ17C81mpxf7Ncs/edit?usp=sharing"",""สุราษฎร์ธานี!L383"")"),0)</f>
        <v>0</v>
      </c>
      <c r="M383" s="47">
        <f ca="1">IFERROR(__xludf.DUMMYFUNCTION("IMPORTRANGE(""https://docs.google.com/spreadsheets/d/1kKUcYdkIfrgTSj8iHHHB2MD2FAtwyyocFgqGQn6ADyI/edit?usp=sharing"",""กระบี่!M383"")+IMPORTRANGE(""https://docs.google.com/spreadsheets/d/1GwtLaSlNZkLk7iDqcyZz22giiy40b_usZZBXYciEN1U/edit?usp=sharing"",""ชุ"&amp;"มพร!M383"")+IMPORTRANGE(""https://docs.google.com/spreadsheets/d/16pAz3pOhQEZBhvFNMa5KGgZS6iKWpsKX0pg6tQmwFpo/edit?usp=sharing"",""ตรัง!M383"")+IMPORTRANGE(""https://docs.google.com/spreadsheets/d/1Dj4jcHCTV9JXKCaMoheSXS52JE63kDKyG7bPXnFogHk/edit?usp=shar"&amp;"ing"",""นครศรีธรรมราช!M383"")+IMPORTRANGE(""https://docs.google.com/spreadsheets/d/1iodCdmuK2GR3jzUwk8tpccY2JHQQA-87DLOtJP-ooyU/edit?usp=sharing"",""นราธิวาส!M383"")+IMPORTRANGE(""https://docs.google.com/spreadsheets/d/1SDNX3JhDdYRuIOsj0Wh2M-Qa_eaXl0NbWmh"&amp;"AOTbfQAs/edit?usp=sharing"",""ปัตตานี!M383"")+IMPORTRANGE(""https://docs.google.com/spreadsheets/d/16JDLGguT8s5DsGCND1KcwHP_AWR_zDMTqLHPLJUKhaU/edit?usp=sharing"",""พังงา!M383"")+IMPORTRANGE(""https://docs.google.com/spreadsheets/d/17ht0gPKzzT3PObBL1XJkeR"&amp;"mntBXI7wGjpLV7QorqlTk/edit?usp=sharing"",""พัทลุง!M383"")+IMPORTRANGE(""https://docs.google.com/spreadsheets/d/1rd4qoM1q_hsgaolqNGfrim9gbsoLxQsda4-vOz5x_BM/edit?usp=sharing"",""ภูเก็ต!M383"")+IMPORTRANGE(""https://docs.google.com/spreadsheets/d/1woKwKjgoL"&amp;"ssDvPcPeVyezB5izizAn4X1JDrys69n6xI/edit?usp=sharing"",""ยะลา!M383"")+IMPORTRANGE(""https://docs.google.com/spreadsheets/d/1qfrKjzMhm2HJfxQ-qVlJlJQ25Hne1d0khsySbZyGtPA/edit?usp=sharing"",""ระนอง!M383"")+IMPORTRANGE(""https://docs.google.com/spreadsheets/d/"&amp;"1IbSCnFOKpZsnFogBHJnL_isstZVaOMnFiIN0fGTPZZw/edit?usp=sharing"",""สงขลา!M383"")+IMPORTRANGE(""https://docs.google.com/spreadsheets/d/1q9nWasZJ-K8bFGvbE9n0qSRuKGA4Toe3Y89cKCiVtCU/edit?usp=sharing"",""สตูล!M383"")+IMPORTRANGE(""https://docs.google.com/sprea"&amp;"dsheets/d/18T20gbkS_WBjdscyTOV05cvq_JqvqQ17C81mpxf7Ncs/edit?usp=sharing"",""สุราษฎร์ธานี!M383"")"),0)</f>
        <v>0</v>
      </c>
      <c r="N383" s="47">
        <f ca="1">IFERROR(__xludf.DUMMYFUNCTION("IMPORTRANGE(""https://docs.google.com/spreadsheets/d/1kKUcYdkIfrgTSj8iHHHB2MD2FAtwyyocFgqGQn6ADyI/edit?usp=sharing"",""กระบี่!N383"")+IMPORTRANGE(""https://docs.google.com/spreadsheets/d/1GwtLaSlNZkLk7iDqcyZz22giiy40b_usZZBXYciEN1U/edit?usp=sharing"",""ชุ"&amp;"มพร!N383"")+IMPORTRANGE(""https://docs.google.com/spreadsheets/d/16pAz3pOhQEZBhvFNMa5KGgZS6iKWpsKX0pg6tQmwFpo/edit?usp=sharing"",""ตรัง!N383"")+IMPORTRANGE(""https://docs.google.com/spreadsheets/d/1Dj4jcHCTV9JXKCaMoheSXS52JE63kDKyG7bPXnFogHk/edit?usp=shar"&amp;"ing"",""นครศรีธรรมราช!N383"")+IMPORTRANGE(""https://docs.google.com/spreadsheets/d/1iodCdmuK2GR3jzUwk8tpccY2JHQQA-87DLOtJP-ooyU/edit?usp=sharing"",""นราธิวาส!N383"")+IMPORTRANGE(""https://docs.google.com/spreadsheets/d/1SDNX3JhDdYRuIOsj0Wh2M-Qa_eaXl0NbWmh"&amp;"AOTbfQAs/edit?usp=sharing"",""ปัตตานี!N383"")+IMPORTRANGE(""https://docs.google.com/spreadsheets/d/16JDLGguT8s5DsGCND1KcwHP_AWR_zDMTqLHPLJUKhaU/edit?usp=sharing"",""พังงา!N383"")+IMPORTRANGE(""https://docs.google.com/spreadsheets/d/17ht0gPKzzT3PObBL1XJkeR"&amp;"mntBXI7wGjpLV7QorqlTk/edit?usp=sharing"",""พัทลุง!N383"")+IMPORTRANGE(""https://docs.google.com/spreadsheets/d/1rd4qoM1q_hsgaolqNGfrim9gbsoLxQsda4-vOz5x_BM/edit?usp=sharing"",""ภูเก็ต!N383"")+IMPORTRANGE(""https://docs.google.com/spreadsheets/d/1woKwKjgoL"&amp;"ssDvPcPeVyezB5izizAn4X1JDrys69n6xI/edit?usp=sharing"",""ยะลา!N383"")+IMPORTRANGE(""https://docs.google.com/spreadsheets/d/1qfrKjzMhm2HJfxQ-qVlJlJQ25Hne1d0khsySbZyGtPA/edit?usp=sharing"",""ระนอง!N383"")+IMPORTRANGE(""https://docs.google.com/spreadsheets/d/"&amp;"1IbSCnFOKpZsnFogBHJnL_isstZVaOMnFiIN0fGTPZZw/edit?usp=sharing"",""สงขลา!N383"")+IMPORTRANGE(""https://docs.google.com/spreadsheets/d/1q9nWasZJ-K8bFGvbE9n0qSRuKGA4Toe3Y89cKCiVtCU/edit?usp=sharing"",""สตูล!N383"")+IMPORTRANGE(""https://docs.google.com/sprea"&amp;"dsheets/d/18T20gbkS_WBjdscyTOV05cvq_JqvqQ17C81mpxf7Ncs/edit?usp=sharing"",""สุราษฎร์ธานี!N383"")"),0)</f>
        <v>0</v>
      </c>
      <c r="O383" s="47">
        <f t="shared" ca="1" si="283"/>
        <v>0</v>
      </c>
      <c r="P383" s="47">
        <f t="shared" ca="1" si="284"/>
        <v>0</v>
      </c>
      <c r="Q383" s="47">
        <f ca="1">IFERROR(__xludf.DUMMYFUNCTION("IMPORTRANGE(""https://docs.google.com/spreadsheets/d/1kKUcYdkIfrgTSj8iHHHB2MD2FAtwyyocFgqGQn6ADyI/edit?usp=sharing"",""กระบี่!Q383"")+IMPORTRANGE(""https://docs.google.com/spreadsheets/d/1GwtLaSlNZkLk7iDqcyZz22giiy40b_usZZBXYciEN1U/edit?usp=sharing"",""ชุ"&amp;"มพร!Q383"")+IMPORTRANGE(""https://docs.google.com/spreadsheets/d/16pAz3pOhQEZBhvFNMa5KGgZS6iKWpsKX0pg6tQmwFpo/edit?usp=sharing"",""ตรัง!Q383"")+IMPORTRANGE(""https://docs.google.com/spreadsheets/d/1Dj4jcHCTV9JXKCaMoheSXS52JE63kDKyG7bPXnFogHk/edit?usp=shar"&amp;"ing"",""นครศรีธรรมราช!Q383"")+IMPORTRANGE(""https://docs.google.com/spreadsheets/d/1iodCdmuK2GR3jzUwk8tpccY2JHQQA-87DLOtJP-ooyU/edit?usp=sharing"",""นราธิวาส!Q383"")+IMPORTRANGE(""https://docs.google.com/spreadsheets/d/1SDNX3JhDdYRuIOsj0Wh2M-Qa_eaXl0NbWmh"&amp;"AOTbfQAs/edit?usp=sharing"",""ปัตตานี!Q383"")+IMPORTRANGE(""https://docs.google.com/spreadsheets/d/16JDLGguT8s5DsGCND1KcwHP_AWR_zDMTqLHPLJUKhaU/edit?usp=sharing"",""พังงา!Q383"")+IMPORTRANGE(""https://docs.google.com/spreadsheets/d/17ht0gPKzzT3PObBL1XJkeR"&amp;"mntBXI7wGjpLV7QorqlTk/edit?usp=sharing"",""พัทลุง!Q383"")+IMPORTRANGE(""https://docs.google.com/spreadsheets/d/1rd4qoM1q_hsgaolqNGfrim9gbsoLxQsda4-vOz5x_BM/edit?usp=sharing"",""ภูเก็ต!Q383"")+IMPORTRANGE(""https://docs.google.com/spreadsheets/d/1woKwKjgoL"&amp;"ssDvPcPeVyezB5izizAn4X1JDrys69n6xI/edit?usp=sharing"",""ยะลา!Q383"")+IMPORTRANGE(""https://docs.google.com/spreadsheets/d/1qfrKjzMhm2HJfxQ-qVlJlJQ25Hne1d0khsySbZyGtPA/edit?usp=sharing"",""ระนอง!Q383"")+IMPORTRANGE(""https://docs.google.com/spreadsheets/d/"&amp;"1IbSCnFOKpZsnFogBHJnL_isstZVaOMnFiIN0fGTPZZw/edit?usp=sharing"",""สงขลา!Q383"")+IMPORTRANGE(""https://docs.google.com/spreadsheets/d/1q9nWasZJ-K8bFGvbE9n0qSRuKGA4Toe3Y89cKCiVtCU/edit?usp=sharing"",""สตูล!Q383"")+IMPORTRANGE(""https://docs.google.com/sprea"&amp;"dsheets/d/18T20gbkS_WBjdscyTOV05cvq_JqvqQ17C81mpxf7Ncs/edit?usp=sharing"",""สุราษฎร์ธานี!Q383"")"),0)</f>
        <v>0</v>
      </c>
      <c r="R383" s="47">
        <f ca="1">IFERROR(__xludf.DUMMYFUNCTION("IMPORTRANGE(""https://docs.google.com/spreadsheets/d/1kKUcYdkIfrgTSj8iHHHB2MD2FAtwyyocFgqGQn6ADyI/edit?usp=sharing"",""กระบี่!R383"")+IMPORTRANGE(""https://docs.google.com/spreadsheets/d/1GwtLaSlNZkLk7iDqcyZz22giiy40b_usZZBXYciEN1U/edit?usp=sharing"",""ชุ"&amp;"มพร!R383"")+IMPORTRANGE(""https://docs.google.com/spreadsheets/d/16pAz3pOhQEZBhvFNMa5KGgZS6iKWpsKX0pg6tQmwFpo/edit?usp=sharing"",""ตรัง!R383"")+IMPORTRANGE(""https://docs.google.com/spreadsheets/d/1Dj4jcHCTV9JXKCaMoheSXS52JE63kDKyG7bPXnFogHk/edit?usp=shar"&amp;"ing"",""นครศรีธรรมราช!R383"")+IMPORTRANGE(""https://docs.google.com/spreadsheets/d/1iodCdmuK2GR3jzUwk8tpccY2JHQQA-87DLOtJP-ooyU/edit?usp=sharing"",""นราธิวาส!R383"")+IMPORTRANGE(""https://docs.google.com/spreadsheets/d/1SDNX3JhDdYRuIOsj0Wh2M-Qa_eaXl0NbWmh"&amp;"AOTbfQAs/edit?usp=sharing"",""ปัตตานี!R383"")+IMPORTRANGE(""https://docs.google.com/spreadsheets/d/16JDLGguT8s5DsGCND1KcwHP_AWR_zDMTqLHPLJUKhaU/edit?usp=sharing"",""พังงา!R383"")+IMPORTRANGE(""https://docs.google.com/spreadsheets/d/17ht0gPKzzT3PObBL1XJkeR"&amp;"mntBXI7wGjpLV7QorqlTk/edit?usp=sharing"",""พัทลุง!R383"")+IMPORTRANGE(""https://docs.google.com/spreadsheets/d/1rd4qoM1q_hsgaolqNGfrim9gbsoLxQsda4-vOz5x_BM/edit?usp=sharing"",""ภูเก็ต!R383"")+IMPORTRANGE(""https://docs.google.com/spreadsheets/d/1woKwKjgoL"&amp;"ssDvPcPeVyezB5izizAn4X1JDrys69n6xI/edit?usp=sharing"",""ยะลา!R383"")+IMPORTRANGE(""https://docs.google.com/spreadsheets/d/1qfrKjzMhm2HJfxQ-qVlJlJQ25Hne1d0khsySbZyGtPA/edit?usp=sharing"",""ระนอง!R383"")+IMPORTRANGE(""https://docs.google.com/spreadsheets/d/"&amp;"1IbSCnFOKpZsnFogBHJnL_isstZVaOMnFiIN0fGTPZZw/edit?usp=sharing"",""สงขลา!R383"")+IMPORTRANGE(""https://docs.google.com/spreadsheets/d/1q9nWasZJ-K8bFGvbE9n0qSRuKGA4Toe3Y89cKCiVtCU/edit?usp=sharing"",""สตูล!R383"")+IMPORTRANGE(""https://docs.google.com/sprea"&amp;"dsheets/d/18T20gbkS_WBjdscyTOV05cvq_JqvqQ17C81mpxf7Ncs/edit?usp=sharing"",""สุราษฎร์ธานี!R383"")"),0)</f>
        <v>0</v>
      </c>
      <c r="S383" s="47">
        <f ca="1">IFERROR(__xludf.DUMMYFUNCTION("IMPORTRANGE(""https://docs.google.com/spreadsheets/d/1kKUcYdkIfrgTSj8iHHHB2MD2FAtwyyocFgqGQn6ADyI/edit?usp=sharing"",""กระบี่!S383"")+IMPORTRANGE(""https://docs.google.com/spreadsheets/d/1GwtLaSlNZkLk7iDqcyZz22giiy40b_usZZBXYciEN1U/edit?usp=sharing"",""ชุ"&amp;"มพร!S383"")+IMPORTRANGE(""https://docs.google.com/spreadsheets/d/16pAz3pOhQEZBhvFNMa5KGgZS6iKWpsKX0pg6tQmwFpo/edit?usp=sharing"",""ตรัง!S383"")+IMPORTRANGE(""https://docs.google.com/spreadsheets/d/1Dj4jcHCTV9JXKCaMoheSXS52JE63kDKyG7bPXnFogHk/edit?usp=shar"&amp;"ing"",""นครศรีธรรมราช!S383"")+IMPORTRANGE(""https://docs.google.com/spreadsheets/d/1iodCdmuK2GR3jzUwk8tpccY2JHQQA-87DLOtJP-ooyU/edit?usp=sharing"",""นราธิวาส!S383"")+IMPORTRANGE(""https://docs.google.com/spreadsheets/d/1SDNX3JhDdYRuIOsj0Wh2M-Qa_eaXl0NbWmh"&amp;"AOTbfQAs/edit?usp=sharing"",""ปัตตานี!S383"")+IMPORTRANGE(""https://docs.google.com/spreadsheets/d/16JDLGguT8s5DsGCND1KcwHP_AWR_zDMTqLHPLJUKhaU/edit?usp=sharing"",""พังงา!S383"")+IMPORTRANGE(""https://docs.google.com/spreadsheets/d/17ht0gPKzzT3PObBL1XJkeR"&amp;"mntBXI7wGjpLV7QorqlTk/edit?usp=sharing"",""พัทลุง!S383"")+IMPORTRANGE(""https://docs.google.com/spreadsheets/d/1rd4qoM1q_hsgaolqNGfrim9gbsoLxQsda4-vOz5x_BM/edit?usp=sharing"",""ภูเก็ต!S383"")+IMPORTRANGE(""https://docs.google.com/spreadsheets/d/1woKwKjgoL"&amp;"ssDvPcPeVyezB5izizAn4X1JDrys69n6xI/edit?usp=sharing"",""ยะลา!S383"")+IMPORTRANGE(""https://docs.google.com/spreadsheets/d/1qfrKjzMhm2HJfxQ-qVlJlJQ25Hne1d0khsySbZyGtPA/edit?usp=sharing"",""ระนอง!S383"")+IMPORTRANGE(""https://docs.google.com/spreadsheets/d/"&amp;"1IbSCnFOKpZsnFogBHJnL_isstZVaOMnFiIN0fGTPZZw/edit?usp=sharing"",""สงขลา!S383"")+IMPORTRANGE(""https://docs.google.com/spreadsheets/d/1q9nWasZJ-K8bFGvbE9n0qSRuKGA4Toe3Y89cKCiVtCU/edit?usp=sharing"",""สตูล!S383"")+IMPORTRANGE(""https://docs.google.com/sprea"&amp;"dsheets/d/18T20gbkS_WBjdscyTOV05cvq_JqvqQ17C81mpxf7Ncs/edit?usp=sharing"",""สุราษฎร์ธานี!S383"")"),0)</f>
        <v>0</v>
      </c>
      <c r="T383" s="47">
        <f t="shared" ca="1" si="286"/>
        <v>0</v>
      </c>
      <c r="U383" s="47">
        <f t="shared" ca="1" si="287"/>
        <v>0</v>
      </c>
    </row>
    <row r="384" spans="1:21" ht="19.5" x14ac:dyDescent="0.3">
      <c r="A384" s="138"/>
      <c r="B384" s="139"/>
      <c r="C384" s="162" t="s">
        <v>18</v>
      </c>
      <c r="D384" s="325" t="s">
        <v>38</v>
      </c>
      <c r="E384" s="141"/>
      <c r="F384" s="141"/>
      <c r="G384" s="142"/>
      <c r="H384" s="189"/>
      <c r="I384" s="135"/>
      <c r="J384" s="45"/>
      <c r="K384" s="46"/>
      <c r="L384" s="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f ca="1">IFERROR(__xludf.DUMMYFUNCTION("IMPORTRANGE(""https://docs.google.com/spreadsheets/d/1kKUcYdkIfrgTSj8iHHHB2MD2FAtwyyocFgqGQn6ADyI/edit?usp=sharing"",""กระบี่!I385"")+IMPORTRANGE(""https://docs.google.com/spreadsheets/d/1GwtLaSlNZkLk7iDqcyZz22giiy40b_usZZBXYciEN1U/edit?usp=sharing"",""ชุ"&amp;"มพร!I385"")+IMPORTRANGE(""https://docs.google.com/spreadsheets/d/16pAz3pOhQEZBhvFNMa5KGgZS6iKWpsKX0pg6tQmwFpo/edit?usp=sharing"",""ตรัง!I385"")+IMPORTRANGE(""https://docs.google.com/spreadsheets/d/1Dj4jcHCTV9JXKCaMoheSXS52JE63kDKyG7bPXnFogHk/edit?usp=shar"&amp;"ing"",""นครศรีธรรมราช!I385"")+IMPORTRANGE(""https://docs.google.com/spreadsheets/d/1iodCdmuK2GR3jzUwk8tpccY2JHQQA-87DLOtJP-ooyU/edit?usp=sharing"",""นราธิวาส!I385"")+IMPORTRANGE(""https://docs.google.com/spreadsheets/d/1SDNX3JhDdYRuIOsj0Wh2M-Qa_eaXl0NbWmh"&amp;"AOTbfQAs/edit?usp=sharing"",""ปัตตานี!I385"")+IMPORTRANGE(""https://docs.google.com/spreadsheets/d/16JDLGguT8s5DsGCND1KcwHP_AWR_zDMTqLHPLJUKhaU/edit?usp=sharing"",""พังงา!I385"")+IMPORTRANGE(""https://docs.google.com/spreadsheets/d/17ht0gPKzzT3PObBL1XJkeR"&amp;"mntBXI7wGjpLV7QorqlTk/edit?usp=sharing"",""พัทลุง!I385"")+IMPORTRANGE(""https://docs.google.com/spreadsheets/d/1rd4qoM1q_hsgaolqNGfrim9gbsoLxQsda4-vOz5x_BM/edit?usp=sharing"",""ภูเก็ต!I385"")+IMPORTRANGE(""https://docs.google.com/spreadsheets/d/1woKwKjgoL"&amp;"ssDvPcPeVyezB5izizAn4X1JDrys69n6xI/edit?usp=sharing"",""ยะลา!I385"")+IMPORTRANGE(""https://docs.google.com/spreadsheets/d/1qfrKjzMhm2HJfxQ-qVlJlJQ25Hne1d0khsySbZyGtPA/edit?usp=sharing"",""ระนอง!I385"")+IMPORTRANGE(""https://docs.google.com/spreadsheets/d/"&amp;"1IbSCnFOKpZsnFogBHJnL_isstZVaOMnFiIN0fGTPZZw/edit?usp=sharing"",""สงขลา!I385"")+IMPORTRANGE(""https://docs.google.com/spreadsheets/d/1q9nWasZJ-K8bFGvbE9n0qSRuKGA4Toe3Y89cKCiVtCU/edit?usp=sharing"",""สตูล!I385"")+IMPORTRANGE(""https://docs.google.com/sprea"&amp;"dsheets/d/18T20gbkS_WBjdscyTOV05cvq_JqvqQ17C81mpxf7Ncs/edit?usp=sharing"",""สุราษฎร์ธานี!I385"")"),0)</f>
        <v>0</v>
      </c>
      <c r="J385" s="152">
        <f ca="1">IFERROR(__xludf.DUMMYFUNCTION("IMPORTRANGE(""https://docs.google.com/spreadsheets/d/1kKUcYdkIfrgTSj8iHHHB2MD2FAtwyyocFgqGQn6ADyI/edit?usp=sharing"",""กระบี่!J385"")+IMPORTRANGE(""https://docs.google.com/spreadsheets/d/1GwtLaSlNZkLk7iDqcyZz22giiy40b_usZZBXYciEN1U/edit?usp=sharing"",""ชุ"&amp;"มพร!J385"")+IMPORTRANGE(""https://docs.google.com/spreadsheets/d/16pAz3pOhQEZBhvFNMa5KGgZS6iKWpsKX0pg6tQmwFpo/edit?usp=sharing"",""ตรัง!J385"")+IMPORTRANGE(""https://docs.google.com/spreadsheets/d/1Dj4jcHCTV9JXKCaMoheSXS52JE63kDKyG7bPXnFogHk/edit?usp=shar"&amp;"ing"",""นครศรีธรรมราช!J385"")+IMPORTRANGE(""https://docs.google.com/spreadsheets/d/1iodCdmuK2GR3jzUwk8tpccY2JHQQA-87DLOtJP-ooyU/edit?usp=sharing"",""นราธิวาส!J385"")+IMPORTRANGE(""https://docs.google.com/spreadsheets/d/1SDNX3JhDdYRuIOsj0Wh2M-Qa_eaXl0NbWmh"&amp;"AOTbfQAs/edit?usp=sharing"",""ปัตตานี!J385"")+IMPORTRANGE(""https://docs.google.com/spreadsheets/d/16JDLGguT8s5DsGCND1KcwHP_AWR_zDMTqLHPLJUKhaU/edit?usp=sharing"",""พังงา!J385"")+IMPORTRANGE(""https://docs.google.com/spreadsheets/d/17ht0gPKzzT3PObBL1XJkeR"&amp;"mntBXI7wGjpLV7QorqlTk/edit?usp=sharing"",""พัทลุง!J385"")+IMPORTRANGE(""https://docs.google.com/spreadsheets/d/1rd4qoM1q_hsgaolqNGfrim9gbsoLxQsda4-vOz5x_BM/edit?usp=sharing"",""ภูเก็ต!J385"")+IMPORTRANGE(""https://docs.google.com/spreadsheets/d/1woKwKjgoL"&amp;"ssDvPcPeVyezB5izizAn4X1JDrys69n6xI/edit?usp=sharing"",""ยะลา!J385"")+IMPORTRANGE(""https://docs.google.com/spreadsheets/d/1qfrKjzMhm2HJfxQ-qVlJlJQ25Hne1d0khsySbZyGtPA/edit?usp=sharing"",""ระนอง!J385"")+IMPORTRANGE(""https://docs.google.com/spreadsheets/d/"&amp;"1IbSCnFOKpZsnFogBHJnL_isstZVaOMnFiIN0fGTPZZw/edit?usp=sharing"",""สงขลา!J385"")+IMPORTRANGE(""https://docs.google.com/spreadsheets/d/1q9nWasZJ-K8bFGvbE9n0qSRuKGA4Toe3Y89cKCiVtCU/edit?usp=sharing"",""สตูล!J385"")+IMPORTRANGE(""https://docs.google.com/sprea"&amp;"dsheets/d/18T20gbkS_WBjdscyTOV05cvq_JqvqQ17C81mpxf7Ncs/edit?usp=sharing"",""สุราษฎร์ธานี!J385"")"),69)</f>
        <v>69</v>
      </c>
      <c r="K385" s="47">
        <f t="shared" ref="K385:K388" ca="1" si="296">IF(I385&gt;0,J385*100/I385,0)</f>
        <v>0</v>
      </c>
      <c r="L385" s="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kKUcYdkIfrgTSj8iHHHB2MD2FAtwyyocFgqGQn6ADyI/edit?usp=sharing"",""กระบี่!I386"")+IMPORTRANGE(""https://docs.google.com/spreadsheets/d/1GwtLaSlNZkLk7iDqcyZz22giiy40b_usZZBXYciEN1U/edit?usp=sharing"",""ชุ"&amp;"มพร!I386"")+IMPORTRANGE(""https://docs.google.com/spreadsheets/d/16pAz3pOhQEZBhvFNMa5KGgZS6iKWpsKX0pg6tQmwFpo/edit?usp=sharing"",""ตรัง!I386"")+IMPORTRANGE(""https://docs.google.com/spreadsheets/d/1Dj4jcHCTV9JXKCaMoheSXS52JE63kDKyG7bPXnFogHk/edit?usp=shar"&amp;"ing"",""นครศรีธรรมราช!I386"")+IMPORTRANGE(""https://docs.google.com/spreadsheets/d/1iodCdmuK2GR3jzUwk8tpccY2JHQQA-87DLOtJP-ooyU/edit?usp=sharing"",""นราธิวาส!I386"")+IMPORTRANGE(""https://docs.google.com/spreadsheets/d/1SDNX3JhDdYRuIOsj0Wh2M-Qa_eaXl0NbWmh"&amp;"AOTbfQAs/edit?usp=sharing"",""ปัตตานี!I386"")+IMPORTRANGE(""https://docs.google.com/spreadsheets/d/16JDLGguT8s5DsGCND1KcwHP_AWR_zDMTqLHPLJUKhaU/edit?usp=sharing"",""พังงา!I386"")+IMPORTRANGE(""https://docs.google.com/spreadsheets/d/17ht0gPKzzT3PObBL1XJkeR"&amp;"mntBXI7wGjpLV7QorqlTk/edit?usp=sharing"",""พัทลุง!I386"")+IMPORTRANGE(""https://docs.google.com/spreadsheets/d/1rd4qoM1q_hsgaolqNGfrim9gbsoLxQsda4-vOz5x_BM/edit?usp=sharing"",""ภูเก็ต!I386"")+IMPORTRANGE(""https://docs.google.com/spreadsheets/d/1woKwKjgoL"&amp;"ssDvPcPeVyezB5izizAn4X1JDrys69n6xI/edit?usp=sharing"",""ยะลา!I386"")+IMPORTRANGE(""https://docs.google.com/spreadsheets/d/1qfrKjzMhm2HJfxQ-qVlJlJQ25Hne1d0khsySbZyGtPA/edit?usp=sharing"",""ระนอง!I386"")+IMPORTRANGE(""https://docs.google.com/spreadsheets/d/"&amp;"1IbSCnFOKpZsnFogBHJnL_isstZVaOMnFiIN0fGTPZZw/edit?usp=sharing"",""สงขลา!I386"")+IMPORTRANGE(""https://docs.google.com/spreadsheets/d/1q9nWasZJ-K8bFGvbE9n0qSRuKGA4Toe3Y89cKCiVtCU/edit?usp=sharing"",""สตูล!I386"")+IMPORTRANGE(""https://docs.google.com/sprea"&amp;"dsheets/d/18T20gbkS_WBjdscyTOV05cvq_JqvqQ17C81mpxf7Ncs/edit?usp=sharing"",""สุราษฎร์ธานี!I386"")"),9900)</f>
        <v>9900</v>
      </c>
      <c r="J386" s="152">
        <f ca="1">IFERROR(__xludf.DUMMYFUNCTION("IMPORTRANGE(""https://docs.google.com/spreadsheets/d/1kKUcYdkIfrgTSj8iHHHB2MD2FAtwyyocFgqGQn6ADyI/edit?usp=sharing"",""กระบี่!J386"")+IMPORTRANGE(""https://docs.google.com/spreadsheets/d/1GwtLaSlNZkLk7iDqcyZz22giiy40b_usZZBXYciEN1U/edit?usp=sharing"",""ชุ"&amp;"มพร!J386"")+IMPORTRANGE(""https://docs.google.com/spreadsheets/d/16pAz3pOhQEZBhvFNMa5KGgZS6iKWpsKX0pg6tQmwFpo/edit?usp=sharing"",""ตรัง!J386"")+IMPORTRANGE(""https://docs.google.com/spreadsheets/d/1Dj4jcHCTV9JXKCaMoheSXS52JE63kDKyG7bPXnFogHk/edit?usp=shar"&amp;"ing"",""นครศรีธรรมราช!J386"")+IMPORTRANGE(""https://docs.google.com/spreadsheets/d/1iodCdmuK2GR3jzUwk8tpccY2JHQQA-87DLOtJP-ooyU/edit?usp=sharing"",""นราธิวาส!J386"")+IMPORTRANGE(""https://docs.google.com/spreadsheets/d/1SDNX3JhDdYRuIOsj0Wh2M-Qa_eaXl0NbWmh"&amp;"AOTbfQAs/edit?usp=sharing"",""ปัตตานี!J386"")+IMPORTRANGE(""https://docs.google.com/spreadsheets/d/16JDLGguT8s5DsGCND1KcwHP_AWR_zDMTqLHPLJUKhaU/edit?usp=sharing"",""พังงา!J386"")+IMPORTRANGE(""https://docs.google.com/spreadsheets/d/17ht0gPKzzT3PObBL1XJkeR"&amp;"mntBXI7wGjpLV7QorqlTk/edit?usp=sharing"",""พัทลุง!J386"")+IMPORTRANGE(""https://docs.google.com/spreadsheets/d/1rd4qoM1q_hsgaolqNGfrim9gbsoLxQsda4-vOz5x_BM/edit?usp=sharing"",""ภูเก็ต!J386"")+IMPORTRANGE(""https://docs.google.com/spreadsheets/d/1woKwKjgoL"&amp;"ssDvPcPeVyezB5izizAn4X1JDrys69n6xI/edit?usp=sharing"",""ยะลา!J386"")+IMPORTRANGE(""https://docs.google.com/spreadsheets/d/1qfrKjzMhm2HJfxQ-qVlJlJQ25Hne1d0khsySbZyGtPA/edit?usp=sharing"",""ระนอง!J386"")+IMPORTRANGE(""https://docs.google.com/spreadsheets/d/"&amp;"1IbSCnFOKpZsnFogBHJnL_isstZVaOMnFiIN0fGTPZZw/edit?usp=sharing"",""สงขลา!J386"")+IMPORTRANGE(""https://docs.google.com/spreadsheets/d/1q9nWasZJ-K8bFGvbE9n0qSRuKGA4Toe3Y89cKCiVtCU/edit?usp=sharing"",""สตูล!J386"")+IMPORTRANGE(""https://docs.google.com/sprea"&amp;"dsheets/d/18T20gbkS_WBjdscyTOV05cvq_JqvqQ17C81mpxf7Ncs/edit?usp=sharing"",""สุราษฎร์ธานี!J386"")"),626)</f>
        <v>626</v>
      </c>
      <c r="K386" s="47">
        <f t="shared" ca="1" si="296"/>
        <v>6.3232323232323235</v>
      </c>
      <c r="L386" s="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326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f ca="1">IFERROR(__xludf.DUMMYFUNCTION("IMPORTRANGE(""https://docs.google.com/spreadsheets/d/1kKUcYdkIfrgTSj8iHHHB2MD2FAtwyyocFgqGQn6ADyI/edit?usp=sharing"",""กระบี่!I387"")+IMPORTRANGE(""https://docs.google.com/spreadsheets/d/1GwtLaSlNZkLk7iDqcyZz22giiy40b_usZZBXYciEN1U/edit?usp=sharing"",""ชุ"&amp;"มพร!I387"")+IMPORTRANGE(""https://docs.google.com/spreadsheets/d/16pAz3pOhQEZBhvFNMa5KGgZS6iKWpsKX0pg6tQmwFpo/edit?usp=sharing"",""ตรัง!I387"")+IMPORTRANGE(""https://docs.google.com/spreadsheets/d/1Dj4jcHCTV9JXKCaMoheSXS52JE63kDKyG7bPXnFogHk/edit?usp=shar"&amp;"ing"",""นครศรีธรรมราช!I387"")+IMPORTRANGE(""https://docs.google.com/spreadsheets/d/1iodCdmuK2GR3jzUwk8tpccY2JHQQA-87DLOtJP-ooyU/edit?usp=sharing"",""นราธิวาส!I387"")+IMPORTRANGE(""https://docs.google.com/spreadsheets/d/1SDNX3JhDdYRuIOsj0Wh2M-Qa_eaXl0NbWmh"&amp;"AOTbfQAs/edit?usp=sharing"",""ปัตตานี!I387"")+IMPORTRANGE(""https://docs.google.com/spreadsheets/d/16JDLGguT8s5DsGCND1KcwHP_AWR_zDMTqLHPLJUKhaU/edit?usp=sharing"",""พังงา!I387"")+IMPORTRANGE(""https://docs.google.com/spreadsheets/d/17ht0gPKzzT3PObBL1XJkeR"&amp;"mntBXI7wGjpLV7QorqlTk/edit?usp=sharing"",""พัทลุง!I387"")+IMPORTRANGE(""https://docs.google.com/spreadsheets/d/1rd4qoM1q_hsgaolqNGfrim9gbsoLxQsda4-vOz5x_BM/edit?usp=sharing"",""ภูเก็ต!I387"")+IMPORTRANGE(""https://docs.google.com/spreadsheets/d/1woKwKjgoL"&amp;"ssDvPcPeVyezB5izizAn4X1JDrys69n6xI/edit?usp=sharing"",""ยะลา!I387"")+IMPORTRANGE(""https://docs.google.com/spreadsheets/d/1qfrKjzMhm2HJfxQ-qVlJlJQ25Hne1d0khsySbZyGtPA/edit?usp=sharing"",""ระนอง!I387"")+IMPORTRANGE(""https://docs.google.com/spreadsheets/d/"&amp;"1IbSCnFOKpZsnFogBHJnL_isstZVaOMnFiIN0fGTPZZw/edit?usp=sharing"",""สงขลา!I387"")+IMPORTRANGE(""https://docs.google.com/spreadsheets/d/1q9nWasZJ-K8bFGvbE9n0qSRuKGA4Toe3Y89cKCiVtCU/edit?usp=sharing"",""สตูล!I387"")+IMPORTRANGE(""https://docs.google.com/sprea"&amp;"dsheets/d/18T20gbkS_WBjdscyTOV05cvq_JqvqQ17C81mpxf7Ncs/edit?usp=sharing"",""สุราษฎร์ธานี!I387"")"),0)</f>
        <v>0</v>
      </c>
      <c r="J387" s="330">
        <f ca="1">IFERROR(__xludf.DUMMYFUNCTION("IMPORTRANGE(""https://docs.google.com/spreadsheets/d/1kKUcYdkIfrgTSj8iHHHB2MD2FAtwyyocFgqGQn6ADyI/edit?usp=sharing"",""กระบี่!J387"")+IMPORTRANGE(""https://docs.google.com/spreadsheets/d/1GwtLaSlNZkLk7iDqcyZz22giiy40b_usZZBXYciEN1U/edit?usp=sharing"",""ชุ"&amp;"มพร!J387"")+IMPORTRANGE(""https://docs.google.com/spreadsheets/d/16pAz3pOhQEZBhvFNMa5KGgZS6iKWpsKX0pg6tQmwFpo/edit?usp=sharing"",""ตรัง!J387"")+IMPORTRANGE(""https://docs.google.com/spreadsheets/d/1Dj4jcHCTV9JXKCaMoheSXS52JE63kDKyG7bPXnFogHk/edit?usp=shar"&amp;"ing"",""นครศรีธรรมราช!J387"")+IMPORTRANGE(""https://docs.google.com/spreadsheets/d/1iodCdmuK2GR3jzUwk8tpccY2JHQQA-87DLOtJP-ooyU/edit?usp=sharing"",""นราธิวาส!J387"")+IMPORTRANGE(""https://docs.google.com/spreadsheets/d/1SDNX3JhDdYRuIOsj0Wh2M-Qa_eaXl0NbWmh"&amp;"AOTbfQAs/edit?usp=sharing"",""ปัตตานี!J387"")+IMPORTRANGE(""https://docs.google.com/spreadsheets/d/16JDLGguT8s5DsGCND1KcwHP_AWR_zDMTqLHPLJUKhaU/edit?usp=sharing"",""พังงา!J387"")+IMPORTRANGE(""https://docs.google.com/spreadsheets/d/17ht0gPKzzT3PObBL1XJkeR"&amp;"mntBXI7wGjpLV7QorqlTk/edit?usp=sharing"",""พัทลุง!J387"")+IMPORTRANGE(""https://docs.google.com/spreadsheets/d/1rd4qoM1q_hsgaolqNGfrim9gbsoLxQsda4-vOz5x_BM/edit?usp=sharing"",""ภูเก็ต!J387"")+IMPORTRANGE(""https://docs.google.com/spreadsheets/d/1woKwKjgoL"&amp;"ssDvPcPeVyezB5izizAn4X1JDrys69n6xI/edit?usp=sharing"",""ยะลา!J387"")+IMPORTRANGE(""https://docs.google.com/spreadsheets/d/1qfrKjzMhm2HJfxQ-qVlJlJQ25Hne1d0khsySbZyGtPA/edit?usp=sharing"",""ระนอง!J387"")+IMPORTRANGE(""https://docs.google.com/spreadsheets/d/"&amp;"1IbSCnFOKpZsnFogBHJnL_isstZVaOMnFiIN0fGTPZZw/edit?usp=sharing"",""สงขลา!J387"")+IMPORTRANGE(""https://docs.google.com/spreadsheets/d/1q9nWasZJ-K8bFGvbE9n0qSRuKGA4Toe3Y89cKCiVtCU/edit?usp=sharing"",""สตูล!J387"")+IMPORTRANGE(""https://docs.google.com/sprea"&amp;"dsheets/d/18T20gbkS_WBjdscyTOV05cvq_JqvqQ17C81mpxf7Ncs/edit?usp=sharing"",""สุราษฎร์ธานี!J387"")"),0)</f>
        <v>0</v>
      </c>
      <c r="K387" s="331">
        <f t="shared" ca="1" si="296"/>
        <v>0</v>
      </c>
      <c r="L387" s="332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326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kKUcYdkIfrgTSj8iHHHB2MD2FAtwyyocFgqGQn6ADyI/edit?usp=sharing"",""กระบี่!I388"")+IMPORTRANGE(""https://docs.google.com/spreadsheets/d/1GwtLaSlNZkLk7iDqcyZz22giiy40b_usZZBXYciEN1U/edit?usp=sharing"",""ชุ"&amp;"มพร!I388"")+IMPORTRANGE(""https://docs.google.com/spreadsheets/d/16pAz3pOhQEZBhvFNMa5KGgZS6iKWpsKX0pg6tQmwFpo/edit?usp=sharing"",""ตรัง!I388"")+IMPORTRANGE(""https://docs.google.com/spreadsheets/d/1Dj4jcHCTV9JXKCaMoheSXS52JE63kDKyG7bPXnFogHk/edit?usp=shar"&amp;"ing"",""นครศรีธรรมราช!I388"")+IMPORTRANGE(""https://docs.google.com/spreadsheets/d/1iodCdmuK2GR3jzUwk8tpccY2JHQQA-87DLOtJP-ooyU/edit?usp=sharing"",""นราธิวาส!I388"")+IMPORTRANGE(""https://docs.google.com/spreadsheets/d/1SDNX3JhDdYRuIOsj0Wh2M-Qa_eaXl0NbWmh"&amp;"AOTbfQAs/edit?usp=sharing"",""ปัตตานี!I388"")+IMPORTRANGE(""https://docs.google.com/spreadsheets/d/16JDLGguT8s5DsGCND1KcwHP_AWR_zDMTqLHPLJUKhaU/edit?usp=sharing"",""พังงา!I388"")+IMPORTRANGE(""https://docs.google.com/spreadsheets/d/17ht0gPKzzT3PObBL1XJkeR"&amp;"mntBXI7wGjpLV7QorqlTk/edit?usp=sharing"",""พัทลุง!I388"")+IMPORTRANGE(""https://docs.google.com/spreadsheets/d/1rd4qoM1q_hsgaolqNGfrim9gbsoLxQsda4-vOz5x_BM/edit?usp=sharing"",""ภูเก็ต!I388"")+IMPORTRANGE(""https://docs.google.com/spreadsheets/d/1woKwKjgoL"&amp;"ssDvPcPeVyezB5izizAn4X1JDrys69n6xI/edit?usp=sharing"",""ยะลา!I388"")+IMPORTRANGE(""https://docs.google.com/spreadsheets/d/1qfrKjzMhm2HJfxQ-qVlJlJQ25Hne1d0khsySbZyGtPA/edit?usp=sharing"",""ระนอง!I388"")+IMPORTRANGE(""https://docs.google.com/spreadsheets/d/"&amp;"1IbSCnFOKpZsnFogBHJnL_isstZVaOMnFiIN0fGTPZZw/edit?usp=sharing"",""สงขลา!I388"")+IMPORTRANGE(""https://docs.google.com/spreadsheets/d/1q9nWasZJ-K8bFGvbE9n0qSRuKGA4Toe3Y89cKCiVtCU/edit?usp=sharing"",""สตูล!I388"")+IMPORTRANGE(""https://docs.google.com/sprea"&amp;"dsheets/d/18T20gbkS_WBjdscyTOV05cvq_JqvqQ17C81mpxf7Ncs/edit?usp=sharing"",""สุราษฎร์ธานี!I388"")"),0)</f>
        <v>0</v>
      </c>
      <c r="J388" s="330">
        <f ca="1">IFERROR(__xludf.DUMMYFUNCTION("IMPORTRANGE(""https://docs.google.com/spreadsheets/d/1kKUcYdkIfrgTSj8iHHHB2MD2FAtwyyocFgqGQn6ADyI/edit?usp=sharing"",""กระบี่!J388"")+IMPORTRANGE(""https://docs.google.com/spreadsheets/d/1GwtLaSlNZkLk7iDqcyZz22giiy40b_usZZBXYciEN1U/edit?usp=sharing"",""ชุ"&amp;"มพร!J388"")+IMPORTRANGE(""https://docs.google.com/spreadsheets/d/16pAz3pOhQEZBhvFNMa5KGgZS6iKWpsKX0pg6tQmwFpo/edit?usp=sharing"",""ตรัง!J388"")+IMPORTRANGE(""https://docs.google.com/spreadsheets/d/1Dj4jcHCTV9JXKCaMoheSXS52JE63kDKyG7bPXnFogHk/edit?usp=shar"&amp;"ing"",""นครศรีธรรมราช!J388"")+IMPORTRANGE(""https://docs.google.com/spreadsheets/d/1iodCdmuK2GR3jzUwk8tpccY2JHQQA-87DLOtJP-ooyU/edit?usp=sharing"",""นราธิวาส!J388"")+IMPORTRANGE(""https://docs.google.com/spreadsheets/d/1SDNX3JhDdYRuIOsj0Wh2M-Qa_eaXl0NbWmh"&amp;"AOTbfQAs/edit?usp=sharing"",""ปัตตานี!J388"")+IMPORTRANGE(""https://docs.google.com/spreadsheets/d/16JDLGguT8s5DsGCND1KcwHP_AWR_zDMTqLHPLJUKhaU/edit?usp=sharing"",""พังงา!J388"")+IMPORTRANGE(""https://docs.google.com/spreadsheets/d/17ht0gPKzzT3PObBL1XJkeR"&amp;"mntBXI7wGjpLV7QorqlTk/edit?usp=sharing"",""พัทลุง!J388"")+IMPORTRANGE(""https://docs.google.com/spreadsheets/d/1rd4qoM1q_hsgaolqNGfrim9gbsoLxQsda4-vOz5x_BM/edit?usp=sharing"",""ภูเก็ต!J388"")+IMPORTRANGE(""https://docs.google.com/spreadsheets/d/1woKwKjgoL"&amp;"ssDvPcPeVyezB5izizAn4X1JDrys69n6xI/edit?usp=sharing"",""ยะลา!J388"")+IMPORTRANGE(""https://docs.google.com/spreadsheets/d/1qfrKjzMhm2HJfxQ-qVlJlJQ25Hne1d0khsySbZyGtPA/edit?usp=sharing"",""ระนอง!J388"")+IMPORTRANGE(""https://docs.google.com/spreadsheets/d/"&amp;"1IbSCnFOKpZsnFogBHJnL_isstZVaOMnFiIN0fGTPZZw/edit?usp=sharing"",""สงขลา!J388"")+IMPORTRANGE(""https://docs.google.com/spreadsheets/d/1q9nWasZJ-K8bFGvbE9n0qSRuKGA4Toe3Y89cKCiVtCU/edit?usp=sharing"",""สตูล!J388"")+IMPORTRANGE(""https://docs.google.com/sprea"&amp;"dsheets/d/18T20gbkS_WBjdscyTOV05cvq_JqvqQ17C81mpxf7Ncs/edit?usp=sharing"",""สุราษฎร์ธานี!J388"")"),0)</f>
        <v>0</v>
      </c>
      <c r="K388" s="331">
        <f t="shared" ca="1" si="296"/>
        <v>0</v>
      </c>
      <c r="L388" s="332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247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33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336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37">
        <f t="shared" ref="I391:J391" si="297">I402</f>
        <v>0</v>
      </c>
      <c r="J391" s="337">
        <f t="shared" si="297"/>
        <v>0</v>
      </c>
      <c r="K391" s="311">
        <f>IF(I391&gt;0,J391*100/I391,0)</f>
        <v>0</v>
      </c>
      <c r="L391" s="312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324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132">
        <f t="shared" ref="L392:N392" ca="1" si="298">L393+L394</f>
        <v>0</v>
      </c>
      <c r="M392" s="132">
        <f t="shared" ca="1" si="298"/>
        <v>0</v>
      </c>
      <c r="N392" s="132">
        <f t="shared" ca="1" si="298"/>
        <v>0</v>
      </c>
      <c r="O392" s="132">
        <f t="shared" ref="O392:O400" ca="1" si="299">IF(L392&gt;0,N392*100/L392,0)</f>
        <v>0</v>
      </c>
      <c r="P392" s="132">
        <f t="shared" ref="P392:P400" ca="1" si="300">IF(M392&gt;0,N392*100/M392,0)</f>
        <v>0</v>
      </c>
      <c r="Q392" s="132">
        <f t="shared" ref="Q392:S392" ca="1" si="301">Q393+Q394</f>
        <v>0</v>
      </c>
      <c r="R392" s="132">
        <f t="shared" ca="1" si="301"/>
        <v>0</v>
      </c>
      <c r="S392" s="132">
        <f t="shared" ca="1" si="301"/>
        <v>0</v>
      </c>
      <c r="T392" s="132">
        <f t="shared" ref="T392:T400" ca="1" si="302">IF(Q392&gt;0,S392*100/Q392,0)</f>
        <v>0</v>
      </c>
      <c r="U392" s="132">
        <f t="shared" ref="U392:U400" ca="1" si="303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9">
        <f t="shared" ref="L393:N393" ca="1" si="304">L396+L399</f>
        <v>0</v>
      </c>
      <c r="M393" s="49">
        <f t="shared" ca="1" si="304"/>
        <v>0</v>
      </c>
      <c r="N393" s="49">
        <f t="shared" ca="1" si="304"/>
        <v>0</v>
      </c>
      <c r="O393" s="49">
        <f t="shared" ca="1" si="299"/>
        <v>0</v>
      </c>
      <c r="P393" s="49">
        <f t="shared" ca="1" si="300"/>
        <v>0</v>
      </c>
      <c r="Q393" s="49">
        <f t="shared" ref="Q393:S393" ca="1" si="305">Q396+Q399</f>
        <v>0</v>
      </c>
      <c r="R393" s="49">
        <f t="shared" ca="1" si="305"/>
        <v>0</v>
      </c>
      <c r="S393" s="49">
        <f t="shared" ca="1" si="305"/>
        <v>0</v>
      </c>
      <c r="T393" s="49">
        <f t="shared" ca="1" si="302"/>
        <v>0</v>
      </c>
      <c r="U393" s="49">
        <f t="shared" ca="1" si="303"/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7">
        <f t="shared" ref="L394:N394" ca="1" si="306">L397+L400</f>
        <v>0</v>
      </c>
      <c r="M394" s="47">
        <f t="shared" ca="1" si="306"/>
        <v>0</v>
      </c>
      <c r="N394" s="47">
        <f t="shared" ca="1" si="306"/>
        <v>0</v>
      </c>
      <c r="O394" s="47">
        <f t="shared" ca="1" si="299"/>
        <v>0</v>
      </c>
      <c r="P394" s="47">
        <f t="shared" ca="1" si="300"/>
        <v>0</v>
      </c>
      <c r="Q394" s="47">
        <f t="shared" ref="Q394:S394" ca="1" si="307">Q397+Q400</f>
        <v>0</v>
      </c>
      <c r="R394" s="47">
        <f t="shared" ca="1" si="307"/>
        <v>0</v>
      </c>
      <c r="S394" s="47">
        <f t="shared" ca="1" si="307"/>
        <v>0</v>
      </c>
      <c r="T394" s="47">
        <f t="shared" ca="1" si="302"/>
        <v>0</v>
      </c>
      <c r="U394" s="47">
        <f t="shared" ca="1" si="303"/>
        <v>0</v>
      </c>
    </row>
    <row r="395" spans="1:21" ht="18.75" hidden="1" x14ac:dyDescent="0.25">
      <c r="A395" s="128"/>
      <c r="B395" s="159"/>
      <c r="C395" s="159"/>
      <c r="D395" s="161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7">
        <f t="shared" ref="L395:N395" ca="1" si="308">L396+L397</f>
        <v>0</v>
      </c>
      <c r="M395" s="47">
        <f t="shared" ca="1" si="308"/>
        <v>0</v>
      </c>
      <c r="N395" s="47">
        <f t="shared" ca="1" si="308"/>
        <v>0</v>
      </c>
      <c r="O395" s="47">
        <f t="shared" ca="1" si="299"/>
        <v>0</v>
      </c>
      <c r="P395" s="47">
        <f t="shared" ca="1" si="300"/>
        <v>0</v>
      </c>
      <c r="Q395" s="47">
        <f t="shared" ref="Q395:S395" ca="1" si="309">Q396+Q397</f>
        <v>0</v>
      </c>
      <c r="R395" s="47">
        <f t="shared" ca="1" si="309"/>
        <v>0</v>
      </c>
      <c r="S395" s="47">
        <f t="shared" ca="1" si="309"/>
        <v>0</v>
      </c>
      <c r="T395" s="47">
        <f t="shared" ca="1" si="302"/>
        <v>0</v>
      </c>
      <c r="U395" s="47">
        <f t="shared" ca="1" si="303"/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9">
        <f ca="1">IFERROR(__xludf.DUMMYFUNCTION("IMPORTRANGE(""https://docs.google.com/spreadsheets/d/1kKUcYdkIfrgTSj8iHHHB2MD2FAtwyyocFgqGQn6ADyI/edit?usp=sharing"",""กระบี่!L396"")+IMPORTRANGE(""https://docs.google.com/spreadsheets/d/1GwtLaSlNZkLk7iDqcyZz22giiy40b_usZZBXYciEN1U/edit?usp=sharing"",""ชุ"&amp;"มพร!L396"")+IMPORTRANGE(""https://docs.google.com/spreadsheets/d/16pAz3pOhQEZBhvFNMa5KGgZS6iKWpsKX0pg6tQmwFpo/edit?usp=sharing"",""ตรัง!L396"")+IMPORTRANGE(""https://docs.google.com/spreadsheets/d/1Dj4jcHCTV9JXKCaMoheSXS52JE63kDKyG7bPXnFogHk/edit?usp=shar"&amp;"ing"",""นครศรีธรรมราช!L396"")+IMPORTRANGE(""https://docs.google.com/spreadsheets/d/1iodCdmuK2GR3jzUwk8tpccY2JHQQA-87DLOtJP-ooyU/edit?usp=sharing"",""นราธิวาส!L396"")+IMPORTRANGE(""https://docs.google.com/spreadsheets/d/1SDNX3JhDdYRuIOsj0Wh2M-Qa_eaXl0NbWmh"&amp;"AOTbfQAs/edit?usp=sharing"",""ปัตตานี!L396"")+IMPORTRANGE(""https://docs.google.com/spreadsheets/d/16JDLGguT8s5DsGCND1KcwHP_AWR_zDMTqLHPLJUKhaU/edit?usp=sharing"",""พังงา!L396"")+IMPORTRANGE(""https://docs.google.com/spreadsheets/d/17ht0gPKzzT3PObBL1XJkeR"&amp;"mntBXI7wGjpLV7QorqlTk/edit?usp=sharing"",""พัทลุง!L396"")+IMPORTRANGE(""https://docs.google.com/spreadsheets/d/1rd4qoM1q_hsgaolqNGfrim9gbsoLxQsda4-vOz5x_BM/edit?usp=sharing"",""ภูเก็ต!L396"")+IMPORTRANGE(""https://docs.google.com/spreadsheets/d/1woKwKjgoL"&amp;"ssDvPcPeVyezB5izizAn4X1JDrys69n6xI/edit?usp=sharing"",""ยะลา!L396"")+IMPORTRANGE(""https://docs.google.com/spreadsheets/d/1qfrKjzMhm2HJfxQ-qVlJlJQ25Hne1d0khsySbZyGtPA/edit?usp=sharing"",""ระนอง!L396"")+IMPORTRANGE(""https://docs.google.com/spreadsheets/d/"&amp;"1IbSCnFOKpZsnFogBHJnL_isstZVaOMnFiIN0fGTPZZw/edit?usp=sharing"",""สงขลา!L396"")+IMPORTRANGE(""https://docs.google.com/spreadsheets/d/1q9nWasZJ-K8bFGvbE9n0qSRuKGA4Toe3Y89cKCiVtCU/edit?usp=sharing"",""สตูล!L396"")+IMPORTRANGE(""https://docs.google.com/sprea"&amp;"dsheets/d/18T20gbkS_WBjdscyTOV05cvq_JqvqQ17C81mpxf7Ncs/edit?usp=sharing"",""สุราษฎร์ธานี!L396"")"),0)</f>
        <v>0</v>
      </c>
      <c r="M396" s="49">
        <f ca="1">IFERROR(__xludf.DUMMYFUNCTION("IMPORTRANGE(""https://docs.google.com/spreadsheets/d/1kKUcYdkIfrgTSj8iHHHB2MD2FAtwyyocFgqGQn6ADyI/edit?usp=sharing"",""กระบี่!M396"")+IMPORTRANGE(""https://docs.google.com/spreadsheets/d/1GwtLaSlNZkLk7iDqcyZz22giiy40b_usZZBXYciEN1U/edit?usp=sharing"",""ชุ"&amp;"มพร!M396"")+IMPORTRANGE(""https://docs.google.com/spreadsheets/d/16pAz3pOhQEZBhvFNMa5KGgZS6iKWpsKX0pg6tQmwFpo/edit?usp=sharing"",""ตรัง!M396"")+IMPORTRANGE(""https://docs.google.com/spreadsheets/d/1Dj4jcHCTV9JXKCaMoheSXS52JE63kDKyG7bPXnFogHk/edit?usp=shar"&amp;"ing"",""นครศรีธรรมราช!M396"")+IMPORTRANGE(""https://docs.google.com/spreadsheets/d/1iodCdmuK2GR3jzUwk8tpccY2JHQQA-87DLOtJP-ooyU/edit?usp=sharing"",""นราธิวาส!M396"")+IMPORTRANGE(""https://docs.google.com/spreadsheets/d/1SDNX3JhDdYRuIOsj0Wh2M-Qa_eaXl0NbWmh"&amp;"AOTbfQAs/edit?usp=sharing"",""ปัตตานี!M396"")+IMPORTRANGE(""https://docs.google.com/spreadsheets/d/16JDLGguT8s5DsGCND1KcwHP_AWR_zDMTqLHPLJUKhaU/edit?usp=sharing"",""พังงา!M396"")+IMPORTRANGE(""https://docs.google.com/spreadsheets/d/17ht0gPKzzT3PObBL1XJkeR"&amp;"mntBXI7wGjpLV7QorqlTk/edit?usp=sharing"",""พัทลุง!M396"")+IMPORTRANGE(""https://docs.google.com/spreadsheets/d/1rd4qoM1q_hsgaolqNGfrim9gbsoLxQsda4-vOz5x_BM/edit?usp=sharing"",""ภูเก็ต!M396"")+IMPORTRANGE(""https://docs.google.com/spreadsheets/d/1woKwKjgoL"&amp;"ssDvPcPeVyezB5izizAn4X1JDrys69n6xI/edit?usp=sharing"",""ยะลา!M396"")+IMPORTRANGE(""https://docs.google.com/spreadsheets/d/1qfrKjzMhm2HJfxQ-qVlJlJQ25Hne1d0khsySbZyGtPA/edit?usp=sharing"",""ระนอง!M396"")+IMPORTRANGE(""https://docs.google.com/spreadsheets/d/"&amp;"1IbSCnFOKpZsnFogBHJnL_isstZVaOMnFiIN0fGTPZZw/edit?usp=sharing"",""สงขลา!M396"")+IMPORTRANGE(""https://docs.google.com/spreadsheets/d/1q9nWasZJ-K8bFGvbE9n0qSRuKGA4Toe3Y89cKCiVtCU/edit?usp=sharing"",""สตูล!M396"")+IMPORTRANGE(""https://docs.google.com/sprea"&amp;"dsheets/d/18T20gbkS_WBjdscyTOV05cvq_JqvqQ17C81mpxf7Ncs/edit?usp=sharing"",""สุราษฎร์ธานี!M396"")"),0)</f>
        <v>0</v>
      </c>
      <c r="N396" s="49">
        <f ca="1">IFERROR(__xludf.DUMMYFUNCTION("IMPORTRANGE(""https://docs.google.com/spreadsheets/d/1kKUcYdkIfrgTSj8iHHHB2MD2FAtwyyocFgqGQn6ADyI/edit?usp=sharing"",""กระบี่!N396"")+IMPORTRANGE(""https://docs.google.com/spreadsheets/d/1GwtLaSlNZkLk7iDqcyZz22giiy40b_usZZBXYciEN1U/edit?usp=sharing"",""ชุ"&amp;"มพร!N396"")+IMPORTRANGE(""https://docs.google.com/spreadsheets/d/16pAz3pOhQEZBhvFNMa5KGgZS6iKWpsKX0pg6tQmwFpo/edit?usp=sharing"",""ตรัง!N396"")+IMPORTRANGE(""https://docs.google.com/spreadsheets/d/1Dj4jcHCTV9JXKCaMoheSXS52JE63kDKyG7bPXnFogHk/edit?usp=shar"&amp;"ing"",""นครศรีธรรมราช!N396"")+IMPORTRANGE(""https://docs.google.com/spreadsheets/d/1iodCdmuK2GR3jzUwk8tpccY2JHQQA-87DLOtJP-ooyU/edit?usp=sharing"",""นราธิวาส!N396"")+IMPORTRANGE(""https://docs.google.com/spreadsheets/d/1SDNX3JhDdYRuIOsj0Wh2M-Qa_eaXl0NbWmh"&amp;"AOTbfQAs/edit?usp=sharing"",""ปัตตานี!N396"")+IMPORTRANGE(""https://docs.google.com/spreadsheets/d/16JDLGguT8s5DsGCND1KcwHP_AWR_zDMTqLHPLJUKhaU/edit?usp=sharing"",""พังงา!N396"")+IMPORTRANGE(""https://docs.google.com/spreadsheets/d/17ht0gPKzzT3PObBL1XJkeR"&amp;"mntBXI7wGjpLV7QorqlTk/edit?usp=sharing"",""พัทลุง!N396"")+IMPORTRANGE(""https://docs.google.com/spreadsheets/d/1rd4qoM1q_hsgaolqNGfrim9gbsoLxQsda4-vOz5x_BM/edit?usp=sharing"",""ภูเก็ต!N396"")+IMPORTRANGE(""https://docs.google.com/spreadsheets/d/1woKwKjgoL"&amp;"ssDvPcPeVyezB5izizAn4X1JDrys69n6xI/edit?usp=sharing"",""ยะลา!N396"")+IMPORTRANGE(""https://docs.google.com/spreadsheets/d/1qfrKjzMhm2HJfxQ-qVlJlJQ25Hne1d0khsySbZyGtPA/edit?usp=sharing"",""ระนอง!N396"")+IMPORTRANGE(""https://docs.google.com/spreadsheets/d/"&amp;"1IbSCnFOKpZsnFogBHJnL_isstZVaOMnFiIN0fGTPZZw/edit?usp=sharing"",""สงขลา!N396"")+IMPORTRANGE(""https://docs.google.com/spreadsheets/d/1q9nWasZJ-K8bFGvbE9n0qSRuKGA4Toe3Y89cKCiVtCU/edit?usp=sharing"",""สตูล!N396"")+IMPORTRANGE(""https://docs.google.com/sprea"&amp;"dsheets/d/18T20gbkS_WBjdscyTOV05cvq_JqvqQ17C81mpxf7Ncs/edit?usp=sharing"",""สุราษฎร์ธานี!N396"")"),0)</f>
        <v>0</v>
      </c>
      <c r="O396" s="49">
        <f t="shared" ca="1" si="299"/>
        <v>0</v>
      </c>
      <c r="P396" s="49">
        <f t="shared" ca="1" si="300"/>
        <v>0</v>
      </c>
      <c r="Q396" s="49">
        <f ca="1">IFERROR(__xludf.DUMMYFUNCTION("IMPORTRANGE(""https://docs.google.com/spreadsheets/d/1kKUcYdkIfrgTSj8iHHHB2MD2FAtwyyocFgqGQn6ADyI/edit?usp=sharing"",""กระบี่!Q396"")+IMPORTRANGE(""https://docs.google.com/spreadsheets/d/1GwtLaSlNZkLk7iDqcyZz22giiy40b_usZZBXYciEN1U/edit?usp=sharing"",""ชุ"&amp;"มพร!Q396"")+IMPORTRANGE(""https://docs.google.com/spreadsheets/d/16pAz3pOhQEZBhvFNMa5KGgZS6iKWpsKX0pg6tQmwFpo/edit?usp=sharing"",""ตรัง!Q396"")+IMPORTRANGE(""https://docs.google.com/spreadsheets/d/1Dj4jcHCTV9JXKCaMoheSXS52JE63kDKyG7bPXnFogHk/edit?usp=shar"&amp;"ing"",""นครศรีธรรมราช!Q396"")+IMPORTRANGE(""https://docs.google.com/spreadsheets/d/1iodCdmuK2GR3jzUwk8tpccY2JHQQA-87DLOtJP-ooyU/edit?usp=sharing"",""นราธิวาส!Q396"")+IMPORTRANGE(""https://docs.google.com/spreadsheets/d/1SDNX3JhDdYRuIOsj0Wh2M-Qa_eaXl0NbWmh"&amp;"AOTbfQAs/edit?usp=sharing"",""ปัตตานี!Q396"")+IMPORTRANGE(""https://docs.google.com/spreadsheets/d/16JDLGguT8s5DsGCND1KcwHP_AWR_zDMTqLHPLJUKhaU/edit?usp=sharing"",""พังงา!Q396"")+IMPORTRANGE(""https://docs.google.com/spreadsheets/d/17ht0gPKzzT3PObBL1XJkeR"&amp;"mntBXI7wGjpLV7QorqlTk/edit?usp=sharing"",""พัทลุง!Q396"")+IMPORTRANGE(""https://docs.google.com/spreadsheets/d/1rd4qoM1q_hsgaolqNGfrim9gbsoLxQsda4-vOz5x_BM/edit?usp=sharing"",""ภูเก็ต!Q396"")+IMPORTRANGE(""https://docs.google.com/spreadsheets/d/1woKwKjgoL"&amp;"ssDvPcPeVyezB5izizAn4X1JDrys69n6xI/edit?usp=sharing"",""ยะลา!Q396"")+IMPORTRANGE(""https://docs.google.com/spreadsheets/d/1qfrKjzMhm2HJfxQ-qVlJlJQ25Hne1d0khsySbZyGtPA/edit?usp=sharing"",""ระนอง!Q396"")+IMPORTRANGE(""https://docs.google.com/spreadsheets/d/"&amp;"1IbSCnFOKpZsnFogBHJnL_isstZVaOMnFiIN0fGTPZZw/edit?usp=sharing"",""สงขลา!Q396"")+IMPORTRANGE(""https://docs.google.com/spreadsheets/d/1q9nWasZJ-K8bFGvbE9n0qSRuKGA4Toe3Y89cKCiVtCU/edit?usp=sharing"",""สตูล!Q396"")+IMPORTRANGE(""https://docs.google.com/sprea"&amp;"dsheets/d/18T20gbkS_WBjdscyTOV05cvq_JqvqQ17C81mpxf7Ncs/edit?usp=sharing"",""สุราษฎร์ธานี!Q396"")"),0)</f>
        <v>0</v>
      </c>
      <c r="R396" s="49">
        <f ca="1">IFERROR(__xludf.DUMMYFUNCTION("IMPORTRANGE(""https://docs.google.com/spreadsheets/d/1kKUcYdkIfrgTSj8iHHHB2MD2FAtwyyocFgqGQn6ADyI/edit?usp=sharing"",""กระบี่!R396"")+IMPORTRANGE(""https://docs.google.com/spreadsheets/d/1GwtLaSlNZkLk7iDqcyZz22giiy40b_usZZBXYciEN1U/edit?usp=sharing"",""ชุ"&amp;"มพร!R396"")+IMPORTRANGE(""https://docs.google.com/spreadsheets/d/16pAz3pOhQEZBhvFNMa5KGgZS6iKWpsKX0pg6tQmwFpo/edit?usp=sharing"",""ตรัง!R396"")+IMPORTRANGE(""https://docs.google.com/spreadsheets/d/1Dj4jcHCTV9JXKCaMoheSXS52JE63kDKyG7bPXnFogHk/edit?usp=shar"&amp;"ing"",""นครศรีธรรมราช!R396"")+IMPORTRANGE(""https://docs.google.com/spreadsheets/d/1iodCdmuK2GR3jzUwk8tpccY2JHQQA-87DLOtJP-ooyU/edit?usp=sharing"",""นราธิวาส!R396"")+IMPORTRANGE(""https://docs.google.com/spreadsheets/d/1SDNX3JhDdYRuIOsj0Wh2M-Qa_eaXl0NbWmh"&amp;"AOTbfQAs/edit?usp=sharing"",""ปัตตานี!R396"")+IMPORTRANGE(""https://docs.google.com/spreadsheets/d/16JDLGguT8s5DsGCND1KcwHP_AWR_zDMTqLHPLJUKhaU/edit?usp=sharing"",""พังงา!R396"")+IMPORTRANGE(""https://docs.google.com/spreadsheets/d/17ht0gPKzzT3PObBL1XJkeR"&amp;"mntBXI7wGjpLV7QorqlTk/edit?usp=sharing"",""พัทลุง!R396"")+IMPORTRANGE(""https://docs.google.com/spreadsheets/d/1rd4qoM1q_hsgaolqNGfrim9gbsoLxQsda4-vOz5x_BM/edit?usp=sharing"",""ภูเก็ต!R396"")+IMPORTRANGE(""https://docs.google.com/spreadsheets/d/1woKwKjgoL"&amp;"ssDvPcPeVyezB5izizAn4X1JDrys69n6xI/edit?usp=sharing"",""ยะลา!R396"")+IMPORTRANGE(""https://docs.google.com/spreadsheets/d/1qfrKjzMhm2HJfxQ-qVlJlJQ25Hne1d0khsySbZyGtPA/edit?usp=sharing"",""ระนอง!R396"")+IMPORTRANGE(""https://docs.google.com/spreadsheets/d/"&amp;"1IbSCnFOKpZsnFogBHJnL_isstZVaOMnFiIN0fGTPZZw/edit?usp=sharing"",""สงขลา!R396"")+IMPORTRANGE(""https://docs.google.com/spreadsheets/d/1q9nWasZJ-K8bFGvbE9n0qSRuKGA4Toe3Y89cKCiVtCU/edit?usp=sharing"",""สตูล!R396"")+IMPORTRANGE(""https://docs.google.com/sprea"&amp;"dsheets/d/18T20gbkS_WBjdscyTOV05cvq_JqvqQ17C81mpxf7Ncs/edit?usp=sharing"",""สุราษฎร์ธานี!R396"")"),0)</f>
        <v>0</v>
      </c>
      <c r="S396" s="49">
        <f ca="1">IFERROR(__xludf.DUMMYFUNCTION("IMPORTRANGE(""https://docs.google.com/spreadsheets/d/1kKUcYdkIfrgTSj8iHHHB2MD2FAtwyyocFgqGQn6ADyI/edit?usp=sharing"",""กระบี่!S396"")+IMPORTRANGE(""https://docs.google.com/spreadsheets/d/1GwtLaSlNZkLk7iDqcyZz22giiy40b_usZZBXYciEN1U/edit?usp=sharing"",""ชุ"&amp;"มพร!S396"")+IMPORTRANGE(""https://docs.google.com/spreadsheets/d/16pAz3pOhQEZBhvFNMa5KGgZS6iKWpsKX0pg6tQmwFpo/edit?usp=sharing"",""ตรัง!S396"")+IMPORTRANGE(""https://docs.google.com/spreadsheets/d/1Dj4jcHCTV9JXKCaMoheSXS52JE63kDKyG7bPXnFogHk/edit?usp=shar"&amp;"ing"",""นครศรีธรรมราช!S396"")+IMPORTRANGE(""https://docs.google.com/spreadsheets/d/1iodCdmuK2GR3jzUwk8tpccY2JHQQA-87DLOtJP-ooyU/edit?usp=sharing"",""นราธิวาส!S396"")+IMPORTRANGE(""https://docs.google.com/spreadsheets/d/1SDNX3JhDdYRuIOsj0Wh2M-Qa_eaXl0NbWmh"&amp;"AOTbfQAs/edit?usp=sharing"",""ปัตตานี!S396"")+IMPORTRANGE(""https://docs.google.com/spreadsheets/d/16JDLGguT8s5DsGCND1KcwHP_AWR_zDMTqLHPLJUKhaU/edit?usp=sharing"",""พังงา!S396"")+IMPORTRANGE(""https://docs.google.com/spreadsheets/d/17ht0gPKzzT3PObBL1XJkeR"&amp;"mntBXI7wGjpLV7QorqlTk/edit?usp=sharing"",""พัทลุง!S396"")+IMPORTRANGE(""https://docs.google.com/spreadsheets/d/1rd4qoM1q_hsgaolqNGfrim9gbsoLxQsda4-vOz5x_BM/edit?usp=sharing"",""ภูเก็ต!S396"")+IMPORTRANGE(""https://docs.google.com/spreadsheets/d/1woKwKjgoL"&amp;"ssDvPcPeVyezB5izizAn4X1JDrys69n6xI/edit?usp=sharing"",""ยะลา!S396"")+IMPORTRANGE(""https://docs.google.com/spreadsheets/d/1qfrKjzMhm2HJfxQ-qVlJlJQ25Hne1d0khsySbZyGtPA/edit?usp=sharing"",""ระนอง!S396"")+IMPORTRANGE(""https://docs.google.com/spreadsheets/d/"&amp;"1IbSCnFOKpZsnFogBHJnL_isstZVaOMnFiIN0fGTPZZw/edit?usp=sharing"",""สงขลา!S396"")+IMPORTRANGE(""https://docs.google.com/spreadsheets/d/1q9nWasZJ-K8bFGvbE9n0qSRuKGA4Toe3Y89cKCiVtCU/edit?usp=sharing"",""สตูล!S396"")+IMPORTRANGE(""https://docs.google.com/sprea"&amp;"dsheets/d/18T20gbkS_WBjdscyTOV05cvq_JqvqQ17C81mpxf7Ncs/edit?usp=sharing"",""สุราษฎร์ธานี!S396"")"),0)</f>
        <v>0</v>
      </c>
      <c r="T396" s="49">
        <f t="shared" ca="1" si="302"/>
        <v>0</v>
      </c>
      <c r="U396" s="49">
        <f t="shared" ca="1" si="303"/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7">
        <f ca="1">IFERROR(__xludf.DUMMYFUNCTION("IMPORTRANGE(""https://docs.google.com/spreadsheets/d/1kKUcYdkIfrgTSj8iHHHB2MD2FAtwyyocFgqGQn6ADyI/edit?usp=sharing"",""กระบี่!L397"")+IMPORTRANGE(""https://docs.google.com/spreadsheets/d/1GwtLaSlNZkLk7iDqcyZz22giiy40b_usZZBXYciEN1U/edit?usp=sharing"",""ชุ"&amp;"มพร!L397"")+IMPORTRANGE(""https://docs.google.com/spreadsheets/d/16pAz3pOhQEZBhvFNMa5KGgZS6iKWpsKX0pg6tQmwFpo/edit?usp=sharing"",""ตรัง!L397"")+IMPORTRANGE(""https://docs.google.com/spreadsheets/d/1Dj4jcHCTV9JXKCaMoheSXS52JE63kDKyG7bPXnFogHk/edit?usp=shar"&amp;"ing"",""นครศรีธรรมราช!L397"")+IMPORTRANGE(""https://docs.google.com/spreadsheets/d/1iodCdmuK2GR3jzUwk8tpccY2JHQQA-87DLOtJP-ooyU/edit?usp=sharing"",""นราธิวาส!L397"")+IMPORTRANGE(""https://docs.google.com/spreadsheets/d/1SDNX3JhDdYRuIOsj0Wh2M-Qa_eaXl0NbWmh"&amp;"AOTbfQAs/edit?usp=sharing"",""ปัตตานี!L397"")+IMPORTRANGE(""https://docs.google.com/spreadsheets/d/16JDLGguT8s5DsGCND1KcwHP_AWR_zDMTqLHPLJUKhaU/edit?usp=sharing"",""พังงา!L397"")+IMPORTRANGE(""https://docs.google.com/spreadsheets/d/17ht0gPKzzT3PObBL1XJkeR"&amp;"mntBXI7wGjpLV7QorqlTk/edit?usp=sharing"",""พัทลุง!L397"")+IMPORTRANGE(""https://docs.google.com/spreadsheets/d/1rd4qoM1q_hsgaolqNGfrim9gbsoLxQsda4-vOz5x_BM/edit?usp=sharing"",""ภูเก็ต!L397"")+IMPORTRANGE(""https://docs.google.com/spreadsheets/d/1woKwKjgoL"&amp;"ssDvPcPeVyezB5izizAn4X1JDrys69n6xI/edit?usp=sharing"",""ยะลา!L397"")+IMPORTRANGE(""https://docs.google.com/spreadsheets/d/1qfrKjzMhm2HJfxQ-qVlJlJQ25Hne1d0khsySbZyGtPA/edit?usp=sharing"",""ระนอง!L397"")+IMPORTRANGE(""https://docs.google.com/spreadsheets/d/"&amp;"1IbSCnFOKpZsnFogBHJnL_isstZVaOMnFiIN0fGTPZZw/edit?usp=sharing"",""สงขลา!L397"")+IMPORTRANGE(""https://docs.google.com/spreadsheets/d/1q9nWasZJ-K8bFGvbE9n0qSRuKGA4Toe3Y89cKCiVtCU/edit?usp=sharing"",""สตูล!L397"")+IMPORTRANGE(""https://docs.google.com/sprea"&amp;"dsheets/d/18T20gbkS_WBjdscyTOV05cvq_JqvqQ17C81mpxf7Ncs/edit?usp=sharing"",""สุราษฎร์ธานี!L397"")"),0)</f>
        <v>0</v>
      </c>
      <c r="M397" s="47">
        <f ca="1">IFERROR(__xludf.DUMMYFUNCTION("IMPORTRANGE(""https://docs.google.com/spreadsheets/d/1kKUcYdkIfrgTSj8iHHHB2MD2FAtwyyocFgqGQn6ADyI/edit?usp=sharing"",""กระบี่!M397"")+IMPORTRANGE(""https://docs.google.com/spreadsheets/d/1GwtLaSlNZkLk7iDqcyZz22giiy40b_usZZBXYciEN1U/edit?usp=sharing"",""ชุ"&amp;"มพร!M397"")+IMPORTRANGE(""https://docs.google.com/spreadsheets/d/16pAz3pOhQEZBhvFNMa5KGgZS6iKWpsKX0pg6tQmwFpo/edit?usp=sharing"",""ตรัง!M397"")+IMPORTRANGE(""https://docs.google.com/spreadsheets/d/1Dj4jcHCTV9JXKCaMoheSXS52JE63kDKyG7bPXnFogHk/edit?usp=shar"&amp;"ing"",""นครศรีธรรมราช!M397"")+IMPORTRANGE(""https://docs.google.com/spreadsheets/d/1iodCdmuK2GR3jzUwk8tpccY2JHQQA-87DLOtJP-ooyU/edit?usp=sharing"",""นราธิวาส!M397"")+IMPORTRANGE(""https://docs.google.com/spreadsheets/d/1SDNX3JhDdYRuIOsj0Wh2M-Qa_eaXl0NbWmh"&amp;"AOTbfQAs/edit?usp=sharing"",""ปัตตานี!M397"")+IMPORTRANGE(""https://docs.google.com/spreadsheets/d/16JDLGguT8s5DsGCND1KcwHP_AWR_zDMTqLHPLJUKhaU/edit?usp=sharing"",""พังงา!M397"")+IMPORTRANGE(""https://docs.google.com/spreadsheets/d/17ht0gPKzzT3PObBL1XJkeR"&amp;"mntBXI7wGjpLV7QorqlTk/edit?usp=sharing"",""พัทลุง!M397"")+IMPORTRANGE(""https://docs.google.com/spreadsheets/d/1rd4qoM1q_hsgaolqNGfrim9gbsoLxQsda4-vOz5x_BM/edit?usp=sharing"",""ภูเก็ต!M397"")+IMPORTRANGE(""https://docs.google.com/spreadsheets/d/1woKwKjgoL"&amp;"ssDvPcPeVyezB5izizAn4X1JDrys69n6xI/edit?usp=sharing"",""ยะลา!M397"")+IMPORTRANGE(""https://docs.google.com/spreadsheets/d/1qfrKjzMhm2HJfxQ-qVlJlJQ25Hne1d0khsySbZyGtPA/edit?usp=sharing"",""ระนอง!M397"")+IMPORTRANGE(""https://docs.google.com/spreadsheets/d/"&amp;"1IbSCnFOKpZsnFogBHJnL_isstZVaOMnFiIN0fGTPZZw/edit?usp=sharing"",""สงขลา!M397"")+IMPORTRANGE(""https://docs.google.com/spreadsheets/d/1q9nWasZJ-K8bFGvbE9n0qSRuKGA4Toe3Y89cKCiVtCU/edit?usp=sharing"",""สตูล!M397"")+IMPORTRANGE(""https://docs.google.com/sprea"&amp;"dsheets/d/18T20gbkS_WBjdscyTOV05cvq_JqvqQ17C81mpxf7Ncs/edit?usp=sharing"",""สุราษฎร์ธานี!M397"")"),0)</f>
        <v>0</v>
      </c>
      <c r="N397" s="47">
        <f ca="1">IFERROR(__xludf.DUMMYFUNCTION("IMPORTRANGE(""https://docs.google.com/spreadsheets/d/1kKUcYdkIfrgTSj8iHHHB2MD2FAtwyyocFgqGQn6ADyI/edit?usp=sharing"",""กระบี่!N397"")+IMPORTRANGE(""https://docs.google.com/spreadsheets/d/1GwtLaSlNZkLk7iDqcyZz22giiy40b_usZZBXYciEN1U/edit?usp=sharing"",""ชุ"&amp;"มพร!N397"")+IMPORTRANGE(""https://docs.google.com/spreadsheets/d/16pAz3pOhQEZBhvFNMa5KGgZS6iKWpsKX0pg6tQmwFpo/edit?usp=sharing"",""ตรัง!N397"")+IMPORTRANGE(""https://docs.google.com/spreadsheets/d/1Dj4jcHCTV9JXKCaMoheSXS52JE63kDKyG7bPXnFogHk/edit?usp=shar"&amp;"ing"",""นครศรีธรรมราช!N397"")+IMPORTRANGE(""https://docs.google.com/spreadsheets/d/1iodCdmuK2GR3jzUwk8tpccY2JHQQA-87DLOtJP-ooyU/edit?usp=sharing"",""นราธิวาส!N397"")+IMPORTRANGE(""https://docs.google.com/spreadsheets/d/1SDNX3JhDdYRuIOsj0Wh2M-Qa_eaXl0NbWmh"&amp;"AOTbfQAs/edit?usp=sharing"",""ปัตตานี!N397"")+IMPORTRANGE(""https://docs.google.com/spreadsheets/d/16JDLGguT8s5DsGCND1KcwHP_AWR_zDMTqLHPLJUKhaU/edit?usp=sharing"",""พังงา!N397"")+IMPORTRANGE(""https://docs.google.com/spreadsheets/d/17ht0gPKzzT3PObBL1XJkeR"&amp;"mntBXI7wGjpLV7QorqlTk/edit?usp=sharing"",""พัทลุง!N397"")+IMPORTRANGE(""https://docs.google.com/spreadsheets/d/1rd4qoM1q_hsgaolqNGfrim9gbsoLxQsda4-vOz5x_BM/edit?usp=sharing"",""ภูเก็ต!N397"")+IMPORTRANGE(""https://docs.google.com/spreadsheets/d/1woKwKjgoL"&amp;"ssDvPcPeVyezB5izizAn4X1JDrys69n6xI/edit?usp=sharing"",""ยะลา!N397"")+IMPORTRANGE(""https://docs.google.com/spreadsheets/d/1qfrKjzMhm2HJfxQ-qVlJlJQ25Hne1d0khsySbZyGtPA/edit?usp=sharing"",""ระนอง!N397"")+IMPORTRANGE(""https://docs.google.com/spreadsheets/d/"&amp;"1IbSCnFOKpZsnFogBHJnL_isstZVaOMnFiIN0fGTPZZw/edit?usp=sharing"",""สงขลา!N397"")+IMPORTRANGE(""https://docs.google.com/spreadsheets/d/1q9nWasZJ-K8bFGvbE9n0qSRuKGA4Toe3Y89cKCiVtCU/edit?usp=sharing"",""สตูล!N397"")+IMPORTRANGE(""https://docs.google.com/sprea"&amp;"dsheets/d/18T20gbkS_WBjdscyTOV05cvq_JqvqQ17C81mpxf7Ncs/edit?usp=sharing"",""สุราษฎร์ธานี!N397"")"),0)</f>
        <v>0</v>
      </c>
      <c r="O397" s="47">
        <f t="shared" ca="1" si="299"/>
        <v>0</v>
      </c>
      <c r="P397" s="47">
        <f t="shared" ca="1" si="300"/>
        <v>0</v>
      </c>
      <c r="Q397" s="47">
        <f ca="1">IFERROR(__xludf.DUMMYFUNCTION("IMPORTRANGE(""https://docs.google.com/spreadsheets/d/1kKUcYdkIfrgTSj8iHHHB2MD2FAtwyyocFgqGQn6ADyI/edit?usp=sharing"",""กระบี่!Q397"")+IMPORTRANGE(""https://docs.google.com/spreadsheets/d/1GwtLaSlNZkLk7iDqcyZz22giiy40b_usZZBXYciEN1U/edit?usp=sharing"",""ชุ"&amp;"มพร!Q397"")+IMPORTRANGE(""https://docs.google.com/spreadsheets/d/16pAz3pOhQEZBhvFNMa5KGgZS6iKWpsKX0pg6tQmwFpo/edit?usp=sharing"",""ตรัง!Q397"")+IMPORTRANGE(""https://docs.google.com/spreadsheets/d/1Dj4jcHCTV9JXKCaMoheSXS52JE63kDKyG7bPXnFogHk/edit?usp=shar"&amp;"ing"",""นครศรีธรรมราช!Q397"")+IMPORTRANGE(""https://docs.google.com/spreadsheets/d/1iodCdmuK2GR3jzUwk8tpccY2JHQQA-87DLOtJP-ooyU/edit?usp=sharing"",""นราธิวาส!Q397"")+IMPORTRANGE(""https://docs.google.com/spreadsheets/d/1SDNX3JhDdYRuIOsj0Wh2M-Qa_eaXl0NbWmh"&amp;"AOTbfQAs/edit?usp=sharing"",""ปัตตานี!Q397"")+IMPORTRANGE(""https://docs.google.com/spreadsheets/d/16JDLGguT8s5DsGCND1KcwHP_AWR_zDMTqLHPLJUKhaU/edit?usp=sharing"",""พังงา!Q397"")+IMPORTRANGE(""https://docs.google.com/spreadsheets/d/17ht0gPKzzT3PObBL1XJkeR"&amp;"mntBXI7wGjpLV7QorqlTk/edit?usp=sharing"",""พัทลุง!Q397"")+IMPORTRANGE(""https://docs.google.com/spreadsheets/d/1rd4qoM1q_hsgaolqNGfrim9gbsoLxQsda4-vOz5x_BM/edit?usp=sharing"",""ภูเก็ต!Q397"")+IMPORTRANGE(""https://docs.google.com/spreadsheets/d/1woKwKjgoL"&amp;"ssDvPcPeVyezB5izizAn4X1JDrys69n6xI/edit?usp=sharing"",""ยะลา!Q397"")+IMPORTRANGE(""https://docs.google.com/spreadsheets/d/1qfrKjzMhm2HJfxQ-qVlJlJQ25Hne1d0khsySbZyGtPA/edit?usp=sharing"",""ระนอง!Q397"")+IMPORTRANGE(""https://docs.google.com/spreadsheets/d/"&amp;"1IbSCnFOKpZsnFogBHJnL_isstZVaOMnFiIN0fGTPZZw/edit?usp=sharing"",""สงขลา!Q397"")+IMPORTRANGE(""https://docs.google.com/spreadsheets/d/1q9nWasZJ-K8bFGvbE9n0qSRuKGA4Toe3Y89cKCiVtCU/edit?usp=sharing"",""สตูล!Q397"")+IMPORTRANGE(""https://docs.google.com/sprea"&amp;"dsheets/d/18T20gbkS_WBjdscyTOV05cvq_JqvqQ17C81mpxf7Ncs/edit?usp=sharing"",""สุราษฎร์ธานี!Q397"")"),0)</f>
        <v>0</v>
      </c>
      <c r="R397" s="47">
        <f ca="1">IFERROR(__xludf.DUMMYFUNCTION("IMPORTRANGE(""https://docs.google.com/spreadsheets/d/1kKUcYdkIfrgTSj8iHHHB2MD2FAtwyyocFgqGQn6ADyI/edit?usp=sharing"",""กระบี่!R397"")+IMPORTRANGE(""https://docs.google.com/spreadsheets/d/1GwtLaSlNZkLk7iDqcyZz22giiy40b_usZZBXYciEN1U/edit?usp=sharing"",""ชุ"&amp;"มพร!R397"")+IMPORTRANGE(""https://docs.google.com/spreadsheets/d/16pAz3pOhQEZBhvFNMa5KGgZS6iKWpsKX0pg6tQmwFpo/edit?usp=sharing"",""ตรัง!R397"")+IMPORTRANGE(""https://docs.google.com/spreadsheets/d/1Dj4jcHCTV9JXKCaMoheSXS52JE63kDKyG7bPXnFogHk/edit?usp=shar"&amp;"ing"",""นครศรีธรรมราช!R397"")+IMPORTRANGE(""https://docs.google.com/spreadsheets/d/1iodCdmuK2GR3jzUwk8tpccY2JHQQA-87DLOtJP-ooyU/edit?usp=sharing"",""นราธิวาส!R397"")+IMPORTRANGE(""https://docs.google.com/spreadsheets/d/1SDNX3JhDdYRuIOsj0Wh2M-Qa_eaXl0NbWmh"&amp;"AOTbfQAs/edit?usp=sharing"",""ปัตตานี!R397"")+IMPORTRANGE(""https://docs.google.com/spreadsheets/d/16JDLGguT8s5DsGCND1KcwHP_AWR_zDMTqLHPLJUKhaU/edit?usp=sharing"",""พังงา!R397"")+IMPORTRANGE(""https://docs.google.com/spreadsheets/d/17ht0gPKzzT3PObBL1XJkeR"&amp;"mntBXI7wGjpLV7QorqlTk/edit?usp=sharing"",""พัทลุง!R397"")+IMPORTRANGE(""https://docs.google.com/spreadsheets/d/1rd4qoM1q_hsgaolqNGfrim9gbsoLxQsda4-vOz5x_BM/edit?usp=sharing"",""ภูเก็ต!R397"")+IMPORTRANGE(""https://docs.google.com/spreadsheets/d/1woKwKjgoL"&amp;"ssDvPcPeVyezB5izizAn4X1JDrys69n6xI/edit?usp=sharing"",""ยะลา!R397"")+IMPORTRANGE(""https://docs.google.com/spreadsheets/d/1qfrKjzMhm2HJfxQ-qVlJlJQ25Hne1d0khsySbZyGtPA/edit?usp=sharing"",""ระนอง!R397"")+IMPORTRANGE(""https://docs.google.com/spreadsheets/d/"&amp;"1IbSCnFOKpZsnFogBHJnL_isstZVaOMnFiIN0fGTPZZw/edit?usp=sharing"",""สงขลา!R397"")+IMPORTRANGE(""https://docs.google.com/spreadsheets/d/1q9nWasZJ-K8bFGvbE9n0qSRuKGA4Toe3Y89cKCiVtCU/edit?usp=sharing"",""สตูล!R397"")+IMPORTRANGE(""https://docs.google.com/sprea"&amp;"dsheets/d/18T20gbkS_WBjdscyTOV05cvq_JqvqQ17C81mpxf7Ncs/edit?usp=sharing"",""สุราษฎร์ธานี!R397"")"),0)</f>
        <v>0</v>
      </c>
      <c r="S397" s="47">
        <f ca="1">IFERROR(__xludf.DUMMYFUNCTION("IMPORTRANGE(""https://docs.google.com/spreadsheets/d/1kKUcYdkIfrgTSj8iHHHB2MD2FAtwyyocFgqGQn6ADyI/edit?usp=sharing"",""กระบี่!S397"")+IMPORTRANGE(""https://docs.google.com/spreadsheets/d/1GwtLaSlNZkLk7iDqcyZz22giiy40b_usZZBXYciEN1U/edit?usp=sharing"",""ชุ"&amp;"มพร!S397"")+IMPORTRANGE(""https://docs.google.com/spreadsheets/d/16pAz3pOhQEZBhvFNMa5KGgZS6iKWpsKX0pg6tQmwFpo/edit?usp=sharing"",""ตรัง!S397"")+IMPORTRANGE(""https://docs.google.com/spreadsheets/d/1Dj4jcHCTV9JXKCaMoheSXS52JE63kDKyG7bPXnFogHk/edit?usp=shar"&amp;"ing"",""นครศรีธรรมราช!S397"")+IMPORTRANGE(""https://docs.google.com/spreadsheets/d/1iodCdmuK2GR3jzUwk8tpccY2JHQQA-87DLOtJP-ooyU/edit?usp=sharing"",""นราธิวาส!S397"")+IMPORTRANGE(""https://docs.google.com/spreadsheets/d/1SDNX3JhDdYRuIOsj0Wh2M-Qa_eaXl0NbWmh"&amp;"AOTbfQAs/edit?usp=sharing"",""ปัตตานี!S397"")+IMPORTRANGE(""https://docs.google.com/spreadsheets/d/16JDLGguT8s5DsGCND1KcwHP_AWR_zDMTqLHPLJUKhaU/edit?usp=sharing"",""พังงา!S397"")+IMPORTRANGE(""https://docs.google.com/spreadsheets/d/17ht0gPKzzT3PObBL1XJkeR"&amp;"mntBXI7wGjpLV7QorqlTk/edit?usp=sharing"",""พัทลุง!S397"")+IMPORTRANGE(""https://docs.google.com/spreadsheets/d/1rd4qoM1q_hsgaolqNGfrim9gbsoLxQsda4-vOz5x_BM/edit?usp=sharing"",""ภูเก็ต!S397"")+IMPORTRANGE(""https://docs.google.com/spreadsheets/d/1woKwKjgoL"&amp;"ssDvPcPeVyezB5izizAn4X1JDrys69n6xI/edit?usp=sharing"",""ยะลา!S397"")+IMPORTRANGE(""https://docs.google.com/spreadsheets/d/1qfrKjzMhm2HJfxQ-qVlJlJQ25Hne1d0khsySbZyGtPA/edit?usp=sharing"",""ระนอง!S397"")+IMPORTRANGE(""https://docs.google.com/spreadsheets/d/"&amp;"1IbSCnFOKpZsnFogBHJnL_isstZVaOMnFiIN0fGTPZZw/edit?usp=sharing"",""สงขลา!S397"")+IMPORTRANGE(""https://docs.google.com/spreadsheets/d/1q9nWasZJ-K8bFGvbE9n0qSRuKGA4Toe3Y89cKCiVtCU/edit?usp=sharing"",""สตูล!S397"")+IMPORTRANGE(""https://docs.google.com/sprea"&amp;"dsheets/d/18T20gbkS_WBjdscyTOV05cvq_JqvqQ17C81mpxf7Ncs/edit?usp=sharing"",""สุราษฎร์ธานี!S397"")"),0)</f>
        <v>0</v>
      </c>
      <c r="T397" s="47">
        <f t="shared" ca="1" si="302"/>
        <v>0</v>
      </c>
      <c r="U397" s="47">
        <f t="shared" ca="1" si="303"/>
        <v>0</v>
      </c>
    </row>
    <row r="398" spans="1:21" ht="18.75" hidden="1" x14ac:dyDescent="0.25">
      <c r="A398" s="128"/>
      <c r="B398" s="159"/>
      <c r="C398" s="159"/>
      <c r="D398" s="161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7">
        <f t="shared" ref="L398:N398" ca="1" si="310">L399+L400</f>
        <v>0</v>
      </c>
      <c r="M398" s="47">
        <f t="shared" ca="1" si="310"/>
        <v>0</v>
      </c>
      <c r="N398" s="47">
        <f t="shared" ca="1" si="310"/>
        <v>0</v>
      </c>
      <c r="O398" s="47">
        <f t="shared" ca="1" si="299"/>
        <v>0</v>
      </c>
      <c r="P398" s="47">
        <f t="shared" ca="1" si="300"/>
        <v>0</v>
      </c>
      <c r="Q398" s="47">
        <f t="shared" ref="Q398:S398" ca="1" si="311">Q399+Q400</f>
        <v>0</v>
      </c>
      <c r="R398" s="47">
        <f t="shared" ca="1" si="311"/>
        <v>0</v>
      </c>
      <c r="S398" s="47">
        <f t="shared" ca="1" si="311"/>
        <v>0</v>
      </c>
      <c r="T398" s="47">
        <f t="shared" ca="1" si="302"/>
        <v>0</v>
      </c>
      <c r="U398" s="47">
        <f t="shared" ca="1" si="303"/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9">
        <f ca="1">IFERROR(__xludf.DUMMYFUNCTION("IMPORTRANGE(""https://docs.google.com/spreadsheets/d/1kKUcYdkIfrgTSj8iHHHB2MD2FAtwyyocFgqGQn6ADyI/edit?usp=sharing"",""กระบี่!L399"")+IMPORTRANGE(""https://docs.google.com/spreadsheets/d/1GwtLaSlNZkLk7iDqcyZz22giiy40b_usZZBXYciEN1U/edit?usp=sharing"",""ชุ"&amp;"มพร!L399"")+IMPORTRANGE(""https://docs.google.com/spreadsheets/d/16pAz3pOhQEZBhvFNMa5KGgZS6iKWpsKX0pg6tQmwFpo/edit?usp=sharing"",""ตรัง!L399"")+IMPORTRANGE(""https://docs.google.com/spreadsheets/d/1Dj4jcHCTV9JXKCaMoheSXS52JE63kDKyG7bPXnFogHk/edit?usp=shar"&amp;"ing"",""นครศรีธรรมราช!L399"")+IMPORTRANGE(""https://docs.google.com/spreadsheets/d/1iodCdmuK2GR3jzUwk8tpccY2JHQQA-87DLOtJP-ooyU/edit?usp=sharing"",""นราธิวาส!L399"")+IMPORTRANGE(""https://docs.google.com/spreadsheets/d/1SDNX3JhDdYRuIOsj0Wh2M-Qa_eaXl0NbWmh"&amp;"AOTbfQAs/edit?usp=sharing"",""ปัตตานี!L399"")+IMPORTRANGE(""https://docs.google.com/spreadsheets/d/16JDLGguT8s5DsGCND1KcwHP_AWR_zDMTqLHPLJUKhaU/edit?usp=sharing"",""พังงา!L399"")+IMPORTRANGE(""https://docs.google.com/spreadsheets/d/17ht0gPKzzT3PObBL1XJkeR"&amp;"mntBXI7wGjpLV7QorqlTk/edit?usp=sharing"",""พัทลุง!L399"")+IMPORTRANGE(""https://docs.google.com/spreadsheets/d/1rd4qoM1q_hsgaolqNGfrim9gbsoLxQsda4-vOz5x_BM/edit?usp=sharing"",""ภูเก็ต!L399"")+IMPORTRANGE(""https://docs.google.com/spreadsheets/d/1woKwKjgoL"&amp;"ssDvPcPeVyezB5izizAn4X1JDrys69n6xI/edit?usp=sharing"",""ยะลา!L399"")+IMPORTRANGE(""https://docs.google.com/spreadsheets/d/1qfrKjzMhm2HJfxQ-qVlJlJQ25Hne1d0khsySbZyGtPA/edit?usp=sharing"",""ระนอง!L399"")+IMPORTRANGE(""https://docs.google.com/spreadsheets/d/"&amp;"1IbSCnFOKpZsnFogBHJnL_isstZVaOMnFiIN0fGTPZZw/edit?usp=sharing"",""สงขลา!L399"")+IMPORTRANGE(""https://docs.google.com/spreadsheets/d/1q9nWasZJ-K8bFGvbE9n0qSRuKGA4Toe3Y89cKCiVtCU/edit?usp=sharing"",""สตูล!L399"")+IMPORTRANGE(""https://docs.google.com/sprea"&amp;"dsheets/d/18T20gbkS_WBjdscyTOV05cvq_JqvqQ17C81mpxf7Ncs/edit?usp=sharing"",""สุราษฎร์ธานี!L399"")"),0)</f>
        <v>0</v>
      </c>
      <c r="M399" s="49">
        <f ca="1">IFERROR(__xludf.DUMMYFUNCTION("IMPORTRANGE(""https://docs.google.com/spreadsheets/d/1kKUcYdkIfrgTSj8iHHHB2MD2FAtwyyocFgqGQn6ADyI/edit?usp=sharing"",""กระบี่!M399"")+IMPORTRANGE(""https://docs.google.com/spreadsheets/d/1GwtLaSlNZkLk7iDqcyZz22giiy40b_usZZBXYciEN1U/edit?usp=sharing"",""ชุ"&amp;"มพร!M399"")+IMPORTRANGE(""https://docs.google.com/spreadsheets/d/16pAz3pOhQEZBhvFNMa5KGgZS6iKWpsKX0pg6tQmwFpo/edit?usp=sharing"",""ตรัง!M399"")+IMPORTRANGE(""https://docs.google.com/spreadsheets/d/1Dj4jcHCTV9JXKCaMoheSXS52JE63kDKyG7bPXnFogHk/edit?usp=shar"&amp;"ing"",""นครศรีธรรมราช!M399"")+IMPORTRANGE(""https://docs.google.com/spreadsheets/d/1iodCdmuK2GR3jzUwk8tpccY2JHQQA-87DLOtJP-ooyU/edit?usp=sharing"",""นราธิวาส!M399"")+IMPORTRANGE(""https://docs.google.com/spreadsheets/d/1SDNX3JhDdYRuIOsj0Wh2M-Qa_eaXl0NbWmh"&amp;"AOTbfQAs/edit?usp=sharing"",""ปัตตานี!M399"")+IMPORTRANGE(""https://docs.google.com/spreadsheets/d/16JDLGguT8s5DsGCND1KcwHP_AWR_zDMTqLHPLJUKhaU/edit?usp=sharing"",""พังงา!M399"")+IMPORTRANGE(""https://docs.google.com/spreadsheets/d/17ht0gPKzzT3PObBL1XJkeR"&amp;"mntBXI7wGjpLV7QorqlTk/edit?usp=sharing"",""พัทลุง!M399"")+IMPORTRANGE(""https://docs.google.com/spreadsheets/d/1rd4qoM1q_hsgaolqNGfrim9gbsoLxQsda4-vOz5x_BM/edit?usp=sharing"",""ภูเก็ต!M399"")+IMPORTRANGE(""https://docs.google.com/spreadsheets/d/1woKwKjgoL"&amp;"ssDvPcPeVyezB5izizAn4X1JDrys69n6xI/edit?usp=sharing"",""ยะลา!M399"")+IMPORTRANGE(""https://docs.google.com/spreadsheets/d/1qfrKjzMhm2HJfxQ-qVlJlJQ25Hne1d0khsySbZyGtPA/edit?usp=sharing"",""ระนอง!M399"")+IMPORTRANGE(""https://docs.google.com/spreadsheets/d/"&amp;"1IbSCnFOKpZsnFogBHJnL_isstZVaOMnFiIN0fGTPZZw/edit?usp=sharing"",""สงขลา!M399"")+IMPORTRANGE(""https://docs.google.com/spreadsheets/d/1q9nWasZJ-K8bFGvbE9n0qSRuKGA4Toe3Y89cKCiVtCU/edit?usp=sharing"",""สตูล!M399"")+IMPORTRANGE(""https://docs.google.com/sprea"&amp;"dsheets/d/18T20gbkS_WBjdscyTOV05cvq_JqvqQ17C81mpxf7Ncs/edit?usp=sharing"",""สุราษฎร์ธานี!M399"")"),0)</f>
        <v>0</v>
      </c>
      <c r="N399" s="49">
        <f ca="1">IFERROR(__xludf.DUMMYFUNCTION("IMPORTRANGE(""https://docs.google.com/spreadsheets/d/1kKUcYdkIfrgTSj8iHHHB2MD2FAtwyyocFgqGQn6ADyI/edit?usp=sharing"",""กระบี่!N399"")+IMPORTRANGE(""https://docs.google.com/spreadsheets/d/1GwtLaSlNZkLk7iDqcyZz22giiy40b_usZZBXYciEN1U/edit?usp=sharing"",""ชุ"&amp;"มพร!N399"")+IMPORTRANGE(""https://docs.google.com/spreadsheets/d/16pAz3pOhQEZBhvFNMa5KGgZS6iKWpsKX0pg6tQmwFpo/edit?usp=sharing"",""ตรัง!N399"")+IMPORTRANGE(""https://docs.google.com/spreadsheets/d/1Dj4jcHCTV9JXKCaMoheSXS52JE63kDKyG7bPXnFogHk/edit?usp=shar"&amp;"ing"",""นครศรีธรรมราช!N399"")+IMPORTRANGE(""https://docs.google.com/spreadsheets/d/1iodCdmuK2GR3jzUwk8tpccY2JHQQA-87DLOtJP-ooyU/edit?usp=sharing"",""นราธิวาส!N399"")+IMPORTRANGE(""https://docs.google.com/spreadsheets/d/1SDNX3JhDdYRuIOsj0Wh2M-Qa_eaXl0NbWmh"&amp;"AOTbfQAs/edit?usp=sharing"",""ปัตตานี!N399"")+IMPORTRANGE(""https://docs.google.com/spreadsheets/d/16JDLGguT8s5DsGCND1KcwHP_AWR_zDMTqLHPLJUKhaU/edit?usp=sharing"",""พังงา!N399"")+IMPORTRANGE(""https://docs.google.com/spreadsheets/d/17ht0gPKzzT3PObBL1XJkeR"&amp;"mntBXI7wGjpLV7QorqlTk/edit?usp=sharing"",""พัทลุง!N399"")+IMPORTRANGE(""https://docs.google.com/spreadsheets/d/1rd4qoM1q_hsgaolqNGfrim9gbsoLxQsda4-vOz5x_BM/edit?usp=sharing"",""ภูเก็ต!N399"")+IMPORTRANGE(""https://docs.google.com/spreadsheets/d/1woKwKjgoL"&amp;"ssDvPcPeVyezB5izizAn4X1JDrys69n6xI/edit?usp=sharing"",""ยะลา!N399"")+IMPORTRANGE(""https://docs.google.com/spreadsheets/d/1qfrKjzMhm2HJfxQ-qVlJlJQ25Hne1d0khsySbZyGtPA/edit?usp=sharing"",""ระนอง!N399"")+IMPORTRANGE(""https://docs.google.com/spreadsheets/d/"&amp;"1IbSCnFOKpZsnFogBHJnL_isstZVaOMnFiIN0fGTPZZw/edit?usp=sharing"",""สงขลา!N399"")+IMPORTRANGE(""https://docs.google.com/spreadsheets/d/1q9nWasZJ-K8bFGvbE9n0qSRuKGA4Toe3Y89cKCiVtCU/edit?usp=sharing"",""สตูล!N399"")+IMPORTRANGE(""https://docs.google.com/sprea"&amp;"dsheets/d/18T20gbkS_WBjdscyTOV05cvq_JqvqQ17C81mpxf7Ncs/edit?usp=sharing"",""สุราษฎร์ธานี!N399"")"),0)</f>
        <v>0</v>
      </c>
      <c r="O399" s="49">
        <f t="shared" ca="1" si="299"/>
        <v>0</v>
      </c>
      <c r="P399" s="49">
        <f t="shared" ca="1" si="300"/>
        <v>0</v>
      </c>
      <c r="Q399" s="49">
        <f ca="1">IFERROR(__xludf.DUMMYFUNCTION("IMPORTRANGE(""https://docs.google.com/spreadsheets/d/1kKUcYdkIfrgTSj8iHHHB2MD2FAtwyyocFgqGQn6ADyI/edit?usp=sharing"",""กระบี่!Q399"")+IMPORTRANGE(""https://docs.google.com/spreadsheets/d/1GwtLaSlNZkLk7iDqcyZz22giiy40b_usZZBXYciEN1U/edit?usp=sharing"",""ชุ"&amp;"มพร!Q399"")+IMPORTRANGE(""https://docs.google.com/spreadsheets/d/16pAz3pOhQEZBhvFNMa5KGgZS6iKWpsKX0pg6tQmwFpo/edit?usp=sharing"",""ตรัง!Q399"")+IMPORTRANGE(""https://docs.google.com/spreadsheets/d/1Dj4jcHCTV9JXKCaMoheSXS52JE63kDKyG7bPXnFogHk/edit?usp=shar"&amp;"ing"",""นครศรีธรรมราช!Q399"")+IMPORTRANGE(""https://docs.google.com/spreadsheets/d/1iodCdmuK2GR3jzUwk8tpccY2JHQQA-87DLOtJP-ooyU/edit?usp=sharing"",""นราธิวาส!Q399"")+IMPORTRANGE(""https://docs.google.com/spreadsheets/d/1SDNX3JhDdYRuIOsj0Wh2M-Qa_eaXl0NbWmh"&amp;"AOTbfQAs/edit?usp=sharing"",""ปัตตานี!Q399"")+IMPORTRANGE(""https://docs.google.com/spreadsheets/d/16JDLGguT8s5DsGCND1KcwHP_AWR_zDMTqLHPLJUKhaU/edit?usp=sharing"",""พังงา!Q399"")+IMPORTRANGE(""https://docs.google.com/spreadsheets/d/17ht0gPKzzT3PObBL1XJkeR"&amp;"mntBXI7wGjpLV7QorqlTk/edit?usp=sharing"",""พัทลุง!Q399"")+IMPORTRANGE(""https://docs.google.com/spreadsheets/d/1rd4qoM1q_hsgaolqNGfrim9gbsoLxQsda4-vOz5x_BM/edit?usp=sharing"",""ภูเก็ต!Q399"")+IMPORTRANGE(""https://docs.google.com/spreadsheets/d/1woKwKjgoL"&amp;"ssDvPcPeVyezB5izizAn4X1JDrys69n6xI/edit?usp=sharing"",""ยะลา!Q399"")+IMPORTRANGE(""https://docs.google.com/spreadsheets/d/1qfrKjzMhm2HJfxQ-qVlJlJQ25Hne1d0khsySbZyGtPA/edit?usp=sharing"",""ระนอง!Q399"")+IMPORTRANGE(""https://docs.google.com/spreadsheets/d/"&amp;"1IbSCnFOKpZsnFogBHJnL_isstZVaOMnFiIN0fGTPZZw/edit?usp=sharing"",""สงขลา!Q399"")+IMPORTRANGE(""https://docs.google.com/spreadsheets/d/1q9nWasZJ-K8bFGvbE9n0qSRuKGA4Toe3Y89cKCiVtCU/edit?usp=sharing"",""สตูล!Q399"")+IMPORTRANGE(""https://docs.google.com/sprea"&amp;"dsheets/d/18T20gbkS_WBjdscyTOV05cvq_JqvqQ17C81mpxf7Ncs/edit?usp=sharing"",""สุราษฎร์ธานี!Q399"")"),0)</f>
        <v>0</v>
      </c>
      <c r="R399" s="49">
        <f ca="1">IFERROR(__xludf.DUMMYFUNCTION("IMPORTRANGE(""https://docs.google.com/spreadsheets/d/1kKUcYdkIfrgTSj8iHHHB2MD2FAtwyyocFgqGQn6ADyI/edit?usp=sharing"",""กระบี่!R399"")+IMPORTRANGE(""https://docs.google.com/spreadsheets/d/1GwtLaSlNZkLk7iDqcyZz22giiy40b_usZZBXYciEN1U/edit?usp=sharing"",""ชุ"&amp;"มพร!R399"")+IMPORTRANGE(""https://docs.google.com/spreadsheets/d/16pAz3pOhQEZBhvFNMa5KGgZS6iKWpsKX0pg6tQmwFpo/edit?usp=sharing"",""ตรัง!R399"")+IMPORTRANGE(""https://docs.google.com/spreadsheets/d/1Dj4jcHCTV9JXKCaMoheSXS52JE63kDKyG7bPXnFogHk/edit?usp=shar"&amp;"ing"",""นครศรีธรรมราช!R399"")+IMPORTRANGE(""https://docs.google.com/spreadsheets/d/1iodCdmuK2GR3jzUwk8tpccY2JHQQA-87DLOtJP-ooyU/edit?usp=sharing"",""นราธิวาส!R399"")+IMPORTRANGE(""https://docs.google.com/spreadsheets/d/1SDNX3JhDdYRuIOsj0Wh2M-Qa_eaXl0NbWmh"&amp;"AOTbfQAs/edit?usp=sharing"",""ปัตตานี!R399"")+IMPORTRANGE(""https://docs.google.com/spreadsheets/d/16JDLGguT8s5DsGCND1KcwHP_AWR_zDMTqLHPLJUKhaU/edit?usp=sharing"",""พังงา!R399"")+IMPORTRANGE(""https://docs.google.com/spreadsheets/d/17ht0gPKzzT3PObBL1XJkeR"&amp;"mntBXI7wGjpLV7QorqlTk/edit?usp=sharing"",""พัทลุง!R399"")+IMPORTRANGE(""https://docs.google.com/spreadsheets/d/1rd4qoM1q_hsgaolqNGfrim9gbsoLxQsda4-vOz5x_BM/edit?usp=sharing"",""ภูเก็ต!R399"")+IMPORTRANGE(""https://docs.google.com/spreadsheets/d/1woKwKjgoL"&amp;"ssDvPcPeVyezB5izizAn4X1JDrys69n6xI/edit?usp=sharing"",""ยะลา!R399"")+IMPORTRANGE(""https://docs.google.com/spreadsheets/d/1qfrKjzMhm2HJfxQ-qVlJlJQ25Hne1d0khsySbZyGtPA/edit?usp=sharing"",""ระนอง!R399"")+IMPORTRANGE(""https://docs.google.com/spreadsheets/d/"&amp;"1IbSCnFOKpZsnFogBHJnL_isstZVaOMnFiIN0fGTPZZw/edit?usp=sharing"",""สงขลา!R399"")+IMPORTRANGE(""https://docs.google.com/spreadsheets/d/1q9nWasZJ-K8bFGvbE9n0qSRuKGA4Toe3Y89cKCiVtCU/edit?usp=sharing"",""สตูล!R399"")+IMPORTRANGE(""https://docs.google.com/sprea"&amp;"dsheets/d/18T20gbkS_WBjdscyTOV05cvq_JqvqQ17C81mpxf7Ncs/edit?usp=sharing"",""สุราษฎร์ธานี!R399"")"),0)</f>
        <v>0</v>
      </c>
      <c r="S399" s="49">
        <f ca="1">IFERROR(__xludf.DUMMYFUNCTION("IMPORTRANGE(""https://docs.google.com/spreadsheets/d/1kKUcYdkIfrgTSj8iHHHB2MD2FAtwyyocFgqGQn6ADyI/edit?usp=sharing"",""กระบี่!S399"")+IMPORTRANGE(""https://docs.google.com/spreadsheets/d/1GwtLaSlNZkLk7iDqcyZz22giiy40b_usZZBXYciEN1U/edit?usp=sharing"",""ชุ"&amp;"มพร!S399"")+IMPORTRANGE(""https://docs.google.com/spreadsheets/d/16pAz3pOhQEZBhvFNMa5KGgZS6iKWpsKX0pg6tQmwFpo/edit?usp=sharing"",""ตรัง!S399"")+IMPORTRANGE(""https://docs.google.com/spreadsheets/d/1Dj4jcHCTV9JXKCaMoheSXS52JE63kDKyG7bPXnFogHk/edit?usp=shar"&amp;"ing"",""นครศรีธรรมราช!S399"")+IMPORTRANGE(""https://docs.google.com/spreadsheets/d/1iodCdmuK2GR3jzUwk8tpccY2JHQQA-87DLOtJP-ooyU/edit?usp=sharing"",""นราธิวาส!S399"")+IMPORTRANGE(""https://docs.google.com/spreadsheets/d/1SDNX3JhDdYRuIOsj0Wh2M-Qa_eaXl0NbWmh"&amp;"AOTbfQAs/edit?usp=sharing"",""ปัตตานี!S399"")+IMPORTRANGE(""https://docs.google.com/spreadsheets/d/16JDLGguT8s5DsGCND1KcwHP_AWR_zDMTqLHPLJUKhaU/edit?usp=sharing"",""พังงา!S399"")+IMPORTRANGE(""https://docs.google.com/spreadsheets/d/17ht0gPKzzT3PObBL1XJkeR"&amp;"mntBXI7wGjpLV7QorqlTk/edit?usp=sharing"",""พัทลุง!S399"")+IMPORTRANGE(""https://docs.google.com/spreadsheets/d/1rd4qoM1q_hsgaolqNGfrim9gbsoLxQsda4-vOz5x_BM/edit?usp=sharing"",""ภูเก็ต!S399"")+IMPORTRANGE(""https://docs.google.com/spreadsheets/d/1woKwKjgoL"&amp;"ssDvPcPeVyezB5izizAn4X1JDrys69n6xI/edit?usp=sharing"",""ยะลา!S399"")+IMPORTRANGE(""https://docs.google.com/spreadsheets/d/1qfrKjzMhm2HJfxQ-qVlJlJQ25Hne1d0khsySbZyGtPA/edit?usp=sharing"",""ระนอง!S399"")+IMPORTRANGE(""https://docs.google.com/spreadsheets/d/"&amp;"1IbSCnFOKpZsnFogBHJnL_isstZVaOMnFiIN0fGTPZZw/edit?usp=sharing"",""สงขลา!S399"")+IMPORTRANGE(""https://docs.google.com/spreadsheets/d/1q9nWasZJ-K8bFGvbE9n0qSRuKGA4Toe3Y89cKCiVtCU/edit?usp=sharing"",""สตูล!S399"")+IMPORTRANGE(""https://docs.google.com/sprea"&amp;"dsheets/d/18T20gbkS_WBjdscyTOV05cvq_JqvqQ17C81mpxf7Ncs/edit?usp=sharing"",""สุราษฎร์ธานี!S399"")"),0)</f>
        <v>0</v>
      </c>
      <c r="T399" s="49">
        <f t="shared" ca="1" si="302"/>
        <v>0</v>
      </c>
      <c r="U399" s="49">
        <f t="shared" ca="1" si="303"/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7">
        <f ca="1">IFERROR(__xludf.DUMMYFUNCTION("IMPORTRANGE(""https://docs.google.com/spreadsheets/d/1kKUcYdkIfrgTSj8iHHHB2MD2FAtwyyocFgqGQn6ADyI/edit?usp=sharing"",""กระบี่!L400"")+IMPORTRANGE(""https://docs.google.com/spreadsheets/d/1GwtLaSlNZkLk7iDqcyZz22giiy40b_usZZBXYciEN1U/edit?usp=sharing"",""ชุ"&amp;"มพร!L400"")+IMPORTRANGE(""https://docs.google.com/spreadsheets/d/16pAz3pOhQEZBhvFNMa5KGgZS6iKWpsKX0pg6tQmwFpo/edit?usp=sharing"",""ตรัง!L400"")+IMPORTRANGE(""https://docs.google.com/spreadsheets/d/1Dj4jcHCTV9JXKCaMoheSXS52JE63kDKyG7bPXnFogHk/edit?usp=shar"&amp;"ing"",""นครศรีธรรมราช!L400"")+IMPORTRANGE(""https://docs.google.com/spreadsheets/d/1iodCdmuK2GR3jzUwk8tpccY2JHQQA-87DLOtJP-ooyU/edit?usp=sharing"",""นราธิวาส!L400"")+IMPORTRANGE(""https://docs.google.com/spreadsheets/d/1SDNX3JhDdYRuIOsj0Wh2M-Qa_eaXl0NbWmh"&amp;"AOTbfQAs/edit?usp=sharing"",""ปัตตานี!L400"")+IMPORTRANGE(""https://docs.google.com/spreadsheets/d/16JDLGguT8s5DsGCND1KcwHP_AWR_zDMTqLHPLJUKhaU/edit?usp=sharing"",""พังงา!L400"")+IMPORTRANGE(""https://docs.google.com/spreadsheets/d/17ht0gPKzzT3PObBL1XJkeR"&amp;"mntBXI7wGjpLV7QorqlTk/edit?usp=sharing"",""พัทลุง!L400"")+IMPORTRANGE(""https://docs.google.com/spreadsheets/d/1rd4qoM1q_hsgaolqNGfrim9gbsoLxQsda4-vOz5x_BM/edit?usp=sharing"",""ภูเก็ต!L400"")+IMPORTRANGE(""https://docs.google.com/spreadsheets/d/1woKwKjgoL"&amp;"ssDvPcPeVyezB5izizAn4X1JDrys69n6xI/edit?usp=sharing"",""ยะลา!L400"")+IMPORTRANGE(""https://docs.google.com/spreadsheets/d/1qfrKjzMhm2HJfxQ-qVlJlJQ25Hne1d0khsySbZyGtPA/edit?usp=sharing"",""ระนอง!L400"")+IMPORTRANGE(""https://docs.google.com/spreadsheets/d/"&amp;"1IbSCnFOKpZsnFogBHJnL_isstZVaOMnFiIN0fGTPZZw/edit?usp=sharing"",""สงขลา!L400"")+IMPORTRANGE(""https://docs.google.com/spreadsheets/d/1q9nWasZJ-K8bFGvbE9n0qSRuKGA4Toe3Y89cKCiVtCU/edit?usp=sharing"",""สตูล!L400"")+IMPORTRANGE(""https://docs.google.com/sprea"&amp;"dsheets/d/18T20gbkS_WBjdscyTOV05cvq_JqvqQ17C81mpxf7Ncs/edit?usp=sharing"",""สุราษฎร์ธานี!L400"")"),0)</f>
        <v>0</v>
      </c>
      <c r="M400" s="47">
        <f ca="1">IFERROR(__xludf.DUMMYFUNCTION("IMPORTRANGE(""https://docs.google.com/spreadsheets/d/1kKUcYdkIfrgTSj8iHHHB2MD2FAtwyyocFgqGQn6ADyI/edit?usp=sharing"",""กระบี่!M400"")+IMPORTRANGE(""https://docs.google.com/spreadsheets/d/1GwtLaSlNZkLk7iDqcyZz22giiy40b_usZZBXYciEN1U/edit?usp=sharing"",""ชุ"&amp;"มพร!M400"")+IMPORTRANGE(""https://docs.google.com/spreadsheets/d/16pAz3pOhQEZBhvFNMa5KGgZS6iKWpsKX0pg6tQmwFpo/edit?usp=sharing"",""ตรัง!M400"")+IMPORTRANGE(""https://docs.google.com/spreadsheets/d/1Dj4jcHCTV9JXKCaMoheSXS52JE63kDKyG7bPXnFogHk/edit?usp=shar"&amp;"ing"",""นครศรีธรรมราช!M400"")+IMPORTRANGE(""https://docs.google.com/spreadsheets/d/1iodCdmuK2GR3jzUwk8tpccY2JHQQA-87DLOtJP-ooyU/edit?usp=sharing"",""นราธิวาส!M400"")+IMPORTRANGE(""https://docs.google.com/spreadsheets/d/1SDNX3JhDdYRuIOsj0Wh2M-Qa_eaXl0NbWmh"&amp;"AOTbfQAs/edit?usp=sharing"",""ปัตตานี!M400"")+IMPORTRANGE(""https://docs.google.com/spreadsheets/d/16JDLGguT8s5DsGCND1KcwHP_AWR_zDMTqLHPLJUKhaU/edit?usp=sharing"",""พังงา!M400"")+IMPORTRANGE(""https://docs.google.com/spreadsheets/d/17ht0gPKzzT3PObBL1XJkeR"&amp;"mntBXI7wGjpLV7QorqlTk/edit?usp=sharing"",""พัทลุง!M400"")+IMPORTRANGE(""https://docs.google.com/spreadsheets/d/1rd4qoM1q_hsgaolqNGfrim9gbsoLxQsda4-vOz5x_BM/edit?usp=sharing"",""ภูเก็ต!M400"")+IMPORTRANGE(""https://docs.google.com/spreadsheets/d/1woKwKjgoL"&amp;"ssDvPcPeVyezB5izizAn4X1JDrys69n6xI/edit?usp=sharing"",""ยะลา!M400"")+IMPORTRANGE(""https://docs.google.com/spreadsheets/d/1qfrKjzMhm2HJfxQ-qVlJlJQ25Hne1d0khsySbZyGtPA/edit?usp=sharing"",""ระนอง!M400"")+IMPORTRANGE(""https://docs.google.com/spreadsheets/d/"&amp;"1IbSCnFOKpZsnFogBHJnL_isstZVaOMnFiIN0fGTPZZw/edit?usp=sharing"",""สงขลา!M400"")+IMPORTRANGE(""https://docs.google.com/spreadsheets/d/1q9nWasZJ-K8bFGvbE9n0qSRuKGA4Toe3Y89cKCiVtCU/edit?usp=sharing"",""สตูล!M400"")+IMPORTRANGE(""https://docs.google.com/sprea"&amp;"dsheets/d/18T20gbkS_WBjdscyTOV05cvq_JqvqQ17C81mpxf7Ncs/edit?usp=sharing"",""สุราษฎร์ธานี!M400"")"),0)</f>
        <v>0</v>
      </c>
      <c r="N400" s="47">
        <f ca="1">IFERROR(__xludf.DUMMYFUNCTION("IMPORTRANGE(""https://docs.google.com/spreadsheets/d/1kKUcYdkIfrgTSj8iHHHB2MD2FAtwyyocFgqGQn6ADyI/edit?usp=sharing"",""กระบี่!N400"")+IMPORTRANGE(""https://docs.google.com/spreadsheets/d/1GwtLaSlNZkLk7iDqcyZz22giiy40b_usZZBXYciEN1U/edit?usp=sharing"",""ชุ"&amp;"มพร!N400"")+IMPORTRANGE(""https://docs.google.com/spreadsheets/d/16pAz3pOhQEZBhvFNMa5KGgZS6iKWpsKX0pg6tQmwFpo/edit?usp=sharing"",""ตรัง!N400"")+IMPORTRANGE(""https://docs.google.com/spreadsheets/d/1Dj4jcHCTV9JXKCaMoheSXS52JE63kDKyG7bPXnFogHk/edit?usp=shar"&amp;"ing"",""นครศรีธรรมราช!N400"")+IMPORTRANGE(""https://docs.google.com/spreadsheets/d/1iodCdmuK2GR3jzUwk8tpccY2JHQQA-87DLOtJP-ooyU/edit?usp=sharing"",""นราธิวาส!N400"")+IMPORTRANGE(""https://docs.google.com/spreadsheets/d/1SDNX3JhDdYRuIOsj0Wh2M-Qa_eaXl0NbWmh"&amp;"AOTbfQAs/edit?usp=sharing"",""ปัตตานี!N400"")+IMPORTRANGE(""https://docs.google.com/spreadsheets/d/16JDLGguT8s5DsGCND1KcwHP_AWR_zDMTqLHPLJUKhaU/edit?usp=sharing"",""พังงา!N400"")+IMPORTRANGE(""https://docs.google.com/spreadsheets/d/17ht0gPKzzT3PObBL1XJkeR"&amp;"mntBXI7wGjpLV7QorqlTk/edit?usp=sharing"",""พัทลุง!N400"")+IMPORTRANGE(""https://docs.google.com/spreadsheets/d/1rd4qoM1q_hsgaolqNGfrim9gbsoLxQsda4-vOz5x_BM/edit?usp=sharing"",""ภูเก็ต!N400"")+IMPORTRANGE(""https://docs.google.com/spreadsheets/d/1woKwKjgoL"&amp;"ssDvPcPeVyezB5izizAn4X1JDrys69n6xI/edit?usp=sharing"",""ยะลา!N400"")+IMPORTRANGE(""https://docs.google.com/spreadsheets/d/1qfrKjzMhm2HJfxQ-qVlJlJQ25Hne1d0khsySbZyGtPA/edit?usp=sharing"",""ระนอง!N400"")+IMPORTRANGE(""https://docs.google.com/spreadsheets/d/"&amp;"1IbSCnFOKpZsnFogBHJnL_isstZVaOMnFiIN0fGTPZZw/edit?usp=sharing"",""สงขลา!N400"")+IMPORTRANGE(""https://docs.google.com/spreadsheets/d/1q9nWasZJ-K8bFGvbE9n0qSRuKGA4Toe3Y89cKCiVtCU/edit?usp=sharing"",""สตูล!N400"")+IMPORTRANGE(""https://docs.google.com/sprea"&amp;"dsheets/d/18T20gbkS_WBjdscyTOV05cvq_JqvqQ17C81mpxf7Ncs/edit?usp=sharing"",""สุราษฎร์ธานี!N400"")"),0)</f>
        <v>0</v>
      </c>
      <c r="O400" s="47">
        <f t="shared" ca="1" si="299"/>
        <v>0</v>
      </c>
      <c r="P400" s="47">
        <f t="shared" ca="1" si="300"/>
        <v>0</v>
      </c>
      <c r="Q400" s="47">
        <f ca="1">IFERROR(__xludf.DUMMYFUNCTION("IMPORTRANGE(""https://docs.google.com/spreadsheets/d/1kKUcYdkIfrgTSj8iHHHB2MD2FAtwyyocFgqGQn6ADyI/edit?usp=sharing"",""กระบี่!Q400"")+IMPORTRANGE(""https://docs.google.com/spreadsheets/d/1GwtLaSlNZkLk7iDqcyZz22giiy40b_usZZBXYciEN1U/edit?usp=sharing"",""ชุ"&amp;"มพร!Q400"")+IMPORTRANGE(""https://docs.google.com/spreadsheets/d/16pAz3pOhQEZBhvFNMa5KGgZS6iKWpsKX0pg6tQmwFpo/edit?usp=sharing"",""ตรัง!Q400"")+IMPORTRANGE(""https://docs.google.com/spreadsheets/d/1Dj4jcHCTV9JXKCaMoheSXS52JE63kDKyG7bPXnFogHk/edit?usp=shar"&amp;"ing"",""นครศรีธรรมราช!Q400"")+IMPORTRANGE(""https://docs.google.com/spreadsheets/d/1iodCdmuK2GR3jzUwk8tpccY2JHQQA-87DLOtJP-ooyU/edit?usp=sharing"",""นราธิวาส!Q400"")+IMPORTRANGE(""https://docs.google.com/spreadsheets/d/1SDNX3JhDdYRuIOsj0Wh2M-Qa_eaXl0NbWmh"&amp;"AOTbfQAs/edit?usp=sharing"",""ปัตตานี!Q400"")+IMPORTRANGE(""https://docs.google.com/spreadsheets/d/16JDLGguT8s5DsGCND1KcwHP_AWR_zDMTqLHPLJUKhaU/edit?usp=sharing"",""พังงา!Q400"")+IMPORTRANGE(""https://docs.google.com/spreadsheets/d/17ht0gPKzzT3PObBL1XJkeR"&amp;"mntBXI7wGjpLV7QorqlTk/edit?usp=sharing"",""พัทลุง!Q400"")+IMPORTRANGE(""https://docs.google.com/spreadsheets/d/1rd4qoM1q_hsgaolqNGfrim9gbsoLxQsda4-vOz5x_BM/edit?usp=sharing"",""ภูเก็ต!Q400"")+IMPORTRANGE(""https://docs.google.com/spreadsheets/d/1woKwKjgoL"&amp;"ssDvPcPeVyezB5izizAn4X1JDrys69n6xI/edit?usp=sharing"",""ยะลา!Q400"")+IMPORTRANGE(""https://docs.google.com/spreadsheets/d/1qfrKjzMhm2HJfxQ-qVlJlJQ25Hne1d0khsySbZyGtPA/edit?usp=sharing"",""ระนอง!Q400"")+IMPORTRANGE(""https://docs.google.com/spreadsheets/d/"&amp;"1IbSCnFOKpZsnFogBHJnL_isstZVaOMnFiIN0fGTPZZw/edit?usp=sharing"",""สงขลา!Q400"")+IMPORTRANGE(""https://docs.google.com/spreadsheets/d/1q9nWasZJ-K8bFGvbE9n0qSRuKGA4Toe3Y89cKCiVtCU/edit?usp=sharing"",""สตูล!Q400"")+IMPORTRANGE(""https://docs.google.com/sprea"&amp;"dsheets/d/18T20gbkS_WBjdscyTOV05cvq_JqvqQ17C81mpxf7Ncs/edit?usp=sharing"",""สุราษฎร์ธานี!Q400"")"),0)</f>
        <v>0</v>
      </c>
      <c r="R400" s="47">
        <f ca="1">IFERROR(__xludf.DUMMYFUNCTION("IMPORTRANGE(""https://docs.google.com/spreadsheets/d/1kKUcYdkIfrgTSj8iHHHB2MD2FAtwyyocFgqGQn6ADyI/edit?usp=sharing"",""กระบี่!R400"")+IMPORTRANGE(""https://docs.google.com/spreadsheets/d/1GwtLaSlNZkLk7iDqcyZz22giiy40b_usZZBXYciEN1U/edit?usp=sharing"",""ชุ"&amp;"มพร!R400"")+IMPORTRANGE(""https://docs.google.com/spreadsheets/d/16pAz3pOhQEZBhvFNMa5KGgZS6iKWpsKX0pg6tQmwFpo/edit?usp=sharing"",""ตรัง!R400"")+IMPORTRANGE(""https://docs.google.com/spreadsheets/d/1Dj4jcHCTV9JXKCaMoheSXS52JE63kDKyG7bPXnFogHk/edit?usp=shar"&amp;"ing"",""นครศรีธรรมราช!R400"")+IMPORTRANGE(""https://docs.google.com/spreadsheets/d/1iodCdmuK2GR3jzUwk8tpccY2JHQQA-87DLOtJP-ooyU/edit?usp=sharing"",""นราธิวาส!R400"")+IMPORTRANGE(""https://docs.google.com/spreadsheets/d/1SDNX3JhDdYRuIOsj0Wh2M-Qa_eaXl0NbWmh"&amp;"AOTbfQAs/edit?usp=sharing"",""ปัตตานี!R400"")+IMPORTRANGE(""https://docs.google.com/spreadsheets/d/16JDLGguT8s5DsGCND1KcwHP_AWR_zDMTqLHPLJUKhaU/edit?usp=sharing"",""พังงา!R400"")+IMPORTRANGE(""https://docs.google.com/spreadsheets/d/17ht0gPKzzT3PObBL1XJkeR"&amp;"mntBXI7wGjpLV7QorqlTk/edit?usp=sharing"",""พัทลุง!R400"")+IMPORTRANGE(""https://docs.google.com/spreadsheets/d/1rd4qoM1q_hsgaolqNGfrim9gbsoLxQsda4-vOz5x_BM/edit?usp=sharing"",""ภูเก็ต!R400"")+IMPORTRANGE(""https://docs.google.com/spreadsheets/d/1woKwKjgoL"&amp;"ssDvPcPeVyezB5izizAn4X1JDrys69n6xI/edit?usp=sharing"",""ยะลา!R400"")+IMPORTRANGE(""https://docs.google.com/spreadsheets/d/1qfrKjzMhm2HJfxQ-qVlJlJQ25Hne1d0khsySbZyGtPA/edit?usp=sharing"",""ระนอง!R400"")+IMPORTRANGE(""https://docs.google.com/spreadsheets/d/"&amp;"1IbSCnFOKpZsnFogBHJnL_isstZVaOMnFiIN0fGTPZZw/edit?usp=sharing"",""สงขลา!R400"")+IMPORTRANGE(""https://docs.google.com/spreadsheets/d/1q9nWasZJ-K8bFGvbE9n0qSRuKGA4Toe3Y89cKCiVtCU/edit?usp=sharing"",""สตูล!R400"")+IMPORTRANGE(""https://docs.google.com/sprea"&amp;"dsheets/d/18T20gbkS_WBjdscyTOV05cvq_JqvqQ17C81mpxf7Ncs/edit?usp=sharing"",""สุราษฎร์ธานี!R400"")"),0)</f>
        <v>0</v>
      </c>
      <c r="S400" s="47">
        <f ca="1">IFERROR(__xludf.DUMMYFUNCTION("IMPORTRANGE(""https://docs.google.com/spreadsheets/d/1kKUcYdkIfrgTSj8iHHHB2MD2FAtwyyocFgqGQn6ADyI/edit?usp=sharing"",""กระบี่!S400"")+IMPORTRANGE(""https://docs.google.com/spreadsheets/d/1GwtLaSlNZkLk7iDqcyZz22giiy40b_usZZBXYciEN1U/edit?usp=sharing"",""ชุ"&amp;"มพร!S400"")+IMPORTRANGE(""https://docs.google.com/spreadsheets/d/16pAz3pOhQEZBhvFNMa5KGgZS6iKWpsKX0pg6tQmwFpo/edit?usp=sharing"",""ตรัง!S400"")+IMPORTRANGE(""https://docs.google.com/spreadsheets/d/1Dj4jcHCTV9JXKCaMoheSXS52JE63kDKyG7bPXnFogHk/edit?usp=shar"&amp;"ing"",""นครศรีธรรมราช!S400"")+IMPORTRANGE(""https://docs.google.com/spreadsheets/d/1iodCdmuK2GR3jzUwk8tpccY2JHQQA-87DLOtJP-ooyU/edit?usp=sharing"",""นราธิวาส!S400"")+IMPORTRANGE(""https://docs.google.com/spreadsheets/d/1SDNX3JhDdYRuIOsj0Wh2M-Qa_eaXl0NbWmh"&amp;"AOTbfQAs/edit?usp=sharing"",""ปัตตานี!S400"")+IMPORTRANGE(""https://docs.google.com/spreadsheets/d/16JDLGguT8s5DsGCND1KcwHP_AWR_zDMTqLHPLJUKhaU/edit?usp=sharing"",""พังงา!S400"")+IMPORTRANGE(""https://docs.google.com/spreadsheets/d/17ht0gPKzzT3PObBL1XJkeR"&amp;"mntBXI7wGjpLV7QorqlTk/edit?usp=sharing"",""พัทลุง!S400"")+IMPORTRANGE(""https://docs.google.com/spreadsheets/d/1rd4qoM1q_hsgaolqNGfrim9gbsoLxQsda4-vOz5x_BM/edit?usp=sharing"",""ภูเก็ต!S400"")+IMPORTRANGE(""https://docs.google.com/spreadsheets/d/1woKwKjgoL"&amp;"ssDvPcPeVyezB5izizAn4X1JDrys69n6xI/edit?usp=sharing"",""ยะลา!S400"")+IMPORTRANGE(""https://docs.google.com/spreadsheets/d/1qfrKjzMhm2HJfxQ-qVlJlJQ25Hne1d0khsySbZyGtPA/edit?usp=sharing"",""ระนอง!S400"")+IMPORTRANGE(""https://docs.google.com/spreadsheets/d/"&amp;"1IbSCnFOKpZsnFogBHJnL_isstZVaOMnFiIN0fGTPZZw/edit?usp=sharing"",""สงขลา!S400"")+IMPORTRANGE(""https://docs.google.com/spreadsheets/d/1q9nWasZJ-K8bFGvbE9n0qSRuKGA4Toe3Y89cKCiVtCU/edit?usp=sharing"",""สตูล!S400"")+IMPORTRANGE(""https://docs.google.com/sprea"&amp;"dsheets/d/18T20gbkS_WBjdscyTOV05cvq_JqvqQ17C81mpxf7Ncs/edit?usp=sharing"",""สุราษฎร์ธานี!S400"")"),0)</f>
        <v>0</v>
      </c>
      <c r="T400" s="47">
        <f t="shared" ca="1" si="302"/>
        <v>0</v>
      </c>
      <c r="U400" s="47">
        <f t="shared" ca="1" si="303"/>
        <v>0</v>
      </c>
    </row>
    <row r="401" spans="1:21" ht="19.5" hidden="1" x14ac:dyDescent="0.3">
      <c r="A401" s="138"/>
      <c r="B401" s="139"/>
      <c r="C401" s="162" t="s">
        <v>18</v>
      </c>
      <c r="D401" s="325" t="s">
        <v>38</v>
      </c>
      <c r="E401" s="141"/>
      <c r="F401" s="141"/>
      <c r="G401" s="142"/>
      <c r="H401" s="189"/>
      <c r="I401" s="135"/>
      <c r="J401" s="45"/>
      <c r="K401" s="46"/>
      <c r="L401" s="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247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247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247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247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247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247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247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247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247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33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336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t="shared" ref="I412:J412" ca="1" si="312">I423</f>
        <v>216167</v>
      </c>
      <c r="J412" s="310">
        <f t="shared" ca="1" si="312"/>
        <v>0</v>
      </c>
      <c r="K412" s="311">
        <f ca="1">IF(I412&gt;0,J412*100/I412,0)</f>
        <v>0</v>
      </c>
      <c r="L412" s="312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40" t="s">
        <v>18</v>
      </c>
      <c r="D413" s="541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132">
        <f t="shared" ref="L413:N413" ca="1" si="313">L414+L415</f>
        <v>2053310</v>
      </c>
      <c r="M413" s="132">
        <f t="shared" ca="1" si="313"/>
        <v>2264810</v>
      </c>
      <c r="N413" s="132">
        <f t="shared" ca="1" si="313"/>
        <v>158182.06</v>
      </c>
      <c r="O413" s="132">
        <f t="shared" ref="O413:O421" ca="1" si="314">IF(L413&gt;0,N413*100/L413,0)</f>
        <v>7.7037592959660257</v>
      </c>
      <c r="P413" s="132">
        <f t="shared" ref="P413:P421" ca="1" si="315">IF(M413&gt;0,N413*100/M413,0)</f>
        <v>6.9843412913224512</v>
      </c>
      <c r="Q413" s="132">
        <f t="shared" ref="Q413:S413" ca="1" si="316">Q414+Q415</f>
        <v>347120</v>
      </c>
      <c r="R413" s="132">
        <f t="shared" ca="1" si="316"/>
        <v>347120</v>
      </c>
      <c r="S413" s="132">
        <f t="shared" ca="1" si="316"/>
        <v>0</v>
      </c>
      <c r="T413" s="132">
        <f t="shared" ref="T413:T421" ca="1" si="317">IF(Q413&gt;0,S413*100/Q413,0)</f>
        <v>0</v>
      </c>
      <c r="U413" s="132">
        <f t="shared" ref="U413:U421" ca="1" si="318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49">
        <f t="shared" ref="L414:N414" ca="1" si="319">L417+L420</f>
        <v>0</v>
      </c>
      <c r="M414" s="49">
        <f t="shared" ca="1" si="319"/>
        <v>0</v>
      </c>
      <c r="N414" s="49">
        <f t="shared" ca="1" si="319"/>
        <v>0</v>
      </c>
      <c r="O414" s="49">
        <f t="shared" ca="1" si="314"/>
        <v>0</v>
      </c>
      <c r="P414" s="49">
        <f t="shared" ca="1" si="315"/>
        <v>0</v>
      </c>
      <c r="Q414" s="49">
        <f t="shared" ref="Q414:S414" ca="1" si="320">Q417+Q420</f>
        <v>0</v>
      </c>
      <c r="R414" s="49">
        <f t="shared" ca="1" si="320"/>
        <v>0</v>
      </c>
      <c r="S414" s="49">
        <f t="shared" ca="1" si="320"/>
        <v>0</v>
      </c>
      <c r="T414" s="49">
        <f t="shared" ca="1" si="317"/>
        <v>0</v>
      </c>
      <c r="U414" s="49">
        <f t="shared" ca="1" si="318"/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7">
        <f t="shared" ref="L415:N415" ca="1" si="321">L418+L421</f>
        <v>2053310</v>
      </c>
      <c r="M415" s="47">
        <f t="shared" ca="1" si="321"/>
        <v>2264810</v>
      </c>
      <c r="N415" s="47">
        <f t="shared" ca="1" si="321"/>
        <v>158182.06</v>
      </c>
      <c r="O415" s="47">
        <f t="shared" ca="1" si="314"/>
        <v>7.7037592959660257</v>
      </c>
      <c r="P415" s="47">
        <f t="shared" ca="1" si="315"/>
        <v>6.9843412913224512</v>
      </c>
      <c r="Q415" s="47">
        <f t="shared" ref="Q415:S415" ca="1" si="322">Q418+Q421</f>
        <v>347120</v>
      </c>
      <c r="R415" s="47">
        <f t="shared" ca="1" si="322"/>
        <v>347120</v>
      </c>
      <c r="S415" s="47">
        <f t="shared" ca="1" si="322"/>
        <v>0</v>
      </c>
      <c r="T415" s="47">
        <f t="shared" ca="1" si="317"/>
        <v>0</v>
      </c>
      <c r="U415" s="47">
        <f t="shared" ca="1" si="318"/>
        <v>0</v>
      </c>
    </row>
    <row r="416" spans="1:21" ht="19.5" x14ac:dyDescent="0.3">
      <c r="A416" s="128"/>
      <c r="B416" s="159"/>
      <c r="C416" s="159"/>
      <c r="D416" s="324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47">
        <f t="shared" ref="L416:N416" ca="1" si="323">L417+L418</f>
        <v>2053310</v>
      </c>
      <c r="M416" s="47">
        <f t="shared" ca="1" si="323"/>
        <v>2264810</v>
      </c>
      <c r="N416" s="47">
        <f t="shared" ca="1" si="323"/>
        <v>158182.06</v>
      </c>
      <c r="O416" s="47">
        <f t="shared" ca="1" si="314"/>
        <v>7.7037592959660257</v>
      </c>
      <c r="P416" s="47">
        <f t="shared" ca="1" si="315"/>
        <v>6.9843412913224512</v>
      </c>
      <c r="Q416" s="47">
        <f t="shared" ref="Q416:S416" ca="1" si="324">Q417+Q418</f>
        <v>347120</v>
      </c>
      <c r="R416" s="47">
        <f t="shared" ca="1" si="324"/>
        <v>347120</v>
      </c>
      <c r="S416" s="47">
        <f t="shared" ca="1" si="324"/>
        <v>0</v>
      </c>
      <c r="T416" s="47">
        <f t="shared" ca="1" si="317"/>
        <v>0</v>
      </c>
      <c r="U416" s="47">
        <f t="shared" ca="1" si="318"/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49">
        <f ca="1">IFERROR(__xludf.DUMMYFUNCTION("IMPORTRANGE(""https://docs.google.com/spreadsheets/d/1kKUcYdkIfrgTSj8iHHHB2MD2FAtwyyocFgqGQn6ADyI/edit?usp=sharing"",""กระบี่!L417"")+IMPORTRANGE(""https://docs.google.com/spreadsheets/d/1GwtLaSlNZkLk7iDqcyZz22giiy40b_usZZBXYciEN1U/edit?usp=sharing"",""ชุ"&amp;"มพร!L417"")+IMPORTRANGE(""https://docs.google.com/spreadsheets/d/16pAz3pOhQEZBhvFNMa5KGgZS6iKWpsKX0pg6tQmwFpo/edit?usp=sharing"",""ตรัง!L417"")+IMPORTRANGE(""https://docs.google.com/spreadsheets/d/1Dj4jcHCTV9JXKCaMoheSXS52JE63kDKyG7bPXnFogHk/edit?usp=shar"&amp;"ing"",""นครศรีธรรมราช!L417"")+IMPORTRANGE(""https://docs.google.com/spreadsheets/d/1iodCdmuK2GR3jzUwk8tpccY2JHQQA-87DLOtJP-ooyU/edit?usp=sharing"",""นราธิวาส!L417"")+IMPORTRANGE(""https://docs.google.com/spreadsheets/d/1SDNX3JhDdYRuIOsj0Wh2M-Qa_eaXl0NbWmh"&amp;"AOTbfQAs/edit?usp=sharing"",""ปัตตานี!L417"")+IMPORTRANGE(""https://docs.google.com/spreadsheets/d/16JDLGguT8s5DsGCND1KcwHP_AWR_zDMTqLHPLJUKhaU/edit?usp=sharing"",""พังงา!L417"")+IMPORTRANGE(""https://docs.google.com/spreadsheets/d/17ht0gPKzzT3PObBL1XJkeR"&amp;"mntBXI7wGjpLV7QorqlTk/edit?usp=sharing"",""พัทลุง!L417"")+IMPORTRANGE(""https://docs.google.com/spreadsheets/d/1rd4qoM1q_hsgaolqNGfrim9gbsoLxQsda4-vOz5x_BM/edit?usp=sharing"",""ภูเก็ต!L417"")+IMPORTRANGE(""https://docs.google.com/spreadsheets/d/1woKwKjgoL"&amp;"ssDvPcPeVyezB5izizAn4X1JDrys69n6xI/edit?usp=sharing"",""ยะลา!L417"")+IMPORTRANGE(""https://docs.google.com/spreadsheets/d/1qfrKjzMhm2HJfxQ-qVlJlJQ25Hne1d0khsySbZyGtPA/edit?usp=sharing"",""ระนอง!L417"")+IMPORTRANGE(""https://docs.google.com/spreadsheets/d/"&amp;"1IbSCnFOKpZsnFogBHJnL_isstZVaOMnFiIN0fGTPZZw/edit?usp=sharing"",""สงขลา!L417"")+IMPORTRANGE(""https://docs.google.com/spreadsheets/d/1q9nWasZJ-K8bFGvbE9n0qSRuKGA4Toe3Y89cKCiVtCU/edit?usp=sharing"",""สตูล!L417"")+IMPORTRANGE(""https://docs.google.com/sprea"&amp;"dsheets/d/18T20gbkS_WBjdscyTOV05cvq_JqvqQ17C81mpxf7Ncs/edit?usp=sharing"",""สุราษฎร์ธานี!L417"")"),0)</f>
        <v>0</v>
      </c>
      <c r="M417" s="49">
        <f ca="1">IFERROR(__xludf.DUMMYFUNCTION("IMPORTRANGE(""https://docs.google.com/spreadsheets/d/1kKUcYdkIfrgTSj8iHHHB2MD2FAtwyyocFgqGQn6ADyI/edit?usp=sharing"",""กระบี่!M417"")+IMPORTRANGE(""https://docs.google.com/spreadsheets/d/1GwtLaSlNZkLk7iDqcyZz22giiy40b_usZZBXYciEN1U/edit?usp=sharing"",""ชุ"&amp;"มพร!M417"")+IMPORTRANGE(""https://docs.google.com/spreadsheets/d/16pAz3pOhQEZBhvFNMa5KGgZS6iKWpsKX0pg6tQmwFpo/edit?usp=sharing"",""ตรัง!M417"")+IMPORTRANGE(""https://docs.google.com/spreadsheets/d/1Dj4jcHCTV9JXKCaMoheSXS52JE63kDKyG7bPXnFogHk/edit?usp=shar"&amp;"ing"",""นครศรีธรรมราช!M417"")+IMPORTRANGE(""https://docs.google.com/spreadsheets/d/1iodCdmuK2GR3jzUwk8tpccY2JHQQA-87DLOtJP-ooyU/edit?usp=sharing"",""นราธิวาส!M417"")+IMPORTRANGE(""https://docs.google.com/spreadsheets/d/1SDNX3JhDdYRuIOsj0Wh2M-Qa_eaXl0NbWmh"&amp;"AOTbfQAs/edit?usp=sharing"",""ปัตตานี!M417"")+IMPORTRANGE(""https://docs.google.com/spreadsheets/d/16JDLGguT8s5DsGCND1KcwHP_AWR_zDMTqLHPLJUKhaU/edit?usp=sharing"",""พังงา!M417"")+IMPORTRANGE(""https://docs.google.com/spreadsheets/d/17ht0gPKzzT3PObBL1XJkeR"&amp;"mntBXI7wGjpLV7QorqlTk/edit?usp=sharing"",""พัทลุง!M417"")+IMPORTRANGE(""https://docs.google.com/spreadsheets/d/1rd4qoM1q_hsgaolqNGfrim9gbsoLxQsda4-vOz5x_BM/edit?usp=sharing"",""ภูเก็ต!M417"")+IMPORTRANGE(""https://docs.google.com/spreadsheets/d/1woKwKjgoL"&amp;"ssDvPcPeVyezB5izizAn4X1JDrys69n6xI/edit?usp=sharing"",""ยะลา!M417"")+IMPORTRANGE(""https://docs.google.com/spreadsheets/d/1qfrKjzMhm2HJfxQ-qVlJlJQ25Hne1d0khsySbZyGtPA/edit?usp=sharing"",""ระนอง!M417"")+IMPORTRANGE(""https://docs.google.com/spreadsheets/d/"&amp;"1IbSCnFOKpZsnFogBHJnL_isstZVaOMnFiIN0fGTPZZw/edit?usp=sharing"",""สงขลา!M417"")+IMPORTRANGE(""https://docs.google.com/spreadsheets/d/1q9nWasZJ-K8bFGvbE9n0qSRuKGA4Toe3Y89cKCiVtCU/edit?usp=sharing"",""สตูล!M417"")+IMPORTRANGE(""https://docs.google.com/sprea"&amp;"dsheets/d/18T20gbkS_WBjdscyTOV05cvq_JqvqQ17C81mpxf7Ncs/edit?usp=sharing"",""สุราษฎร์ธานี!M417"")"),0)</f>
        <v>0</v>
      </c>
      <c r="N417" s="49">
        <f ca="1">IFERROR(__xludf.DUMMYFUNCTION("IMPORTRANGE(""https://docs.google.com/spreadsheets/d/1kKUcYdkIfrgTSj8iHHHB2MD2FAtwyyocFgqGQn6ADyI/edit?usp=sharing"",""กระบี่!N417"")+IMPORTRANGE(""https://docs.google.com/spreadsheets/d/1GwtLaSlNZkLk7iDqcyZz22giiy40b_usZZBXYciEN1U/edit?usp=sharing"",""ชุ"&amp;"มพร!N417"")+IMPORTRANGE(""https://docs.google.com/spreadsheets/d/16pAz3pOhQEZBhvFNMa5KGgZS6iKWpsKX0pg6tQmwFpo/edit?usp=sharing"",""ตรัง!N417"")+IMPORTRANGE(""https://docs.google.com/spreadsheets/d/1Dj4jcHCTV9JXKCaMoheSXS52JE63kDKyG7bPXnFogHk/edit?usp=shar"&amp;"ing"",""นครศรีธรรมราช!N417"")+IMPORTRANGE(""https://docs.google.com/spreadsheets/d/1iodCdmuK2GR3jzUwk8tpccY2JHQQA-87DLOtJP-ooyU/edit?usp=sharing"",""นราธิวาส!N417"")+IMPORTRANGE(""https://docs.google.com/spreadsheets/d/1SDNX3JhDdYRuIOsj0Wh2M-Qa_eaXl0NbWmh"&amp;"AOTbfQAs/edit?usp=sharing"",""ปัตตานี!N417"")+IMPORTRANGE(""https://docs.google.com/spreadsheets/d/16JDLGguT8s5DsGCND1KcwHP_AWR_zDMTqLHPLJUKhaU/edit?usp=sharing"",""พังงา!N417"")+IMPORTRANGE(""https://docs.google.com/spreadsheets/d/17ht0gPKzzT3PObBL1XJkeR"&amp;"mntBXI7wGjpLV7QorqlTk/edit?usp=sharing"",""พัทลุง!N417"")+IMPORTRANGE(""https://docs.google.com/spreadsheets/d/1rd4qoM1q_hsgaolqNGfrim9gbsoLxQsda4-vOz5x_BM/edit?usp=sharing"",""ภูเก็ต!N417"")+IMPORTRANGE(""https://docs.google.com/spreadsheets/d/1woKwKjgoL"&amp;"ssDvPcPeVyezB5izizAn4X1JDrys69n6xI/edit?usp=sharing"",""ยะลา!N417"")+IMPORTRANGE(""https://docs.google.com/spreadsheets/d/1qfrKjzMhm2HJfxQ-qVlJlJQ25Hne1d0khsySbZyGtPA/edit?usp=sharing"",""ระนอง!N417"")+IMPORTRANGE(""https://docs.google.com/spreadsheets/d/"&amp;"1IbSCnFOKpZsnFogBHJnL_isstZVaOMnFiIN0fGTPZZw/edit?usp=sharing"",""สงขลา!N417"")+IMPORTRANGE(""https://docs.google.com/spreadsheets/d/1q9nWasZJ-K8bFGvbE9n0qSRuKGA4Toe3Y89cKCiVtCU/edit?usp=sharing"",""สตูล!N417"")+IMPORTRANGE(""https://docs.google.com/sprea"&amp;"dsheets/d/18T20gbkS_WBjdscyTOV05cvq_JqvqQ17C81mpxf7Ncs/edit?usp=sharing"",""สุราษฎร์ธานี!N417"")"),0)</f>
        <v>0</v>
      </c>
      <c r="O417" s="49">
        <f t="shared" ca="1" si="314"/>
        <v>0</v>
      </c>
      <c r="P417" s="49">
        <f t="shared" ca="1" si="315"/>
        <v>0</v>
      </c>
      <c r="Q417" s="49">
        <f ca="1">IFERROR(__xludf.DUMMYFUNCTION("IMPORTRANGE(""https://docs.google.com/spreadsheets/d/1kKUcYdkIfrgTSj8iHHHB2MD2FAtwyyocFgqGQn6ADyI/edit?usp=sharing"",""กระบี่!Q417"")+IMPORTRANGE(""https://docs.google.com/spreadsheets/d/1GwtLaSlNZkLk7iDqcyZz22giiy40b_usZZBXYciEN1U/edit?usp=sharing"",""ชุ"&amp;"มพร!Q417"")+IMPORTRANGE(""https://docs.google.com/spreadsheets/d/16pAz3pOhQEZBhvFNMa5KGgZS6iKWpsKX0pg6tQmwFpo/edit?usp=sharing"",""ตรัง!Q417"")+IMPORTRANGE(""https://docs.google.com/spreadsheets/d/1Dj4jcHCTV9JXKCaMoheSXS52JE63kDKyG7bPXnFogHk/edit?usp=shar"&amp;"ing"",""นครศรีธรรมราช!Q417"")+IMPORTRANGE(""https://docs.google.com/spreadsheets/d/1iodCdmuK2GR3jzUwk8tpccY2JHQQA-87DLOtJP-ooyU/edit?usp=sharing"",""นราธิวาส!Q417"")+IMPORTRANGE(""https://docs.google.com/spreadsheets/d/1SDNX3JhDdYRuIOsj0Wh2M-Qa_eaXl0NbWmh"&amp;"AOTbfQAs/edit?usp=sharing"",""ปัตตานี!Q417"")+IMPORTRANGE(""https://docs.google.com/spreadsheets/d/16JDLGguT8s5DsGCND1KcwHP_AWR_zDMTqLHPLJUKhaU/edit?usp=sharing"",""พังงา!Q417"")+IMPORTRANGE(""https://docs.google.com/spreadsheets/d/17ht0gPKzzT3PObBL1XJkeR"&amp;"mntBXI7wGjpLV7QorqlTk/edit?usp=sharing"",""พัทลุง!Q417"")+IMPORTRANGE(""https://docs.google.com/spreadsheets/d/1rd4qoM1q_hsgaolqNGfrim9gbsoLxQsda4-vOz5x_BM/edit?usp=sharing"",""ภูเก็ต!Q417"")+IMPORTRANGE(""https://docs.google.com/spreadsheets/d/1woKwKjgoL"&amp;"ssDvPcPeVyezB5izizAn4X1JDrys69n6xI/edit?usp=sharing"",""ยะลา!Q417"")+IMPORTRANGE(""https://docs.google.com/spreadsheets/d/1qfrKjzMhm2HJfxQ-qVlJlJQ25Hne1d0khsySbZyGtPA/edit?usp=sharing"",""ระนอง!Q417"")+IMPORTRANGE(""https://docs.google.com/spreadsheets/d/"&amp;"1IbSCnFOKpZsnFogBHJnL_isstZVaOMnFiIN0fGTPZZw/edit?usp=sharing"",""สงขลา!Q417"")+IMPORTRANGE(""https://docs.google.com/spreadsheets/d/1q9nWasZJ-K8bFGvbE9n0qSRuKGA4Toe3Y89cKCiVtCU/edit?usp=sharing"",""สตูล!Q417"")+IMPORTRANGE(""https://docs.google.com/sprea"&amp;"dsheets/d/18T20gbkS_WBjdscyTOV05cvq_JqvqQ17C81mpxf7Ncs/edit?usp=sharing"",""สุราษฎร์ธานี!Q417"")"),0)</f>
        <v>0</v>
      </c>
      <c r="R417" s="49">
        <f ca="1">IFERROR(__xludf.DUMMYFUNCTION("IMPORTRANGE(""https://docs.google.com/spreadsheets/d/1kKUcYdkIfrgTSj8iHHHB2MD2FAtwyyocFgqGQn6ADyI/edit?usp=sharing"",""กระบี่!R417"")+IMPORTRANGE(""https://docs.google.com/spreadsheets/d/1GwtLaSlNZkLk7iDqcyZz22giiy40b_usZZBXYciEN1U/edit?usp=sharing"",""ชุ"&amp;"มพร!R417"")+IMPORTRANGE(""https://docs.google.com/spreadsheets/d/16pAz3pOhQEZBhvFNMa5KGgZS6iKWpsKX0pg6tQmwFpo/edit?usp=sharing"",""ตรัง!R417"")+IMPORTRANGE(""https://docs.google.com/spreadsheets/d/1Dj4jcHCTV9JXKCaMoheSXS52JE63kDKyG7bPXnFogHk/edit?usp=shar"&amp;"ing"",""นครศรีธรรมราช!R417"")+IMPORTRANGE(""https://docs.google.com/spreadsheets/d/1iodCdmuK2GR3jzUwk8tpccY2JHQQA-87DLOtJP-ooyU/edit?usp=sharing"",""นราธิวาส!R417"")+IMPORTRANGE(""https://docs.google.com/spreadsheets/d/1SDNX3JhDdYRuIOsj0Wh2M-Qa_eaXl0NbWmh"&amp;"AOTbfQAs/edit?usp=sharing"",""ปัตตานี!R417"")+IMPORTRANGE(""https://docs.google.com/spreadsheets/d/16JDLGguT8s5DsGCND1KcwHP_AWR_zDMTqLHPLJUKhaU/edit?usp=sharing"",""พังงา!R417"")+IMPORTRANGE(""https://docs.google.com/spreadsheets/d/17ht0gPKzzT3PObBL1XJkeR"&amp;"mntBXI7wGjpLV7QorqlTk/edit?usp=sharing"",""พัทลุง!R417"")+IMPORTRANGE(""https://docs.google.com/spreadsheets/d/1rd4qoM1q_hsgaolqNGfrim9gbsoLxQsda4-vOz5x_BM/edit?usp=sharing"",""ภูเก็ต!R417"")+IMPORTRANGE(""https://docs.google.com/spreadsheets/d/1woKwKjgoL"&amp;"ssDvPcPeVyezB5izizAn4X1JDrys69n6xI/edit?usp=sharing"",""ยะลา!R417"")+IMPORTRANGE(""https://docs.google.com/spreadsheets/d/1qfrKjzMhm2HJfxQ-qVlJlJQ25Hne1d0khsySbZyGtPA/edit?usp=sharing"",""ระนอง!R417"")+IMPORTRANGE(""https://docs.google.com/spreadsheets/d/"&amp;"1IbSCnFOKpZsnFogBHJnL_isstZVaOMnFiIN0fGTPZZw/edit?usp=sharing"",""สงขลา!R417"")+IMPORTRANGE(""https://docs.google.com/spreadsheets/d/1q9nWasZJ-K8bFGvbE9n0qSRuKGA4Toe3Y89cKCiVtCU/edit?usp=sharing"",""สตูล!R417"")+IMPORTRANGE(""https://docs.google.com/sprea"&amp;"dsheets/d/18T20gbkS_WBjdscyTOV05cvq_JqvqQ17C81mpxf7Ncs/edit?usp=sharing"",""สุราษฎร์ธานี!R417"")"),0)</f>
        <v>0</v>
      </c>
      <c r="S417" s="49">
        <f ca="1">IFERROR(__xludf.DUMMYFUNCTION("IMPORTRANGE(""https://docs.google.com/spreadsheets/d/1kKUcYdkIfrgTSj8iHHHB2MD2FAtwyyocFgqGQn6ADyI/edit?usp=sharing"",""กระบี่!S417"")+IMPORTRANGE(""https://docs.google.com/spreadsheets/d/1GwtLaSlNZkLk7iDqcyZz22giiy40b_usZZBXYciEN1U/edit?usp=sharing"",""ชุ"&amp;"มพร!S417"")+IMPORTRANGE(""https://docs.google.com/spreadsheets/d/16pAz3pOhQEZBhvFNMa5KGgZS6iKWpsKX0pg6tQmwFpo/edit?usp=sharing"",""ตรัง!S417"")+IMPORTRANGE(""https://docs.google.com/spreadsheets/d/1Dj4jcHCTV9JXKCaMoheSXS52JE63kDKyG7bPXnFogHk/edit?usp=shar"&amp;"ing"",""นครศรีธรรมราช!S417"")+IMPORTRANGE(""https://docs.google.com/spreadsheets/d/1iodCdmuK2GR3jzUwk8tpccY2JHQQA-87DLOtJP-ooyU/edit?usp=sharing"",""นราธิวาส!S417"")+IMPORTRANGE(""https://docs.google.com/spreadsheets/d/1SDNX3JhDdYRuIOsj0Wh2M-Qa_eaXl0NbWmh"&amp;"AOTbfQAs/edit?usp=sharing"",""ปัตตานี!S417"")+IMPORTRANGE(""https://docs.google.com/spreadsheets/d/16JDLGguT8s5DsGCND1KcwHP_AWR_zDMTqLHPLJUKhaU/edit?usp=sharing"",""พังงา!S417"")+IMPORTRANGE(""https://docs.google.com/spreadsheets/d/17ht0gPKzzT3PObBL1XJkeR"&amp;"mntBXI7wGjpLV7QorqlTk/edit?usp=sharing"",""พัทลุง!S417"")+IMPORTRANGE(""https://docs.google.com/spreadsheets/d/1rd4qoM1q_hsgaolqNGfrim9gbsoLxQsda4-vOz5x_BM/edit?usp=sharing"",""ภูเก็ต!S417"")+IMPORTRANGE(""https://docs.google.com/spreadsheets/d/1woKwKjgoL"&amp;"ssDvPcPeVyezB5izizAn4X1JDrys69n6xI/edit?usp=sharing"",""ยะลา!S417"")+IMPORTRANGE(""https://docs.google.com/spreadsheets/d/1qfrKjzMhm2HJfxQ-qVlJlJQ25Hne1d0khsySbZyGtPA/edit?usp=sharing"",""ระนอง!S417"")+IMPORTRANGE(""https://docs.google.com/spreadsheets/d/"&amp;"1IbSCnFOKpZsnFogBHJnL_isstZVaOMnFiIN0fGTPZZw/edit?usp=sharing"",""สงขลา!S417"")+IMPORTRANGE(""https://docs.google.com/spreadsheets/d/1q9nWasZJ-K8bFGvbE9n0qSRuKGA4Toe3Y89cKCiVtCU/edit?usp=sharing"",""สตูล!S417"")+IMPORTRANGE(""https://docs.google.com/sprea"&amp;"dsheets/d/18T20gbkS_WBjdscyTOV05cvq_JqvqQ17C81mpxf7Ncs/edit?usp=sharing"",""สุราษฎร์ธานี!S417"")"),0)</f>
        <v>0</v>
      </c>
      <c r="T417" s="49">
        <f t="shared" ca="1" si="317"/>
        <v>0</v>
      </c>
      <c r="U417" s="49">
        <f t="shared" ca="1" si="318"/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7">
        <f ca="1">IFERROR(__xludf.DUMMYFUNCTION("IMPORTRANGE(""https://docs.google.com/spreadsheets/d/1kKUcYdkIfrgTSj8iHHHB2MD2FAtwyyocFgqGQn6ADyI/edit?usp=sharing"",""กระบี่!L418"")+IMPORTRANGE(""https://docs.google.com/spreadsheets/d/1GwtLaSlNZkLk7iDqcyZz22giiy40b_usZZBXYciEN1U/edit?usp=sharing"",""ชุ"&amp;"มพร!L418"")+IMPORTRANGE(""https://docs.google.com/spreadsheets/d/16pAz3pOhQEZBhvFNMa5KGgZS6iKWpsKX0pg6tQmwFpo/edit?usp=sharing"",""ตรัง!L418"")+IMPORTRANGE(""https://docs.google.com/spreadsheets/d/1Dj4jcHCTV9JXKCaMoheSXS52JE63kDKyG7bPXnFogHk/edit?usp=shar"&amp;"ing"",""นครศรีธรรมราช!L418"")+IMPORTRANGE(""https://docs.google.com/spreadsheets/d/1iodCdmuK2GR3jzUwk8tpccY2JHQQA-87DLOtJP-ooyU/edit?usp=sharing"",""นราธิวาส!L418"")+IMPORTRANGE(""https://docs.google.com/spreadsheets/d/1SDNX3JhDdYRuIOsj0Wh2M-Qa_eaXl0NbWmh"&amp;"AOTbfQAs/edit?usp=sharing"",""ปัตตานี!L418"")+IMPORTRANGE(""https://docs.google.com/spreadsheets/d/16JDLGguT8s5DsGCND1KcwHP_AWR_zDMTqLHPLJUKhaU/edit?usp=sharing"",""พังงา!L418"")+IMPORTRANGE(""https://docs.google.com/spreadsheets/d/17ht0gPKzzT3PObBL1XJkeR"&amp;"mntBXI7wGjpLV7QorqlTk/edit?usp=sharing"",""พัทลุง!L418"")+IMPORTRANGE(""https://docs.google.com/spreadsheets/d/1rd4qoM1q_hsgaolqNGfrim9gbsoLxQsda4-vOz5x_BM/edit?usp=sharing"",""ภูเก็ต!L418"")+IMPORTRANGE(""https://docs.google.com/spreadsheets/d/1woKwKjgoL"&amp;"ssDvPcPeVyezB5izizAn4X1JDrys69n6xI/edit?usp=sharing"",""ยะลา!L418"")+IMPORTRANGE(""https://docs.google.com/spreadsheets/d/1qfrKjzMhm2HJfxQ-qVlJlJQ25Hne1d0khsySbZyGtPA/edit?usp=sharing"",""ระนอง!L418"")+IMPORTRANGE(""https://docs.google.com/spreadsheets/d/"&amp;"1IbSCnFOKpZsnFogBHJnL_isstZVaOMnFiIN0fGTPZZw/edit?usp=sharing"",""สงขลา!L418"")+IMPORTRANGE(""https://docs.google.com/spreadsheets/d/1q9nWasZJ-K8bFGvbE9n0qSRuKGA4Toe3Y89cKCiVtCU/edit?usp=sharing"",""สตูล!L418"")+IMPORTRANGE(""https://docs.google.com/sprea"&amp;"dsheets/d/18T20gbkS_WBjdscyTOV05cvq_JqvqQ17C81mpxf7Ncs/edit?usp=sharing"",""สุราษฎร์ธานี!L418"")"),2053310)</f>
        <v>2053310</v>
      </c>
      <c r="M418" s="47">
        <f ca="1">IFERROR(__xludf.DUMMYFUNCTION("IMPORTRANGE(""https://docs.google.com/spreadsheets/d/1kKUcYdkIfrgTSj8iHHHB2MD2FAtwyyocFgqGQn6ADyI/edit?usp=sharing"",""กระบี่!M418"")+IMPORTRANGE(""https://docs.google.com/spreadsheets/d/1GwtLaSlNZkLk7iDqcyZz22giiy40b_usZZBXYciEN1U/edit?usp=sharing"",""ชุ"&amp;"มพร!M418"")+IMPORTRANGE(""https://docs.google.com/spreadsheets/d/16pAz3pOhQEZBhvFNMa5KGgZS6iKWpsKX0pg6tQmwFpo/edit?usp=sharing"",""ตรัง!M418"")+IMPORTRANGE(""https://docs.google.com/spreadsheets/d/1Dj4jcHCTV9JXKCaMoheSXS52JE63kDKyG7bPXnFogHk/edit?usp=shar"&amp;"ing"",""นครศรีธรรมราช!M418"")+IMPORTRANGE(""https://docs.google.com/spreadsheets/d/1iodCdmuK2GR3jzUwk8tpccY2JHQQA-87DLOtJP-ooyU/edit?usp=sharing"",""นราธิวาส!M418"")+IMPORTRANGE(""https://docs.google.com/spreadsheets/d/1SDNX3JhDdYRuIOsj0Wh2M-Qa_eaXl0NbWmh"&amp;"AOTbfQAs/edit?usp=sharing"",""ปัตตานี!M418"")+IMPORTRANGE(""https://docs.google.com/spreadsheets/d/16JDLGguT8s5DsGCND1KcwHP_AWR_zDMTqLHPLJUKhaU/edit?usp=sharing"",""พังงา!M418"")+IMPORTRANGE(""https://docs.google.com/spreadsheets/d/17ht0gPKzzT3PObBL1XJkeR"&amp;"mntBXI7wGjpLV7QorqlTk/edit?usp=sharing"",""พัทลุง!M418"")+IMPORTRANGE(""https://docs.google.com/spreadsheets/d/1rd4qoM1q_hsgaolqNGfrim9gbsoLxQsda4-vOz5x_BM/edit?usp=sharing"",""ภูเก็ต!M418"")+IMPORTRANGE(""https://docs.google.com/spreadsheets/d/1woKwKjgoL"&amp;"ssDvPcPeVyezB5izizAn4X1JDrys69n6xI/edit?usp=sharing"",""ยะลา!M418"")+IMPORTRANGE(""https://docs.google.com/spreadsheets/d/1qfrKjzMhm2HJfxQ-qVlJlJQ25Hne1d0khsySbZyGtPA/edit?usp=sharing"",""ระนอง!M418"")+IMPORTRANGE(""https://docs.google.com/spreadsheets/d/"&amp;"1IbSCnFOKpZsnFogBHJnL_isstZVaOMnFiIN0fGTPZZw/edit?usp=sharing"",""สงขลา!M418"")+IMPORTRANGE(""https://docs.google.com/spreadsheets/d/1q9nWasZJ-K8bFGvbE9n0qSRuKGA4Toe3Y89cKCiVtCU/edit?usp=sharing"",""สตูล!M418"")+IMPORTRANGE(""https://docs.google.com/sprea"&amp;"dsheets/d/18T20gbkS_WBjdscyTOV05cvq_JqvqQ17C81mpxf7Ncs/edit?usp=sharing"",""สุราษฎร์ธานี!M418"")"),2264810)</f>
        <v>2264810</v>
      </c>
      <c r="N418" s="47">
        <f ca="1">IFERROR(__xludf.DUMMYFUNCTION("IMPORTRANGE(""https://docs.google.com/spreadsheets/d/1kKUcYdkIfrgTSj8iHHHB2MD2FAtwyyocFgqGQn6ADyI/edit?usp=sharing"",""กระบี่!N418"")+IMPORTRANGE(""https://docs.google.com/spreadsheets/d/1GwtLaSlNZkLk7iDqcyZz22giiy40b_usZZBXYciEN1U/edit?usp=sharing"",""ชุ"&amp;"มพร!N418"")+IMPORTRANGE(""https://docs.google.com/spreadsheets/d/16pAz3pOhQEZBhvFNMa5KGgZS6iKWpsKX0pg6tQmwFpo/edit?usp=sharing"",""ตรัง!N418"")+IMPORTRANGE(""https://docs.google.com/spreadsheets/d/1Dj4jcHCTV9JXKCaMoheSXS52JE63kDKyG7bPXnFogHk/edit?usp=shar"&amp;"ing"",""นครศรีธรรมราช!N418"")+IMPORTRANGE(""https://docs.google.com/spreadsheets/d/1iodCdmuK2GR3jzUwk8tpccY2JHQQA-87DLOtJP-ooyU/edit?usp=sharing"",""นราธิวาส!N418"")+IMPORTRANGE(""https://docs.google.com/spreadsheets/d/1SDNX3JhDdYRuIOsj0Wh2M-Qa_eaXl0NbWmh"&amp;"AOTbfQAs/edit?usp=sharing"",""ปัตตานี!N418"")+IMPORTRANGE(""https://docs.google.com/spreadsheets/d/16JDLGguT8s5DsGCND1KcwHP_AWR_zDMTqLHPLJUKhaU/edit?usp=sharing"",""พังงา!N418"")+IMPORTRANGE(""https://docs.google.com/spreadsheets/d/17ht0gPKzzT3PObBL1XJkeR"&amp;"mntBXI7wGjpLV7QorqlTk/edit?usp=sharing"",""พัทลุง!N418"")+IMPORTRANGE(""https://docs.google.com/spreadsheets/d/1rd4qoM1q_hsgaolqNGfrim9gbsoLxQsda4-vOz5x_BM/edit?usp=sharing"",""ภูเก็ต!N418"")+IMPORTRANGE(""https://docs.google.com/spreadsheets/d/1woKwKjgoL"&amp;"ssDvPcPeVyezB5izizAn4X1JDrys69n6xI/edit?usp=sharing"",""ยะลา!N418"")+IMPORTRANGE(""https://docs.google.com/spreadsheets/d/1qfrKjzMhm2HJfxQ-qVlJlJQ25Hne1d0khsySbZyGtPA/edit?usp=sharing"",""ระนอง!N418"")+IMPORTRANGE(""https://docs.google.com/spreadsheets/d/"&amp;"1IbSCnFOKpZsnFogBHJnL_isstZVaOMnFiIN0fGTPZZw/edit?usp=sharing"",""สงขลา!N418"")+IMPORTRANGE(""https://docs.google.com/spreadsheets/d/1q9nWasZJ-K8bFGvbE9n0qSRuKGA4Toe3Y89cKCiVtCU/edit?usp=sharing"",""สตูล!N418"")+IMPORTRANGE(""https://docs.google.com/sprea"&amp;"dsheets/d/18T20gbkS_WBjdscyTOV05cvq_JqvqQ17C81mpxf7Ncs/edit?usp=sharing"",""สุราษฎร์ธานี!N418"")"),158182.06)</f>
        <v>158182.06</v>
      </c>
      <c r="O418" s="47">
        <f t="shared" ca="1" si="314"/>
        <v>7.7037592959660257</v>
      </c>
      <c r="P418" s="47">
        <f t="shared" ca="1" si="315"/>
        <v>6.9843412913224512</v>
      </c>
      <c r="Q418" s="47">
        <f ca="1">IFERROR(__xludf.DUMMYFUNCTION("IMPORTRANGE(""https://docs.google.com/spreadsheets/d/1kKUcYdkIfrgTSj8iHHHB2MD2FAtwyyocFgqGQn6ADyI/edit?usp=sharing"",""กระบี่!Q418"")+IMPORTRANGE(""https://docs.google.com/spreadsheets/d/1GwtLaSlNZkLk7iDqcyZz22giiy40b_usZZBXYciEN1U/edit?usp=sharing"",""ชุ"&amp;"มพร!Q418"")+IMPORTRANGE(""https://docs.google.com/spreadsheets/d/16pAz3pOhQEZBhvFNMa5KGgZS6iKWpsKX0pg6tQmwFpo/edit?usp=sharing"",""ตรัง!Q418"")+IMPORTRANGE(""https://docs.google.com/spreadsheets/d/1Dj4jcHCTV9JXKCaMoheSXS52JE63kDKyG7bPXnFogHk/edit?usp=shar"&amp;"ing"",""นครศรีธรรมราช!Q418"")+IMPORTRANGE(""https://docs.google.com/spreadsheets/d/1iodCdmuK2GR3jzUwk8tpccY2JHQQA-87DLOtJP-ooyU/edit?usp=sharing"",""นราธิวาส!Q418"")+IMPORTRANGE(""https://docs.google.com/spreadsheets/d/1SDNX3JhDdYRuIOsj0Wh2M-Qa_eaXl0NbWmh"&amp;"AOTbfQAs/edit?usp=sharing"",""ปัตตานี!Q418"")+IMPORTRANGE(""https://docs.google.com/spreadsheets/d/16JDLGguT8s5DsGCND1KcwHP_AWR_zDMTqLHPLJUKhaU/edit?usp=sharing"",""พังงา!Q418"")+IMPORTRANGE(""https://docs.google.com/spreadsheets/d/17ht0gPKzzT3PObBL1XJkeR"&amp;"mntBXI7wGjpLV7QorqlTk/edit?usp=sharing"",""พัทลุง!Q418"")+IMPORTRANGE(""https://docs.google.com/spreadsheets/d/1rd4qoM1q_hsgaolqNGfrim9gbsoLxQsda4-vOz5x_BM/edit?usp=sharing"",""ภูเก็ต!Q418"")+IMPORTRANGE(""https://docs.google.com/spreadsheets/d/1woKwKjgoL"&amp;"ssDvPcPeVyezB5izizAn4X1JDrys69n6xI/edit?usp=sharing"",""ยะลา!Q418"")+IMPORTRANGE(""https://docs.google.com/spreadsheets/d/1qfrKjzMhm2HJfxQ-qVlJlJQ25Hne1d0khsySbZyGtPA/edit?usp=sharing"",""ระนอง!Q418"")+IMPORTRANGE(""https://docs.google.com/spreadsheets/d/"&amp;"1IbSCnFOKpZsnFogBHJnL_isstZVaOMnFiIN0fGTPZZw/edit?usp=sharing"",""สงขลา!Q418"")+IMPORTRANGE(""https://docs.google.com/spreadsheets/d/1q9nWasZJ-K8bFGvbE9n0qSRuKGA4Toe3Y89cKCiVtCU/edit?usp=sharing"",""สตูล!Q418"")+IMPORTRANGE(""https://docs.google.com/sprea"&amp;"dsheets/d/18T20gbkS_WBjdscyTOV05cvq_JqvqQ17C81mpxf7Ncs/edit?usp=sharing"",""สุราษฎร์ธานี!Q418"")"),347120)</f>
        <v>347120</v>
      </c>
      <c r="R418" s="47">
        <f ca="1">IFERROR(__xludf.DUMMYFUNCTION("IMPORTRANGE(""https://docs.google.com/spreadsheets/d/1kKUcYdkIfrgTSj8iHHHB2MD2FAtwyyocFgqGQn6ADyI/edit?usp=sharing"",""กระบี่!R418"")+IMPORTRANGE(""https://docs.google.com/spreadsheets/d/1GwtLaSlNZkLk7iDqcyZz22giiy40b_usZZBXYciEN1U/edit?usp=sharing"",""ชุ"&amp;"มพร!R418"")+IMPORTRANGE(""https://docs.google.com/spreadsheets/d/16pAz3pOhQEZBhvFNMa5KGgZS6iKWpsKX0pg6tQmwFpo/edit?usp=sharing"",""ตรัง!R418"")+IMPORTRANGE(""https://docs.google.com/spreadsheets/d/1Dj4jcHCTV9JXKCaMoheSXS52JE63kDKyG7bPXnFogHk/edit?usp=shar"&amp;"ing"",""นครศรีธรรมราช!R418"")+IMPORTRANGE(""https://docs.google.com/spreadsheets/d/1iodCdmuK2GR3jzUwk8tpccY2JHQQA-87DLOtJP-ooyU/edit?usp=sharing"",""นราธิวาส!R418"")+IMPORTRANGE(""https://docs.google.com/spreadsheets/d/1SDNX3JhDdYRuIOsj0Wh2M-Qa_eaXl0NbWmh"&amp;"AOTbfQAs/edit?usp=sharing"",""ปัตตานี!R418"")+IMPORTRANGE(""https://docs.google.com/spreadsheets/d/16JDLGguT8s5DsGCND1KcwHP_AWR_zDMTqLHPLJUKhaU/edit?usp=sharing"",""พังงา!R418"")+IMPORTRANGE(""https://docs.google.com/spreadsheets/d/17ht0gPKzzT3PObBL1XJkeR"&amp;"mntBXI7wGjpLV7QorqlTk/edit?usp=sharing"",""พัทลุง!R418"")+IMPORTRANGE(""https://docs.google.com/spreadsheets/d/1rd4qoM1q_hsgaolqNGfrim9gbsoLxQsda4-vOz5x_BM/edit?usp=sharing"",""ภูเก็ต!R418"")+IMPORTRANGE(""https://docs.google.com/spreadsheets/d/1woKwKjgoL"&amp;"ssDvPcPeVyezB5izizAn4X1JDrys69n6xI/edit?usp=sharing"",""ยะลา!R418"")+IMPORTRANGE(""https://docs.google.com/spreadsheets/d/1qfrKjzMhm2HJfxQ-qVlJlJQ25Hne1d0khsySbZyGtPA/edit?usp=sharing"",""ระนอง!R418"")+IMPORTRANGE(""https://docs.google.com/spreadsheets/d/"&amp;"1IbSCnFOKpZsnFogBHJnL_isstZVaOMnFiIN0fGTPZZw/edit?usp=sharing"",""สงขลา!R418"")+IMPORTRANGE(""https://docs.google.com/spreadsheets/d/1q9nWasZJ-K8bFGvbE9n0qSRuKGA4Toe3Y89cKCiVtCU/edit?usp=sharing"",""สตูล!R418"")+IMPORTRANGE(""https://docs.google.com/sprea"&amp;"dsheets/d/18T20gbkS_WBjdscyTOV05cvq_JqvqQ17C81mpxf7Ncs/edit?usp=sharing"",""สุราษฎร์ธานี!R418"")"),347120)</f>
        <v>347120</v>
      </c>
      <c r="S418" s="47">
        <f ca="1">IFERROR(__xludf.DUMMYFUNCTION("IMPORTRANGE(""https://docs.google.com/spreadsheets/d/1kKUcYdkIfrgTSj8iHHHB2MD2FAtwyyocFgqGQn6ADyI/edit?usp=sharing"",""กระบี่!S418"")+IMPORTRANGE(""https://docs.google.com/spreadsheets/d/1GwtLaSlNZkLk7iDqcyZz22giiy40b_usZZBXYciEN1U/edit?usp=sharing"",""ชุ"&amp;"มพร!S418"")+IMPORTRANGE(""https://docs.google.com/spreadsheets/d/16pAz3pOhQEZBhvFNMa5KGgZS6iKWpsKX0pg6tQmwFpo/edit?usp=sharing"",""ตรัง!S418"")+IMPORTRANGE(""https://docs.google.com/spreadsheets/d/1Dj4jcHCTV9JXKCaMoheSXS52JE63kDKyG7bPXnFogHk/edit?usp=shar"&amp;"ing"",""นครศรีธรรมราช!S418"")+IMPORTRANGE(""https://docs.google.com/spreadsheets/d/1iodCdmuK2GR3jzUwk8tpccY2JHQQA-87DLOtJP-ooyU/edit?usp=sharing"",""นราธิวาส!S418"")+IMPORTRANGE(""https://docs.google.com/spreadsheets/d/1SDNX3JhDdYRuIOsj0Wh2M-Qa_eaXl0NbWmh"&amp;"AOTbfQAs/edit?usp=sharing"",""ปัตตานี!S418"")+IMPORTRANGE(""https://docs.google.com/spreadsheets/d/16JDLGguT8s5DsGCND1KcwHP_AWR_zDMTqLHPLJUKhaU/edit?usp=sharing"",""พังงา!S418"")+IMPORTRANGE(""https://docs.google.com/spreadsheets/d/17ht0gPKzzT3PObBL1XJkeR"&amp;"mntBXI7wGjpLV7QorqlTk/edit?usp=sharing"",""พัทลุง!S418"")+IMPORTRANGE(""https://docs.google.com/spreadsheets/d/1rd4qoM1q_hsgaolqNGfrim9gbsoLxQsda4-vOz5x_BM/edit?usp=sharing"",""ภูเก็ต!S418"")+IMPORTRANGE(""https://docs.google.com/spreadsheets/d/1woKwKjgoL"&amp;"ssDvPcPeVyezB5izizAn4X1JDrys69n6xI/edit?usp=sharing"",""ยะลา!S418"")+IMPORTRANGE(""https://docs.google.com/spreadsheets/d/1qfrKjzMhm2HJfxQ-qVlJlJQ25Hne1d0khsySbZyGtPA/edit?usp=sharing"",""ระนอง!S418"")+IMPORTRANGE(""https://docs.google.com/spreadsheets/d/"&amp;"1IbSCnFOKpZsnFogBHJnL_isstZVaOMnFiIN0fGTPZZw/edit?usp=sharing"",""สงขลา!S418"")+IMPORTRANGE(""https://docs.google.com/spreadsheets/d/1q9nWasZJ-K8bFGvbE9n0qSRuKGA4Toe3Y89cKCiVtCU/edit?usp=sharing"",""สตูล!S418"")+IMPORTRANGE(""https://docs.google.com/sprea"&amp;"dsheets/d/18T20gbkS_WBjdscyTOV05cvq_JqvqQ17C81mpxf7Ncs/edit?usp=sharing"",""สุราษฎร์ธานี!S418"")"),0)</f>
        <v>0</v>
      </c>
      <c r="T418" s="47">
        <f t="shared" ca="1" si="317"/>
        <v>0</v>
      </c>
      <c r="U418" s="47">
        <f t="shared" ca="1" si="318"/>
        <v>0</v>
      </c>
    </row>
    <row r="419" spans="1:21" ht="19.5" x14ac:dyDescent="0.3">
      <c r="A419" s="128"/>
      <c r="B419" s="159"/>
      <c r="C419" s="159"/>
      <c r="D419" s="324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7">
        <f t="shared" ref="L419:N419" ca="1" si="325">L420+L421</f>
        <v>0</v>
      </c>
      <c r="M419" s="47">
        <f t="shared" ca="1" si="325"/>
        <v>0</v>
      </c>
      <c r="N419" s="47">
        <f t="shared" ca="1" si="325"/>
        <v>0</v>
      </c>
      <c r="O419" s="47">
        <f t="shared" ca="1" si="314"/>
        <v>0</v>
      </c>
      <c r="P419" s="47">
        <f t="shared" ca="1" si="315"/>
        <v>0</v>
      </c>
      <c r="Q419" s="47">
        <f t="shared" ref="Q419:S419" ca="1" si="326">Q420+Q421</f>
        <v>0</v>
      </c>
      <c r="R419" s="47">
        <f t="shared" ca="1" si="326"/>
        <v>0</v>
      </c>
      <c r="S419" s="47">
        <f t="shared" ca="1" si="326"/>
        <v>0</v>
      </c>
      <c r="T419" s="47">
        <f t="shared" ca="1" si="317"/>
        <v>0</v>
      </c>
      <c r="U419" s="47">
        <f t="shared" ca="1" si="318"/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49">
        <f ca="1">IFERROR(__xludf.DUMMYFUNCTION("IMPORTRANGE(""https://docs.google.com/spreadsheets/d/1kKUcYdkIfrgTSj8iHHHB2MD2FAtwyyocFgqGQn6ADyI/edit?usp=sharing"",""กระบี่!L420"")+IMPORTRANGE(""https://docs.google.com/spreadsheets/d/1GwtLaSlNZkLk7iDqcyZz22giiy40b_usZZBXYciEN1U/edit?usp=sharing"",""ชุ"&amp;"มพร!L420"")+IMPORTRANGE(""https://docs.google.com/spreadsheets/d/16pAz3pOhQEZBhvFNMa5KGgZS6iKWpsKX0pg6tQmwFpo/edit?usp=sharing"",""ตรัง!L420"")+IMPORTRANGE(""https://docs.google.com/spreadsheets/d/1Dj4jcHCTV9JXKCaMoheSXS52JE63kDKyG7bPXnFogHk/edit?usp=shar"&amp;"ing"",""นครศรีธรรมราช!L420"")+IMPORTRANGE(""https://docs.google.com/spreadsheets/d/1iodCdmuK2GR3jzUwk8tpccY2JHQQA-87DLOtJP-ooyU/edit?usp=sharing"",""นราธิวาส!L420"")+IMPORTRANGE(""https://docs.google.com/spreadsheets/d/1SDNX3JhDdYRuIOsj0Wh2M-Qa_eaXl0NbWmh"&amp;"AOTbfQAs/edit?usp=sharing"",""ปัตตานี!L420"")+IMPORTRANGE(""https://docs.google.com/spreadsheets/d/16JDLGguT8s5DsGCND1KcwHP_AWR_zDMTqLHPLJUKhaU/edit?usp=sharing"",""พังงา!L420"")+IMPORTRANGE(""https://docs.google.com/spreadsheets/d/17ht0gPKzzT3PObBL1XJkeR"&amp;"mntBXI7wGjpLV7QorqlTk/edit?usp=sharing"",""พัทลุง!L420"")+IMPORTRANGE(""https://docs.google.com/spreadsheets/d/1rd4qoM1q_hsgaolqNGfrim9gbsoLxQsda4-vOz5x_BM/edit?usp=sharing"",""ภูเก็ต!L420"")+IMPORTRANGE(""https://docs.google.com/spreadsheets/d/1woKwKjgoL"&amp;"ssDvPcPeVyezB5izizAn4X1JDrys69n6xI/edit?usp=sharing"",""ยะลา!L420"")+IMPORTRANGE(""https://docs.google.com/spreadsheets/d/1qfrKjzMhm2HJfxQ-qVlJlJQ25Hne1d0khsySbZyGtPA/edit?usp=sharing"",""ระนอง!L420"")+IMPORTRANGE(""https://docs.google.com/spreadsheets/d/"&amp;"1IbSCnFOKpZsnFogBHJnL_isstZVaOMnFiIN0fGTPZZw/edit?usp=sharing"",""สงขลา!L420"")+IMPORTRANGE(""https://docs.google.com/spreadsheets/d/1q9nWasZJ-K8bFGvbE9n0qSRuKGA4Toe3Y89cKCiVtCU/edit?usp=sharing"",""สตูล!L420"")+IMPORTRANGE(""https://docs.google.com/sprea"&amp;"dsheets/d/18T20gbkS_WBjdscyTOV05cvq_JqvqQ17C81mpxf7Ncs/edit?usp=sharing"",""สุราษฎร์ธานี!L420"")"),0)</f>
        <v>0</v>
      </c>
      <c r="M420" s="49">
        <f ca="1">IFERROR(__xludf.DUMMYFUNCTION("IMPORTRANGE(""https://docs.google.com/spreadsheets/d/1kKUcYdkIfrgTSj8iHHHB2MD2FAtwyyocFgqGQn6ADyI/edit?usp=sharing"",""กระบี่!M420"")+IMPORTRANGE(""https://docs.google.com/spreadsheets/d/1GwtLaSlNZkLk7iDqcyZz22giiy40b_usZZBXYciEN1U/edit?usp=sharing"",""ชุ"&amp;"มพร!M420"")+IMPORTRANGE(""https://docs.google.com/spreadsheets/d/16pAz3pOhQEZBhvFNMa5KGgZS6iKWpsKX0pg6tQmwFpo/edit?usp=sharing"",""ตรัง!M420"")+IMPORTRANGE(""https://docs.google.com/spreadsheets/d/1Dj4jcHCTV9JXKCaMoheSXS52JE63kDKyG7bPXnFogHk/edit?usp=shar"&amp;"ing"",""นครศรีธรรมราช!M420"")+IMPORTRANGE(""https://docs.google.com/spreadsheets/d/1iodCdmuK2GR3jzUwk8tpccY2JHQQA-87DLOtJP-ooyU/edit?usp=sharing"",""นราธิวาส!M420"")+IMPORTRANGE(""https://docs.google.com/spreadsheets/d/1SDNX3JhDdYRuIOsj0Wh2M-Qa_eaXl0NbWmh"&amp;"AOTbfQAs/edit?usp=sharing"",""ปัตตานี!M420"")+IMPORTRANGE(""https://docs.google.com/spreadsheets/d/16JDLGguT8s5DsGCND1KcwHP_AWR_zDMTqLHPLJUKhaU/edit?usp=sharing"",""พังงา!M420"")+IMPORTRANGE(""https://docs.google.com/spreadsheets/d/17ht0gPKzzT3PObBL1XJkeR"&amp;"mntBXI7wGjpLV7QorqlTk/edit?usp=sharing"",""พัทลุง!M420"")+IMPORTRANGE(""https://docs.google.com/spreadsheets/d/1rd4qoM1q_hsgaolqNGfrim9gbsoLxQsda4-vOz5x_BM/edit?usp=sharing"",""ภูเก็ต!M420"")+IMPORTRANGE(""https://docs.google.com/spreadsheets/d/1woKwKjgoL"&amp;"ssDvPcPeVyezB5izizAn4X1JDrys69n6xI/edit?usp=sharing"",""ยะลา!M420"")+IMPORTRANGE(""https://docs.google.com/spreadsheets/d/1qfrKjzMhm2HJfxQ-qVlJlJQ25Hne1d0khsySbZyGtPA/edit?usp=sharing"",""ระนอง!M420"")+IMPORTRANGE(""https://docs.google.com/spreadsheets/d/"&amp;"1IbSCnFOKpZsnFogBHJnL_isstZVaOMnFiIN0fGTPZZw/edit?usp=sharing"",""สงขลา!M420"")+IMPORTRANGE(""https://docs.google.com/spreadsheets/d/1q9nWasZJ-K8bFGvbE9n0qSRuKGA4Toe3Y89cKCiVtCU/edit?usp=sharing"",""สตูล!M420"")+IMPORTRANGE(""https://docs.google.com/sprea"&amp;"dsheets/d/18T20gbkS_WBjdscyTOV05cvq_JqvqQ17C81mpxf7Ncs/edit?usp=sharing"",""สุราษฎร์ธานี!M420"")"),0)</f>
        <v>0</v>
      </c>
      <c r="N420" s="49">
        <f ca="1">IFERROR(__xludf.DUMMYFUNCTION("IMPORTRANGE(""https://docs.google.com/spreadsheets/d/1kKUcYdkIfrgTSj8iHHHB2MD2FAtwyyocFgqGQn6ADyI/edit?usp=sharing"",""กระบี่!N420"")+IMPORTRANGE(""https://docs.google.com/spreadsheets/d/1GwtLaSlNZkLk7iDqcyZz22giiy40b_usZZBXYciEN1U/edit?usp=sharing"",""ชุ"&amp;"มพร!N420"")+IMPORTRANGE(""https://docs.google.com/spreadsheets/d/16pAz3pOhQEZBhvFNMa5KGgZS6iKWpsKX0pg6tQmwFpo/edit?usp=sharing"",""ตรัง!N420"")+IMPORTRANGE(""https://docs.google.com/spreadsheets/d/1Dj4jcHCTV9JXKCaMoheSXS52JE63kDKyG7bPXnFogHk/edit?usp=shar"&amp;"ing"",""นครศรีธรรมราช!N420"")+IMPORTRANGE(""https://docs.google.com/spreadsheets/d/1iodCdmuK2GR3jzUwk8tpccY2JHQQA-87DLOtJP-ooyU/edit?usp=sharing"",""นราธิวาส!N420"")+IMPORTRANGE(""https://docs.google.com/spreadsheets/d/1SDNX3JhDdYRuIOsj0Wh2M-Qa_eaXl0NbWmh"&amp;"AOTbfQAs/edit?usp=sharing"",""ปัตตานี!N420"")+IMPORTRANGE(""https://docs.google.com/spreadsheets/d/16JDLGguT8s5DsGCND1KcwHP_AWR_zDMTqLHPLJUKhaU/edit?usp=sharing"",""พังงา!N420"")+IMPORTRANGE(""https://docs.google.com/spreadsheets/d/17ht0gPKzzT3PObBL1XJkeR"&amp;"mntBXI7wGjpLV7QorqlTk/edit?usp=sharing"",""พัทลุง!N420"")+IMPORTRANGE(""https://docs.google.com/spreadsheets/d/1rd4qoM1q_hsgaolqNGfrim9gbsoLxQsda4-vOz5x_BM/edit?usp=sharing"",""ภูเก็ต!N420"")+IMPORTRANGE(""https://docs.google.com/spreadsheets/d/1woKwKjgoL"&amp;"ssDvPcPeVyezB5izizAn4X1JDrys69n6xI/edit?usp=sharing"",""ยะลา!N420"")+IMPORTRANGE(""https://docs.google.com/spreadsheets/d/1qfrKjzMhm2HJfxQ-qVlJlJQ25Hne1d0khsySbZyGtPA/edit?usp=sharing"",""ระนอง!N420"")+IMPORTRANGE(""https://docs.google.com/spreadsheets/d/"&amp;"1IbSCnFOKpZsnFogBHJnL_isstZVaOMnFiIN0fGTPZZw/edit?usp=sharing"",""สงขลา!N420"")+IMPORTRANGE(""https://docs.google.com/spreadsheets/d/1q9nWasZJ-K8bFGvbE9n0qSRuKGA4Toe3Y89cKCiVtCU/edit?usp=sharing"",""สตูล!N420"")+IMPORTRANGE(""https://docs.google.com/sprea"&amp;"dsheets/d/18T20gbkS_WBjdscyTOV05cvq_JqvqQ17C81mpxf7Ncs/edit?usp=sharing"",""สุราษฎร์ธานี!N420"")"),0)</f>
        <v>0</v>
      </c>
      <c r="O420" s="49">
        <f t="shared" ca="1" si="314"/>
        <v>0</v>
      </c>
      <c r="P420" s="49">
        <f t="shared" ca="1" si="315"/>
        <v>0</v>
      </c>
      <c r="Q420" s="49">
        <f ca="1">IFERROR(__xludf.DUMMYFUNCTION("IMPORTRANGE(""https://docs.google.com/spreadsheets/d/1kKUcYdkIfrgTSj8iHHHB2MD2FAtwyyocFgqGQn6ADyI/edit?usp=sharing"",""กระบี่!Q420"")+IMPORTRANGE(""https://docs.google.com/spreadsheets/d/1GwtLaSlNZkLk7iDqcyZz22giiy40b_usZZBXYciEN1U/edit?usp=sharing"",""ชุ"&amp;"มพร!Q420"")+IMPORTRANGE(""https://docs.google.com/spreadsheets/d/16pAz3pOhQEZBhvFNMa5KGgZS6iKWpsKX0pg6tQmwFpo/edit?usp=sharing"",""ตรัง!Q420"")+IMPORTRANGE(""https://docs.google.com/spreadsheets/d/1Dj4jcHCTV9JXKCaMoheSXS52JE63kDKyG7bPXnFogHk/edit?usp=shar"&amp;"ing"",""นครศรีธรรมราช!Q420"")+IMPORTRANGE(""https://docs.google.com/spreadsheets/d/1iodCdmuK2GR3jzUwk8tpccY2JHQQA-87DLOtJP-ooyU/edit?usp=sharing"",""นราธิวาส!Q420"")+IMPORTRANGE(""https://docs.google.com/spreadsheets/d/1SDNX3JhDdYRuIOsj0Wh2M-Qa_eaXl0NbWmh"&amp;"AOTbfQAs/edit?usp=sharing"",""ปัตตานี!Q420"")+IMPORTRANGE(""https://docs.google.com/spreadsheets/d/16JDLGguT8s5DsGCND1KcwHP_AWR_zDMTqLHPLJUKhaU/edit?usp=sharing"",""พังงา!Q420"")+IMPORTRANGE(""https://docs.google.com/spreadsheets/d/17ht0gPKzzT3PObBL1XJkeR"&amp;"mntBXI7wGjpLV7QorqlTk/edit?usp=sharing"",""พัทลุง!Q420"")+IMPORTRANGE(""https://docs.google.com/spreadsheets/d/1rd4qoM1q_hsgaolqNGfrim9gbsoLxQsda4-vOz5x_BM/edit?usp=sharing"",""ภูเก็ต!Q420"")+IMPORTRANGE(""https://docs.google.com/spreadsheets/d/1woKwKjgoL"&amp;"ssDvPcPeVyezB5izizAn4X1JDrys69n6xI/edit?usp=sharing"",""ยะลา!Q420"")+IMPORTRANGE(""https://docs.google.com/spreadsheets/d/1qfrKjzMhm2HJfxQ-qVlJlJQ25Hne1d0khsySbZyGtPA/edit?usp=sharing"",""ระนอง!Q420"")+IMPORTRANGE(""https://docs.google.com/spreadsheets/d/"&amp;"1IbSCnFOKpZsnFogBHJnL_isstZVaOMnFiIN0fGTPZZw/edit?usp=sharing"",""สงขลา!Q420"")+IMPORTRANGE(""https://docs.google.com/spreadsheets/d/1q9nWasZJ-K8bFGvbE9n0qSRuKGA4Toe3Y89cKCiVtCU/edit?usp=sharing"",""สตูล!Q420"")+IMPORTRANGE(""https://docs.google.com/sprea"&amp;"dsheets/d/18T20gbkS_WBjdscyTOV05cvq_JqvqQ17C81mpxf7Ncs/edit?usp=sharing"",""สุราษฎร์ธานี!Q420"")"),0)</f>
        <v>0</v>
      </c>
      <c r="R420" s="49">
        <f ca="1">IFERROR(__xludf.DUMMYFUNCTION("IMPORTRANGE(""https://docs.google.com/spreadsheets/d/1kKUcYdkIfrgTSj8iHHHB2MD2FAtwyyocFgqGQn6ADyI/edit?usp=sharing"",""กระบี่!R420"")+IMPORTRANGE(""https://docs.google.com/spreadsheets/d/1GwtLaSlNZkLk7iDqcyZz22giiy40b_usZZBXYciEN1U/edit?usp=sharing"",""ชุ"&amp;"มพร!R420"")+IMPORTRANGE(""https://docs.google.com/spreadsheets/d/16pAz3pOhQEZBhvFNMa5KGgZS6iKWpsKX0pg6tQmwFpo/edit?usp=sharing"",""ตรัง!R420"")+IMPORTRANGE(""https://docs.google.com/spreadsheets/d/1Dj4jcHCTV9JXKCaMoheSXS52JE63kDKyG7bPXnFogHk/edit?usp=shar"&amp;"ing"",""นครศรีธรรมราช!R420"")+IMPORTRANGE(""https://docs.google.com/spreadsheets/d/1iodCdmuK2GR3jzUwk8tpccY2JHQQA-87DLOtJP-ooyU/edit?usp=sharing"",""นราธิวาส!R420"")+IMPORTRANGE(""https://docs.google.com/spreadsheets/d/1SDNX3JhDdYRuIOsj0Wh2M-Qa_eaXl0NbWmh"&amp;"AOTbfQAs/edit?usp=sharing"",""ปัตตานี!R420"")+IMPORTRANGE(""https://docs.google.com/spreadsheets/d/16JDLGguT8s5DsGCND1KcwHP_AWR_zDMTqLHPLJUKhaU/edit?usp=sharing"",""พังงา!R420"")+IMPORTRANGE(""https://docs.google.com/spreadsheets/d/17ht0gPKzzT3PObBL1XJkeR"&amp;"mntBXI7wGjpLV7QorqlTk/edit?usp=sharing"",""พัทลุง!R420"")+IMPORTRANGE(""https://docs.google.com/spreadsheets/d/1rd4qoM1q_hsgaolqNGfrim9gbsoLxQsda4-vOz5x_BM/edit?usp=sharing"",""ภูเก็ต!R420"")+IMPORTRANGE(""https://docs.google.com/spreadsheets/d/1woKwKjgoL"&amp;"ssDvPcPeVyezB5izizAn4X1JDrys69n6xI/edit?usp=sharing"",""ยะลา!R420"")+IMPORTRANGE(""https://docs.google.com/spreadsheets/d/1qfrKjzMhm2HJfxQ-qVlJlJQ25Hne1d0khsySbZyGtPA/edit?usp=sharing"",""ระนอง!R420"")+IMPORTRANGE(""https://docs.google.com/spreadsheets/d/"&amp;"1IbSCnFOKpZsnFogBHJnL_isstZVaOMnFiIN0fGTPZZw/edit?usp=sharing"",""สงขลา!R420"")+IMPORTRANGE(""https://docs.google.com/spreadsheets/d/1q9nWasZJ-K8bFGvbE9n0qSRuKGA4Toe3Y89cKCiVtCU/edit?usp=sharing"",""สตูล!R420"")+IMPORTRANGE(""https://docs.google.com/sprea"&amp;"dsheets/d/18T20gbkS_WBjdscyTOV05cvq_JqvqQ17C81mpxf7Ncs/edit?usp=sharing"",""สุราษฎร์ธานี!R420"")"),0)</f>
        <v>0</v>
      </c>
      <c r="S420" s="49">
        <f ca="1">IFERROR(__xludf.DUMMYFUNCTION("IMPORTRANGE(""https://docs.google.com/spreadsheets/d/1kKUcYdkIfrgTSj8iHHHB2MD2FAtwyyocFgqGQn6ADyI/edit?usp=sharing"",""กระบี่!S420"")+IMPORTRANGE(""https://docs.google.com/spreadsheets/d/1GwtLaSlNZkLk7iDqcyZz22giiy40b_usZZBXYciEN1U/edit?usp=sharing"",""ชุ"&amp;"มพร!S420"")+IMPORTRANGE(""https://docs.google.com/spreadsheets/d/16pAz3pOhQEZBhvFNMa5KGgZS6iKWpsKX0pg6tQmwFpo/edit?usp=sharing"",""ตรัง!S420"")+IMPORTRANGE(""https://docs.google.com/spreadsheets/d/1Dj4jcHCTV9JXKCaMoheSXS52JE63kDKyG7bPXnFogHk/edit?usp=shar"&amp;"ing"",""นครศรีธรรมราช!S420"")+IMPORTRANGE(""https://docs.google.com/spreadsheets/d/1iodCdmuK2GR3jzUwk8tpccY2JHQQA-87DLOtJP-ooyU/edit?usp=sharing"",""นราธิวาส!S420"")+IMPORTRANGE(""https://docs.google.com/spreadsheets/d/1SDNX3JhDdYRuIOsj0Wh2M-Qa_eaXl0NbWmh"&amp;"AOTbfQAs/edit?usp=sharing"",""ปัตตานี!S420"")+IMPORTRANGE(""https://docs.google.com/spreadsheets/d/16JDLGguT8s5DsGCND1KcwHP_AWR_zDMTqLHPLJUKhaU/edit?usp=sharing"",""พังงา!S420"")+IMPORTRANGE(""https://docs.google.com/spreadsheets/d/17ht0gPKzzT3PObBL1XJkeR"&amp;"mntBXI7wGjpLV7QorqlTk/edit?usp=sharing"",""พัทลุง!S420"")+IMPORTRANGE(""https://docs.google.com/spreadsheets/d/1rd4qoM1q_hsgaolqNGfrim9gbsoLxQsda4-vOz5x_BM/edit?usp=sharing"",""ภูเก็ต!S420"")+IMPORTRANGE(""https://docs.google.com/spreadsheets/d/1woKwKjgoL"&amp;"ssDvPcPeVyezB5izizAn4X1JDrys69n6xI/edit?usp=sharing"",""ยะลา!S420"")+IMPORTRANGE(""https://docs.google.com/spreadsheets/d/1qfrKjzMhm2HJfxQ-qVlJlJQ25Hne1d0khsySbZyGtPA/edit?usp=sharing"",""ระนอง!S420"")+IMPORTRANGE(""https://docs.google.com/spreadsheets/d/"&amp;"1IbSCnFOKpZsnFogBHJnL_isstZVaOMnFiIN0fGTPZZw/edit?usp=sharing"",""สงขลา!S420"")+IMPORTRANGE(""https://docs.google.com/spreadsheets/d/1q9nWasZJ-K8bFGvbE9n0qSRuKGA4Toe3Y89cKCiVtCU/edit?usp=sharing"",""สตูล!S420"")+IMPORTRANGE(""https://docs.google.com/sprea"&amp;"dsheets/d/18T20gbkS_WBjdscyTOV05cvq_JqvqQ17C81mpxf7Ncs/edit?usp=sharing"",""สุราษฎร์ธานี!S420"")"),0)</f>
        <v>0</v>
      </c>
      <c r="T420" s="49">
        <f t="shared" ca="1" si="317"/>
        <v>0</v>
      </c>
      <c r="U420" s="49">
        <f t="shared" ca="1" si="318"/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7">
        <f ca="1">IFERROR(__xludf.DUMMYFUNCTION("IMPORTRANGE(""https://docs.google.com/spreadsheets/d/1kKUcYdkIfrgTSj8iHHHB2MD2FAtwyyocFgqGQn6ADyI/edit?usp=sharing"",""กระบี่!L421"")+IMPORTRANGE(""https://docs.google.com/spreadsheets/d/1GwtLaSlNZkLk7iDqcyZz22giiy40b_usZZBXYciEN1U/edit?usp=sharing"",""ชุ"&amp;"มพร!L421"")+IMPORTRANGE(""https://docs.google.com/spreadsheets/d/16pAz3pOhQEZBhvFNMa5KGgZS6iKWpsKX0pg6tQmwFpo/edit?usp=sharing"",""ตรัง!L421"")+IMPORTRANGE(""https://docs.google.com/spreadsheets/d/1Dj4jcHCTV9JXKCaMoheSXS52JE63kDKyG7bPXnFogHk/edit?usp=shar"&amp;"ing"",""นครศรีธรรมราช!L421"")+IMPORTRANGE(""https://docs.google.com/spreadsheets/d/1iodCdmuK2GR3jzUwk8tpccY2JHQQA-87DLOtJP-ooyU/edit?usp=sharing"",""นราธิวาส!L421"")+IMPORTRANGE(""https://docs.google.com/spreadsheets/d/1SDNX3JhDdYRuIOsj0Wh2M-Qa_eaXl0NbWmh"&amp;"AOTbfQAs/edit?usp=sharing"",""ปัตตานี!L421"")+IMPORTRANGE(""https://docs.google.com/spreadsheets/d/16JDLGguT8s5DsGCND1KcwHP_AWR_zDMTqLHPLJUKhaU/edit?usp=sharing"",""พังงา!L421"")+IMPORTRANGE(""https://docs.google.com/spreadsheets/d/17ht0gPKzzT3PObBL1XJkeR"&amp;"mntBXI7wGjpLV7QorqlTk/edit?usp=sharing"",""พัทลุง!L421"")+IMPORTRANGE(""https://docs.google.com/spreadsheets/d/1rd4qoM1q_hsgaolqNGfrim9gbsoLxQsda4-vOz5x_BM/edit?usp=sharing"",""ภูเก็ต!L421"")+IMPORTRANGE(""https://docs.google.com/spreadsheets/d/1woKwKjgoL"&amp;"ssDvPcPeVyezB5izizAn4X1JDrys69n6xI/edit?usp=sharing"",""ยะลา!L421"")+IMPORTRANGE(""https://docs.google.com/spreadsheets/d/1qfrKjzMhm2HJfxQ-qVlJlJQ25Hne1d0khsySbZyGtPA/edit?usp=sharing"",""ระนอง!L421"")+IMPORTRANGE(""https://docs.google.com/spreadsheets/d/"&amp;"1IbSCnFOKpZsnFogBHJnL_isstZVaOMnFiIN0fGTPZZw/edit?usp=sharing"",""สงขลา!L421"")+IMPORTRANGE(""https://docs.google.com/spreadsheets/d/1q9nWasZJ-K8bFGvbE9n0qSRuKGA4Toe3Y89cKCiVtCU/edit?usp=sharing"",""สตูล!L421"")+IMPORTRANGE(""https://docs.google.com/sprea"&amp;"dsheets/d/18T20gbkS_WBjdscyTOV05cvq_JqvqQ17C81mpxf7Ncs/edit?usp=sharing"",""สุราษฎร์ธานี!L421"")"),0)</f>
        <v>0</v>
      </c>
      <c r="M421" s="47">
        <f ca="1">IFERROR(__xludf.DUMMYFUNCTION("IMPORTRANGE(""https://docs.google.com/spreadsheets/d/1kKUcYdkIfrgTSj8iHHHB2MD2FAtwyyocFgqGQn6ADyI/edit?usp=sharing"",""กระบี่!M421"")+IMPORTRANGE(""https://docs.google.com/spreadsheets/d/1GwtLaSlNZkLk7iDqcyZz22giiy40b_usZZBXYciEN1U/edit?usp=sharing"",""ชุ"&amp;"มพร!M421"")+IMPORTRANGE(""https://docs.google.com/spreadsheets/d/16pAz3pOhQEZBhvFNMa5KGgZS6iKWpsKX0pg6tQmwFpo/edit?usp=sharing"",""ตรัง!M421"")+IMPORTRANGE(""https://docs.google.com/spreadsheets/d/1Dj4jcHCTV9JXKCaMoheSXS52JE63kDKyG7bPXnFogHk/edit?usp=shar"&amp;"ing"",""นครศรีธรรมราช!M421"")+IMPORTRANGE(""https://docs.google.com/spreadsheets/d/1iodCdmuK2GR3jzUwk8tpccY2JHQQA-87DLOtJP-ooyU/edit?usp=sharing"",""นราธิวาส!M421"")+IMPORTRANGE(""https://docs.google.com/spreadsheets/d/1SDNX3JhDdYRuIOsj0Wh2M-Qa_eaXl0NbWmh"&amp;"AOTbfQAs/edit?usp=sharing"",""ปัตตานี!M421"")+IMPORTRANGE(""https://docs.google.com/spreadsheets/d/16JDLGguT8s5DsGCND1KcwHP_AWR_zDMTqLHPLJUKhaU/edit?usp=sharing"",""พังงา!M421"")+IMPORTRANGE(""https://docs.google.com/spreadsheets/d/17ht0gPKzzT3PObBL1XJkeR"&amp;"mntBXI7wGjpLV7QorqlTk/edit?usp=sharing"",""พัทลุง!M421"")+IMPORTRANGE(""https://docs.google.com/spreadsheets/d/1rd4qoM1q_hsgaolqNGfrim9gbsoLxQsda4-vOz5x_BM/edit?usp=sharing"",""ภูเก็ต!M421"")+IMPORTRANGE(""https://docs.google.com/spreadsheets/d/1woKwKjgoL"&amp;"ssDvPcPeVyezB5izizAn4X1JDrys69n6xI/edit?usp=sharing"",""ยะลา!M421"")+IMPORTRANGE(""https://docs.google.com/spreadsheets/d/1qfrKjzMhm2HJfxQ-qVlJlJQ25Hne1d0khsySbZyGtPA/edit?usp=sharing"",""ระนอง!M421"")+IMPORTRANGE(""https://docs.google.com/spreadsheets/d/"&amp;"1IbSCnFOKpZsnFogBHJnL_isstZVaOMnFiIN0fGTPZZw/edit?usp=sharing"",""สงขลา!M421"")+IMPORTRANGE(""https://docs.google.com/spreadsheets/d/1q9nWasZJ-K8bFGvbE9n0qSRuKGA4Toe3Y89cKCiVtCU/edit?usp=sharing"",""สตูล!M421"")+IMPORTRANGE(""https://docs.google.com/sprea"&amp;"dsheets/d/18T20gbkS_WBjdscyTOV05cvq_JqvqQ17C81mpxf7Ncs/edit?usp=sharing"",""สุราษฎร์ธานี!M421"")"),0)</f>
        <v>0</v>
      </c>
      <c r="N421" s="47">
        <f ca="1">IFERROR(__xludf.DUMMYFUNCTION("IMPORTRANGE(""https://docs.google.com/spreadsheets/d/1kKUcYdkIfrgTSj8iHHHB2MD2FAtwyyocFgqGQn6ADyI/edit?usp=sharing"",""กระบี่!N421"")+IMPORTRANGE(""https://docs.google.com/spreadsheets/d/1GwtLaSlNZkLk7iDqcyZz22giiy40b_usZZBXYciEN1U/edit?usp=sharing"",""ชุ"&amp;"มพร!N421"")+IMPORTRANGE(""https://docs.google.com/spreadsheets/d/16pAz3pOhQEZBhvFNMa5KGgZS6iKWpsKX0pg6tQmwFpo/edit?usp=sharing"",""ตรัง!N421"")+IMPORTRANGE(""https://docs.google.com/spreadsheets/d/1Dj4jcHCTV9JXKCaMoheSXS52JE63kDKyG7bPXnFogHk/edit?usp=shar"&amp;"ing"",""นครศรีธรรมราช!N421"")+IMPORTRANGE(""https://docs.google.com/spreadsheets/d/1iodCdmuK2GR3jzUwk8tpccY2JHQQA-87DLOtJP-ooyU/edit?usp=sharing"",""นราธิวาส!N421"")+IMPORTRANGE(""https://docs.google.com/spreadsheets/d/1SDNX3JhDdYRuIOsj0Wh2M-Qa_eaXl0NbWmh"&amp;"AOTbfQAs/edit?usp=sharing"",""ปัตตานี!N421"")+IMPORTRANGE(""https://docs.google.com/spreadsheets/d/16JDLGguT8s5DsGCND1KcwHP_AWR_zDMTqLHPLJUKhaU/edit?usp=sharing"",""พังงา!N421"")+IMPORTRANGE(""https://docs.google.com/spreadsheets/d/17ht0gPKzzT3PObBL1XJkeR"&amp;"mntBXI7wGjpLV7QorqlTk/edit?usp=sharing"",""พัทลุง!N421"")+IMPORTRANGE(""https://docs.google.com/spreadsheets/d/1rd4qoM1q_hsgaolqNGfrim9gbsoLxQsda4-vOz5x_BM/edit?usp=sharing"",""ภูเก็ต!N421"")+IMPORTRANGE(""https://docs.google.com/spreadsheets/d/1woKwKjgoL"&amp;"ssDvPcPeVyezB5izizAn4X1JDrys69n6xI/edit?usp=sharing"",""ยะลา!N421"")+IMPORTRANGE(""https://docs.google.com/spreadsheets/d/1qfrKjzMhm2HJfxQ-qVlJlJQ25Hne1d0khsySbZyGtPA/edit?usp=sharing"",""ระนอง!N421"")+IMPORTRANGE(""https://docs.google.com/spreadsheets/d/"&amp;"1IbSCnFOKpZsnFogBHJnL_isstZVaOMnFiIN0fGTPZZw/edit?usp=sharing"",""สงขลา!N421"")+IMPORTRANGE(""https://docs.google.com/spreadsheets/d/1q9nWasZJ-K8bFGvbE9n0qSRuKGA4Toe3Y89cKCiVtCU/edit?usp=sharing"",""สตูล!N421"")+IMPORTRANGE(""https://docs.google.com/sprea"&amp;"dsheets/d/18T20gbkS_WBjdscyTOV05cvq_JqvqQ17C81mpxf7Ncs/edit?usp=sharing"",""สุราษฎร์ธานี!N421"")"),0)</f>
        <v>0</v>
      </c>
      <c r="O421" s="47">
        <f t="shared" ca="1" si="314"/>
        <v>0</v>
      </c>
      <c r="P421" s="47">
        <f t="shared" ca="1" si="315"/>
        <v>0</v>
      </c>
      <c r="Q421" s="47">
        <f ca="1">IFERROR(__xludf.DUMMYFUNCTION("IMPORTRANGE(""https://docs.google.com/spreadsheets/d/1kKUcYdkIfrgTSj8iHHHB2MD2FAtwyyocFgqGQn6ADyI/edit?usp=sharing"",""กระบี่!Q421"")+IMPORTRANGE(""https://docs.google.com/spreadsheets/d/1GwtLaSlNZkLk7iDqcyZz22giiy40b_usZZBXYciEN1U/edit?usp=sharing"",""ชุ"&amp;"มพร!Q421"")+IMPORTRANGE(""https://docs.google.com/spreadsheets/d/16pAz3pOhQEZBhvFNMa5KGgZS6iKWpsKX0pg6tQmwFpo/edit?usp=sharing"",""ตรัง!Q421"")+IMPORTRANGE(""https://docs.google.com/spreadsheets/d/1Dj4jcHCTV9JXKCaMoheSXS52JE63kDKyG7bPXnFogHk/edit?usp=shar"&amp;"ing"",""นครศรีธรรมราช!Q421"")+IMPORTRANGE(""https://docs.google.com/spreadsheets/d/1iodCdmuK2GR3jzUwk8tpccY2JHQQA-87DLOtJP-ooyU/edit?usp=sharing"",""นราธิวาส!Q421"")+IMPORTRANGE(""https://docs.google.com/spreadsheets/d/1SDNX3JhDdYRuIOsj0Wh2M-Qa_eaXl0NbWmh"&amp;"AOTbfQAs/edit?usp=sharing"",""ปัตตานี!Q421"")+IMPORTRANGE(""https://docs.google.com/spreadsheets/d/16JDLGguT8s5DsGCND1KcwHP_AWR_zDMTqLHPLJUKhaU/edit?usp=sharing"",""พังงา!Q421"")+IMPORTRANGE(""https://docs.google.com/spreadsheets/d/17ht0gPKzzT3PObBL1XJkeR"&amp;"mntBXI7wGjpLV7QorqlTk/edit?usp=sharing"",""พัทลุง!Q421"")+IMPORTRANGE(""https://docs.google.com/spreadsheets/d/1rd4qoM1q_hsgaolqNGfrim9gbsoLxQsda4-vOz5x_BM/edit?usp=sharing"",""ภูเก็ต!Q421"")+IMPORTRANGE(""https://docs.google.com/spreadsheets/d/1woKwKjgoL"&amp;"ssDvPcPeVyezB5izizAn4X1JDrys69n6xI/edit?usp=sharing"",""ยะลา!Q421"")+IMPORTRANGE(""https://docs.google.com/spreadsheets/d/1qfrKjzMhm2HJfxQ-qVlJlJQ25Hne1d0khsySbZyGtPA/edit?usp=sharing"",""ระนอง!Q421"")+IMPORTRANGE(""https://docs.google.com/spreadsheets/d/"&amp;"1IbSCnFOKpZsnFogBHJnL_isstZVaOMnFiIN0fGTPZZw/edit?usp=sharing"",""สงขลา!Q421"")+IMPORTRANGE(""https://docs.google.com/spreadsheets/d/1q9nWasZJ-K8bFGvbE9n0qSRuKGA4Toe3Y89cKCiVtCU/edit?usp=sharing"",""สตูล!Q421"")+IMPORTRANGE(""https://docs.google.com/sprea"&amp;"dsheets/d/18T20gbkS_WBjdscyTOV05cvq_JqvqQ17C81mpxf7Ncs/edit?usp=sharing"",""สุราษฎร์ธานี!Q421"")"),0)</f>
        <v>0</v>
      </c>
      <c r="R421" s="47">
        <f ca="1">IFERROR(__xludf.DUMMYFUNCTION("IMPORTRANGE(""https://docs.google.com/spreadsheets/d/1kKUcYdkIfrgTSj8iHHHB2MD2FAtwyyocFgqGQn6ADyI/edit?usp=sharing"",""กระบี่!R421"")+IMPORTRANGE(""https://docs.google.com/spreadsheets/d/1GwtLaSlNZkLk7iDqcyZz22giiy40b_usZZBXYciEN1U/edit?usp=sharing"",""ชุ"&amp;"มพร!R421"")+IMPORTRANGE(""https://docs.google.com/spreadsheets/d/16pAz3pOhQEZBhvFNMa5KGgZS6iKWpsKX0pg6tQmwFpo/edit?usp=sharing"",""ตรัง!R421"")+IMPORTRANGE(""https://docs.google.com/spreadsheets/d/1Dj4jcHCTV9JXKCaMoheSXS52JE63kDKyG7bPXnFogHk/edit?usp=shar"&amp;"ing"",""นครศรีธรรมราช!R421"")+IMPORTRANGE(""https://docs.google.com/spreadsheets/d/1iodCdmuK2GR3jzUwk8tpccY2JHQQA-87DLOtJP-ooyU/edit?usp=sharing"",""นราธิวาส!R421"")+IMPORTRANGE(""https://docs.google.com/spreadsheets/d/1SDNX3JhDdYRuIOsj0Wh2M-Qa_eaXl0NbWmh"&amp;"AOTbfQAs/edit?usp=sharing"",""ปัตตานี!R421"")+IMPORTRANGE(""https://docs.google.com/spreadsheets/d/16JDLGguT8s5DsGCND1KcwHP_AWR_zDMTqLHPLJUKhaU/edit?usp=sharing"",""พังงา!R421"")+IMPORTRANGE(""https://docs.google.com/spreadsheets/d/17ht0gPKzzT3PObBL1XJkeR"&amp;"mntBXI7wGjpLV7QorqlTk/edit?usp=sharing"",""พัทลุง!R421"")+IMPORTRANGE(""https://docs.google.com/spreadsheets/d/1rd4qoM1q_hsgaolqNGfrim9gbsoLxQsda4-vOz5x_BM/edit?usp=sharing"",""ภูเก็ต!R421"")+IMPORTRANGE(""https://docs.google.com/spreadsheets/d/1woKwKjgoL"&amp;"ssDvPcPeVyezB5izizAn4X1JDrys69n6xI/edit?usp=sharing"",""ยะลา!R421"")+IMPORTRANGE(""https://docs.google.com/spreadsheets/d/1qfrKjzMhm2HJfxQ-qVlJlJQ25Hne1d0khsySbZyGtPA/edit?usp=sharing"",""ระนอง!R421"")+IMPORTRANGE(""https://docs.google.com/spreadsheets/d/"&amp;"1IbSCnFOKpZsnFogBHJnL_isstZVaOMnFiIN0fGTPZZw/edit?usp=sharing"",""สงขลา!R421"")+IMPORTRANGE(""https://docs.google.com/spreadsheets/d/1q9nWasZJ-K8bFGvbE9n0qSRuKGA4Toe3Y89cKCiVtCU/edit?usp=sharing"",""สตูล!R421"")+IMPORTRANGE(""https://docs.google.com/sprea"&amp;"dsheets/d/18T20gbkS_WBjdscyTOV05cvq_JqvqQ17C81mpxf7Ncs/edit?usp=sharing"",""สุราษฎร์ธานี!R421"")"),0)</f>
        <v>0</v>
      </c>
      <c r="S421" s="47">
        <f ca="1">IFERROR(__xludf.DUMMYFUNCTION("IMPORTRANGE(""https://docs.google.com/spreadsheets/d/1kKUcYdkIfrgTSj8iHHHB2MD2FAtwyyocFgqGQn6ADyI/edit?usp=sharing"",""กระบี่!S421"")+IMPORTRANGE(""https://docs.google.com/spreadsheets/d/1GwtLaSlNZkLk7iDqcyZz22giiy40b_usZZBXYciEN1U/edit?usp=sharing"",""ชุ"&amp;"มพร!S421"")+IMPORTRANGE(""https://docs.google.com/spreadsheets/d/16pAz3pOhQEZBhvFNMa5KGgZS6iKWpsKX0pg6tQmwFpo/edit?usp=sharing"",""ตรัง!S421"")+IMPORTRANGE(""https://docs.google.com/spreadsheets/d/1Dj4jcHCTV9JXKCaMoheSXS52JE63kDKyG7bPXnFogHk/edit?usp=shar"&amp;"ing"",""นครศรีธรรมราช!S421"")+IMPORTRANGE(""https://docs.google.com/spreadsheets/d/1iodCdmuK2GR3jzUwk8tpccY2JHQQA-87DLOtJP-ooyU/edit?usp=sharing"",""นราธิวาส!S421"")+IMPORTRANGE(""https://docs.google.com/spreadsheets/d/1SDNX3JhDdYRuIOsj0Wh2M-Qa_eaXl0NbWmh"&amp;"AOTbfQAs/edit?usp=sharing"",""ปัตตานี!S421"")+IMPORTRANGE(""https://docs.google.com/spreadsheets/d/16JDLGguT8s5DsGCND1KcwHP_AWR_zDMTqLHPLJUKhaU/edit?usp=sharing"",""พังงา!S421"")+IMPORTRANGE(""https://docs.google.com/spreadsheets/d/17ht0gPKzzT3PObBL1XJkeR"&amp;"mntBXI7wGjpLV7QorqlTk/edit?usp=sharing"",""พัทลุง!S421"")+IMPORTRANGE(""https://docs.google.com/spreadsheets/d/1rd4qoM1q_hsgaolqNGfrim9gbsoLxQsda4-vOz5x_BM/edit?usp=sharing"",""ภูเก็ต!S421"")+IMPORTRANGE(""https://docs.google.com/spreadsheets/d/1woKwKjgoL"&amp;"ssDvPcPeVyezB5izizAn4X1JDrys69n6xI/edit?usp=sharing"",""ยะลา!S421"")+IMPORTRANGE(""https://docs.google.com/spreadsheets/d/1qfrKjzMhm2HJfxQ-qVlJlJQ25Hne1d0khsySbZyGtPA/edit?usp=sharing"",""ระนอง!S421"")+IMPORTRANGE(""https://docs.google.com/spreadsheets/d/"&amp;"1IbSCnFOKpZsnFogBHJnL_isstZVaOMnFiIN0fGTPZZw/edit?usp=sharing"",""สงขลา!S421"")+IMPORTRANGE(""https://docs.google.com/spreadsheets/d/1q9nWasZJ-K8bFGvbE9n0qSRuKGA4Toe3Y89cKCiVtCU/edit?usp=sharing"",""สตูล!S421"")+IMPORTRANGE(""https://docs.google.com/sprea"&amp;"dsheets/d/18T20gbkS_WBjdscyTOV05cvq_JqvqQ17C81mpxf7Ncs/edit?usp=sharing"",""สุราษฎร์ธานี!S421"")"),0)</f>
        <v>0</v>
      </c>
      <c r="T421" s="47">
        <f t="shared" ca="1" si="317"/>
        <v>0</v>
      </c>
      <c r="U421" s="47">
        <f t="shared" ca="1" si="318"/>
        <v>0</v>
      </c>
    </row>
    <row r="422" spans="1:21" ht="19.5" x14ac:dyDescent="0.3">
      <c r="A422" s="217"/>
      <c r="B422" s="159"/>
      <c r="C422" s="340" t="s">
        <v>18</v>
      </c>
      <c r="D422" s="346" t="s">
        <v>38</v>
      </c>
      <c r="E422" s="159"/>
      <c r="F422" s="159"/>
      <c r="G422" s="191"/>
      <c r="H422" s="191"/>
      <c r="I422" s="45"/>
      <c r="J422" s="45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217"/>
      <c r="B423" s="162" t="s">
        <v>160</v>
      </c>
      <c r="C423" s="159"/>
      <c r="D423" s="159"/>
      <c r="E423" s="159"/>
      <c r="F423" s="159"/>
      <c r="G423" s="191"/>
      <c r="H423" s="341" t="s">
        <v>46</v>
      </c>
      <c r="I423" s="147">
        <f t="shared" ref="I423:J423" ca="1" si="327">I440</f>
        <v>216167</v>
      </c>
      <c r="J423" s="147">
        <f t="shared" ca="1" si="327"/>
        <v>0</v>
      </c>
      <c r="K423" s="132">
        <f t="shared" ref="K423:K425" ca="1" si="328">IF(I423&gt;0,J423*100/I423,0)</f>
        <v>0</v>
      </c>
      <c r="L423" s="46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kKUcYdkIfrgTSj8iHHHB2MD2FAtwyyocFgqGQn6ADyI/edit?usp=sharing"",""กระบี่!I424"")+IMPORTRANGE(""https://docs.google.com/spreadsheets/d/1GwtLaSlNZkLk7iDqcyZz22giiy40b_usZZBXYciEN1U/edit?usp=sharing"",""ชุ"&amp;"มพร!I424"")+IMPORTRANGE(""https://docs.google.com/spreadsheets/d/16pAz3pOhQEZBhvFNMa5KGgZS6iKWpsKX0pg6tQmwFpo/edit?usp=sharing"",""ตรัง!I424"")+IMPORTRANGE(""https://docs.google.com/spreadsheets/d/1Dj4jcHCTV9JXKCaMoheSXS52JE63kDKyG7bPXnFogHk/edit?usp=shar"&amp;"ing"",""นครศรีธรรมราช!I424"")+IMPORTRANGE(""https://docs.google.com/spreadsheets/d/1iodCdmuK2GR3jzUwk8tpccY2JHQQA-87DLOtJP-ooyU/edit?usp=sharing"",""นราธิวาส!I424"")+IMPORTRANGE(""https://docs.google.com/spreadsheets/d/1SDNX3JhDdYRuIOsj0Wh2M-Qa_eaXl0NbWmh"&amp;"AOTbfQAs/edit?usp=sharing"",""ปัตตานี!I424"")+IMPORTRANGE(""https://docs.google.com/spreadsheets/d/16JDLGguT8s5DsGCND1KcwHP_AWR_zDMTqLHPLJUKhaU/edit?usp=sharing"",""พังงา!I424"")+IMPORTRANGE(""https://docs.google.com/spreadsheets/d/17ht0gPKzzT3PObBL1XJkeR"&amp;"mntBXI7wGjpLV7QorqlTk/edit?usp=sharing"",""พัทลุง!I424"")+IMPORTRANGE(""https://docs.google.com/spreadsheets/d/1rd4qoM1q_hsgaolqNGfrim9gbsoLxQsda4-vOz5x_BM/edit?usp=sharing"",""ภูเก็ต!I424"")+IMPORTRANGE(""https://docs.google.com/spreadsheets/d/1woKwKjgoL"&amp;"ssDvPcPeVyezB5izizAn4X1JDrys69n6xI/edit?usp=sharing"",""ยะลา!I424"")+IMPORTRANGE(""https://docs.google.com/spreadsheets/d/1qfrKjzMhm2HJfxQ-qVlJlJQ25Hne1d0khsySbZyGtPA/edit?usp=sharing"",""ระนอง!I424"")+IMPORTRANGE(""https://docs.google.com/spreadsheets/d/"&amp;"1IbSCnFOKpZsnFogBHJnL_isstZVaOMnFiIN0fGTPZZw/edit?usp=sharing"",""สงขลา!I424"")+IMPORTRANGE(""https://docs.google.com/spreadsheets/d/1q9nWasZJ-K8bFGvbE9n0qSRuKGA4Toe3Y89cKCiVtCU/edit?usp=sharing"",""สตูล!I424"")+IMPORTRANGE(""https://docs.google.com/sprea"&amp;"dsheets/d/18T20gbkS_WBjdscyTOV05cvq_JqvqQ17C81mpxf7Ncs/edit?usp=sharing"",""สุราษฎร์ธานี!I424"")"),216167)</f>
        <v>216167</v>
      </c>
      <c r="J424" s="147">
        <f t="shared" ref="J424:J425" ca="1" si="329">J426+J428+J430</f>
        <v>0</v>
      </c>
      <c r="K424" s="132">
        <f t="shared" ca="1" si="328"/>
        <v>0</v>
      </c>
      <c r="L424" s="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kKUcYdkIfrgTSj8iHHHB2MD2FAtwyyocFgqGQn6ADyI/edit?usp=sharing"",""กระบี่!I425"")+IMPORTRANGE(""https://docs.google.com/spreadsheets/d/1GwtLaSlNZkLk7iDqcyZz22giiy40b_usZZBXYciEN1U/edit?usp=sharing"",""ชุ"&amp;"มพร!I425"")+IMPORTRANGE(""https://docs.google.com/spreadsheets/d/16pAz3pOhQEZBhvFNMa5KGgZS6iKWpsKX0pg6tQmwFpo/edit?usp=sharing"",""ตรัง!I425"")+IMPORTRANGE(""https://docs.google.com/spreadsheets/d/1Dj4jcHCTV9JXKCaMoheSXS52JE63kDKyG7bPXnFogHk/edit?usp=shar"&amp;"ing"",""นครศรีธรรมราช!I425"")+IMPORTRANGE(""https://docs.google.com/spreadsheets/d/1iodCdmuK2GR3jzUwk8tpccY2JHQQA-87DLOtJP-ooyU/edit?usp=sharing"",""นราธิวาส!I425"")+IMPORTRANGE(""https://docs.google.com/spreadsheets/d/1SDNX3JhDdYRuIOsj0Wh2M-Qa_eaXl0NbWmh"&amp;"AOTbfQAs/edit?usp=sharing"",""ปัตตานี!I425"")+IMPORTRANGE(""https://docs.google.com/spreadsheets/d/16JDLGguT8s5DsGCND1KcwHP_AWR_zDMTqLHPLJUKhaU/edit?usp=sharing"",""พังงา!I425"")+IMPORTRANGE(""https://docs.google.com/spreadsheets/d/17ht0gPKzzT3PObBL1XJkeR"&amp;"mntBXI7wGjpLV7QorqlTk/edit?usp=sharing"",""พัทลุง!I425"")+IMPORTRANGE(""https://docs.google.com/spreadsheets/d/1rd4qoM1q_hsgaolqNGfrim9gbsoLxQsda4-vOz5x_BM/edit?usp=sharing"",""ภูเก็ต!I425"")+IMPORTRANGE(""https://docs.google.com/spreadsheets/d/1woKwKjgoL"&amp;"ssDvPcPeVyezB5izizAn4X1JDrys69n6xI/edit?usp=sharing"",""ยะลา!I425"")+IMPORTRANGE(""https://docs.google.com/spreadsheets/d/1qfrKjzMhm2HJfxQ-qVlJlJQ25Hne1d0khsySbZyGtPA/edit?usp=sharing"",""ระนอง!I425"")+IMPORTRANGE(""https://docs.google.com/spreadsheets/d/"&amp;"1IbSCnFOKpZsnFogBHJnL_isstZVaOMnFiIN0fGTPZZw/edit?usp=sharing"",""สงขลา!I425"")+IMPORTRANGE(""https://docs.google.com/spreadsheets/d/1q9nWasZJ-K8bFGvbE9n0qSRuKGA4Toe3Y89cKCiVtCU/edit?usp=sharing"",""สตูล!I425"")+IMPORTRANGE(""https://docs.google.com/sprea"&amp;"dsheets/d/18T20gbkS_WBjdscyTOV05cvq_JqvqQ17C81mpxf7Ncs/edit?usp=sharing"",""สุราษฎร์ธานี!I425"")"),20200)</f>
        <v>20200</v>
      </c>
      <c r="J425" s="147">
        <f t="shared" ca="1" si="329"/>
        <v>0</v>
      </c>
      <c r="K425" s="132">
        <f t="shared" ca="1" si="328"/>
        <v>0</v>
      </c>
      <c r="L425" s="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152">
        <f ca="1">IFERROR(__xludf.DUMMYFUNCTION("IMPORTRANGE(""https://docs.google.com/spreadsheets/d/1kKUcYdkIfrgTSj8iHHHB2MD2FAtwyyocFgqGQn6ADyI/edit?usp=sharing"",""กระบี่!J426"")+IMPORTRANGE(""https://docs.google.com/spreadsheets/d/1GwtLaSlNZkLk7iDqcyZz22giiy40b_usZZBXYciEN1U/edit?usp=sharing"",""ชุ"&amp;"มพร!J426"")+IMPORTRANGE(""https://docs.google.com/spreadsheets/d/16pAz3pOhQEZBhvFNMa5KGgZS6iKWpsKX0pg6tQmwFpo/edit?usp=sharing"",""ตรัง!J426"")+IMPORTRANGE(""https://docs.google.com/spreadsheets/d/1Dj4jcHCTV9JXKCaMoheSXS52JE63kDKyG7bPXnFogHk/edit?usp=shar"&amp;"ing"",""นครศรีธรรมราช!J426"")+IMPORTRANGE(""https://docs.google.com/spreadsheets/d/1iodCdmuK2GR3jzUwk8tpccY2JHQQA-87DLOtJP-ooyU/edit?usp=sharing"",""นราธิวาส!J426"")+IMPORTRANGE(""https://docs.google.com/spreadsheets/d/1SDNX3JhDdYRuIOsj0Wh2M-Qa_eaXl0NbWmh"&amp;"AOTbfQAs/edit?usp=sharing"",""ปัตตานี!J426"")+IMPORTRANGE(""https://docs.google.com/spreadsheets/d/16JDLGguT8s5DsGCND1KcwHP_AWR_zDMTqLHPLJUKhaU/edit?usp=sharing"",""พังงา!J426"")+IMPORTRANGE(""https://docs.google.com/spreadsheets/d/17ht0gPKzzT3PObBL1XJkeR"&amp;"mntBXI7wGjpLV7QorqlTk/edit?usp=sharing"",""พัทลุง!J426"")+IMPORTRANGE(""https://docs.google.com/spreadsheets/d/1rd4qoM1q_hsgaolqNGfrim9gbsoLxQsda4-vOz5x_BM/edit?usp=sharing"",""ภูเก็ต!J426"")+IMPORTRANGE(""https://docs.google.com/spreadsheets/d/1woKwKjgoL"&amp;"ssDvPcPeVyezB5izizAn4X1JDrys69n6xI/edit?usp=sharing"",""ยะลา!J426"")+IMPORTRANGE(""https://docs.google.com/spreadsheets/d/1qfrKjzMhm2HJfxQ-qVlJlJQ25Hne1d0khsySbZyGtPA/edit?usp=sharing"",""ระนอง!J426"")+IMPORTRANGE(""https://docs.google.com/spreadsheets/d/"&amp;"1IbSCnFOKpZsnFogBHJnL_isstZVaOMnFiIN0fGTPZZw/edit?usp=sharing"",""สงขลา!J426"")+IMPORTRANGE(""https://docs.google.com/spreadsheets/d/1q9nWasZJ-K8bFGvbE9n0qSRuKGA4Toe3Y89cKCiVtCU/edit?usp=sharing"",""สตูล!J426"")+IMPORTRANGE(""https://docs.google.com/sprea"&amp;"dsheets/d/18T20gbkS_WBjdscyTOV05cvq_JqvqQ17C81mpxf7Ncs/edit?usp=sharing"",""สุราษฎร์ธานี!J426"")"),0)</f>
        <v>0</v>
      </c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152">
        <f ca="1">IFERROR(__xludf.DUMMYFUNCTION("IMPORTRANGE(""https://docs.google.com/spreadsheets/d/1kKUcYdkIfrgTSj8iHHHB2MD2FAtwyyocFgqGQn6ADyI/edit?usp=sharing"",""กระบี่!J427"")+IMPORTRANGE(""https://docs.google.com/spreadsheets/d/1GwtLaSlNZkLk7iDqcyZz22giiy40b_usZZBXYciEN1U/edit?usp=sharing"",""ชุ"&amp;"มพร!J427"")+IMPORTRANGE(""https://docs.google.com/spreadsheets/d/16pAz3pOhQEZBhvFNMa5KGgZS6iKWpsKX0pg6tQmwFpo/edit?usp=sharing"",""ตรัง!J427"")+IMPORTRANGE(""https://docs.google.com/spreadsheets/d/1Dj4jcHCTV9JXKCaMoheSXS52JE63kDKyG7bPXnFogHk/edit?usp=shar"&amp;"ing"",""นครศรีธรรมราช!J427"")+IMPORTRANGE(""https://docs.google.com/spreadsheets/d/1iodCdmuK2GR3jzUwk8tpccY2JHQQA-87DLOtJP-ooyU/edit?usp=sharing"",""นราธิวาส!J427"")+IMPORTRANGE(""https://docs.google.com/spreadsheets/d/1SDNX3JhDdYRuIOsj0Wh2M-Qa_eaXl0NbWmh"&amp;"AOTbfQAs/edit?usp=sharing"",""ปัตตานี!J427"")+IMPORTRANGE(""https://docs.google.com/spreadsheets/d/16JDLGguT8s5DsGCND1KcwHP_AWR_zDMTqLHPLJUKhaU/edit?usp=sharing"",""พังงา!J427"")+IMPORTRANGE(""https://docs.google.com/spreadsheets/d/17ht0gPKzzT3PObBL1XJkeR"&amp;"mntBXI7wGjpLV7QorqlTk/edit?usp=sharing"",""พัทลุง!J427"")+IMPORTRANGE(""https://docs.google.com/spreadsheets/d/1rd4qoM1q_hsgaolqNGfrim9gbsoLxQsda4-vOz5x_BM/edit?usp=sharing"",""ภูเก็ต!J427"")+IMPORTRANGE(""https://docs.google.com/spreadsheets/d/1woKwKjgoL"&amp;"ssDvPcPeVyezB5izizAn4X1JDrys69n6xI/edit?usp=sharing"",""ยะลา!J427"")+IMPORTRANGE(""https://docs.google.com/spreadsheets/d/1qfrKjzMhm2HJfxQ-qVlJlJQ25Hne1d0khsySbZyGtPA/edit?usp=sharing"",""ระนอง!J427"")+IMPORTRANGE(""https://docs.google.com/spreadsheets/d/"&amp;"1IbSCnFOKpZsnFogBHJnL_isstZVaOMnFiIN0fGTPZZw/edit?usp=sharing"",""สงขลา!J427"")+IMPORTRANGE(""https://docs.google.com/spreadsheets/d/1q9nWasZJ-K8bFGvbE9n0qSRuKGA4Toe3Y89cKCiVtCU/edit?usp=sharing"",""สตูล!J427"")+IMPORTRANGE(""https://docs.google.com/sprea"&amp;"dsheets/d/18T20gbkS_WBjdscyTOV05cvq_JqvqQ17C81mpxf7Ncs/edit?usp=sharing"",""สุราษฎร์ธานี!J427"")"),0)</f>
        <v>0</v>
      </c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152">
        <f ca="1">IFERROR(__xludf.DUMMYFUNCTION("IMPORTRANGE(""https://docs.google.com/spreadsheets/d/1kKUcYdkIfrgTSj8iHHHB2MD2FAtwyyocFgqGQn6ADyI/edit?usp=sharing"",""กระบี่!J428"")+IMPORTRANGE(""https://docs.google.com/spreadsheets/d/1GwtLaSlNZkLk7iDqcyZz22giiy40b_usZZBXYciEN1U/edit?usp=sharing"",""ชุ"&amp;"มพร!J428"")+IMPORTRANGE(""https://docs.google.com/spreadsheets/d/16pAz3pOhQEZBhvFNMa5KGgZS6iKWpsKX0pg6tQmwFpo/edit?usp=sharing"",""ตรัง!J428"")+IMPORTRANGE(""https://docs.google.com/spreadsheets/d/1Dj4jcHCTV9JXKCaMoheSXS52JE63kDKyG7bPXnFogHk/edit?usp=shar"&amp;"ing"",""นครศรีธรรมราช!J428"")+IMPORTRANGE(""https://docs.google.com/spreadsheets/d/1iodCdmuK2GR3jzUwk8tpccY2JHQQA-87DLOtJP-ooyU/edit?usp=sharing"",""นราธิวาส!J428"")+IMPORTRANGE(""https://docs.google.com/spreadsheets/d/1SDNX3JhDdYRuIOsj0Wh2M-Qa_eaXl0NbWmh"&amp;"AOTbfQAs/edit?usp=sharing"",""ปัตตานี!J428"")+IMPORTRANGE(""https://docs.google.com/spreadsheets/d/16JDLGguT8s5DsGCND1KcwHP_AWR_zDMTqLHPLJUKhaU/edit?usp=sharing"",""พังงา!J428"")+IMPORTRANGE(""https://docs.google.com/spreadsheets/d/17ht0gPKzzT3PObBL1XJkeR"&amp;"mntBXI7wGjpLV7QorqlTk/edit?usp=sharing"",""พัทลุง!J428"")+IMPORTRANGE(""https://docs.google.com/spreadsheets/d/1rd4qoM1q_hsgaolqNGfrim9gbsoLxQsda4-vOz5x_BM/edit?usp=sharing"",""ภูเก็ต!J428"")+IMPORTRANGE(""https://docs.google.com/spreadsheets/d/1woKwKjgoL"&amp;"ssDvPcPeVyezB5izizAn4X1JDrys69n6xI/edit?usp=sharing"",""ยะลา!J428"")+IMPORTRANGE(""https://docs.google.com/spreadsheets/d/1qfrKjzMhm2HJfxQ-qVlJlJQ25Hne1d0khsySbZyGtPA/edit?usp=sharing"",""ระนอง!J428"")+IMPORTRANGE(""https://docs.google.com/spreadsheets/d/"&amp;"1IbSCnFOKpZsnFogBHJnL_isstZVaOMnFiIN0fGTPZZw/edit?usp=sharing"",""สงขลา!J428"")+IMPORTRANGE(""https://docs.google.com/spreadsheets/d/1q9nWasZJ-K8bFGvbE9n0qSRuKGA4Toe3Y89cKCiVtCU/edit?usp=sharing"",""สตูล!J428"")+IMPORTRANGE(""https://docs.google.com/sprea"&amp;"dsheets/d/18T20gbkS_WBjdscyTOV05cvq_JqvqQ17C81mpxf7Ncs/edit?usp=sharing"",""สุราษฎร์ธานี!J428"")"),0)</f>
        <v>0</v>
      </c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152">
        <f ca="1">IFERROR(__xludf.DUMMYFUNCTION("IMPORTRANGE(""https://docs.google.com/spreadsheets/d/1kKUcYdkIfrgTSj8iHHHB2MD2FAtwyyocFgqGQn6ADyI/edit?usp=sharing"",""กระบี่!J429"")+IMPORTRANGE(""https://docs.google.com/spreadsheets/d/1GwtLaSlNZkLk7iDqcyZz22giiy40b_usZZBXYciEN1U/edit?usp=sharing"",""ชุ"&amp;"มพร!J429"")+IMPORTRANGE(""https://docs.google.com/spreadsheets/d/16pAz3pOhQEZBhvFNMa5KGgZS6iKWpsKX0pg6tQmwFpo/edit?usp=sharing"",""ตรัง!J429"")+IMPORTRANGE(""https://docs.google.com/spreadsheets/d/1Dj4jcHCTV9JXKCaMoheSXS52JE63kDKyG7bPXnFogHk/edit?usp=shar"&amp;"ing"",""นครศรีธรรมราช!J429"")+IMPORTRANGE(""https://docs.google.com/spreadsheets/d/1iodCdmuK2GR3jzUwk8tpccY2JHQQA-87DLOtJP-ooyU/edit?usp=sharing"",""นราธิวาส!J429"")+IMPORTRANGE(""https://docs.google.com/spreadsheets/d/1SDNX3JhDdYRuIOsj0Wh2M-Qa_eaXl0NbWmh"&amp;"AOTbfQAs/edit?usp=sharing"",""ปัตตานี!J429"")+IMPORTRANGE(""https://docs.google.com/spreadsheets/d/16JDLGguT8s5DsGCND1KcwHP_AWR_zDMTqLHPLJUKhaU/edit?usp=sharing"",""พังงา!J429"")+IMPORTRANGE(""https://docs.google.com/spreadsheets/d/17ht0gPKzzT3PObBL1XJkeR"&amp;"mntBXI7wGjpLV7QorqlTk/edit?usp=sharing"",""พัทลุง!J429"")+IMPORTRANGE(""https://docs.google.com/spreadsheets/d/1rd4qoM1q_hsgaolqNGfrim9gbsoLxQsda4-vOz5x_BM/edit?usp=sharing"",""ภูเก็ต!J429"")+IMPORTRANGE(""https://docs.google.com/spreadsheets/d/1woKwKjgoL"&amp;"ssDvPcPeVyezB5izizAn4X1JDrys69n6xI/edit?usp=sharing"",""ยะลา!J429"")+IMPORTRANGE(""https://docs.google.com/spreadsheets/d/1qfrKjzMhm2HJfxQ-qVlJlJQ25Hne1d0khsySbZyGtPA/edit?usp=sharing"",""ระนอง!J429"")+IMPORTRANGE(""https://docs.google.com/spreadsheets/d/"&amp;"1IbSCnFOKpZsnFogBHJnL_isstZVaOMnFiIN0fGTPZZw/edit?usp=sharing"",""สงขลา!J429"")+IMPORTRANGE(""https://docs.google.com/spreadsheets/d/1q9nWasZJ-K8bFGvbE9n0qSRuKGA4Toe3Y89cKCiVtCU/edit?usp=sharing"",""สตูล!J429"")+IMPORTRANGE(""https://docs.google.com/sprea"&amp;"dsheets/d/18T20gbkS_WBjdscyTOV05cvq_JqvqQ17C81mpxf7Ncs/edit?usp=sharing"",""สุราษฎร์ธานี!J429"")"),0)</f>
        <v>0</v>
      </c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152">
        <f ca="1">IFERROR(__xludf.DUMMYFUNCTION("IMPORTRANGE(""https://docs.google.com/spreadsheets/d/1kKUcYdkIfrgTSj8iHHHB2MD2FAtwyyocFgqGQn6ADyI/edit?usp=sharing"",""กระบี่!J430"")+IMPORTRANGE(""https://docs.google.com/spreadsheets/d/1GwtLaSlNZkLk7iDqcyZz22giiy40b_usZZBXYciEN1U/edit?usp=sharing"",""ชุ"&amp;"มพร!J430"")+IMPORTRANGE(""https://docs.google.com/spreadsheets/d/16pAz3pOhQEZBhvFNMa5KGgZS6iKWpsKX0pg6tQmwFpo/edit?usp=sharing"",""ตรัง!J430"")+IMPORTRANGE(""https://docs.google.com/spreadsheets/d/1Dj4jcHCTV9JXKCaMoheSXS52JE63kDKyG7bPXnFogHk/edit?usp=shar"&amp;"ing"",""นครศรีธรรมราช!J430"")+IMPORTRANGE(""https://docs.google.com/spreadsheets/d/1iodCdmuK2GR3jzUwk8tpccY2JHQQA-87DLOtJP-ooyU/edit?usp=sharing"",""นราธิวาส!J430"")+IMPORTRANGE(""https://docs.google.com/spreadsheets/d/1SDNX3JhDdYRuIOsj0Wh2M-Qa_eaXl0NbWmh"&amp;"AOTbfQAs/edit?usp=sharing"",""ปัตตานี!J430"")+IMPORTRANGE(""https://docs.google.com/spreadsheets/d/16JDLGguT8s5DsGCND1KcwHP_AWR_zDMTqLHPLJUKhaU/edit?usp=sharing"",""พังงา!J430"")+IMPORTRANGE(""https://docs.google.com/spreadsheets/d/17ht0gPKzzT3PObBL1XJkeR"&amp;"mntBXI7wGjpLV7QorqlTk/edit?usp=sharing"",""พัทลุง!J430"")+IMPORTRANGE(""https://docs.google.com/spreadsheets/d/1rd4qoM1q_hsgaolqNGfrim9gbsoLxQsda4-vOz5x_BM/edit?usp=sharing"",""ภูเก็ต!J430"")+IMPORTRANGE(""https://docs.google.com/spreadsheets/d/1woKwKjgoL"&amp;"ssDvPcPeVyezB5izizAn4X1JDrys69n6xI/edit?usp=sharing"",""ยะลา!J430"")+IMPORTRANGE(""https://docs.google.com/spreadsheets/d/1qfrKjzMhm2HJfxQ-qVlJlJQ25Hne1d0khsySbZyGtPA/edit?usp=sharing"",""ระนอง!J430"")+IMPORTRANGE(""https://docs.google.com/spreadsheets/d/"&amp;"1IbSCnFOKpZsnFogBHJnL_isstZVaOMnFiIN0fGTPZZw/edit?usp=sharing"",""สงขลา!J430"")+IMPORTRANGE(""https://docs.google.com/spreadsheets/d/1q9nWasZJ-K8bFGvbE9n0qSRuKGA4Toe3Y89cKCiVtCU/edit?usp=sharing"",""สตูล!J430"")+IMPORTRANGE(""https://docs.google.com/sprea"&amp;"dsheets/d/18T20gbkS_WBjdscyTOV05cvq_JqvqQ17C81mpxf7Ncs/edit?usp=sharing"",""สุราษฎร์ธานี!J430"")"),0)</f>
        <v>0</v>
      </c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152">
        <f ca="1">IFERROR(__xludf.DUMMYFUNCTION("IMPORTRANGE(""https://docs.google.com/spreadsheets/d/1kKUcYdkIfrgTSj8iHHHB2MD2FAtwyyocFgqGQn6ADyI/edit?usp=sharing"",""กระบี่!J431"")+IMPORTRANGE(""https://docs.google.com/spreadsheets/d/1GwtLaSlNZkLk7iDqcyZz22giiy40b_usZZBXYciEN1U/edit?usp=sharing"",""ชุ"&amp;"มพร!J431"")+IMPORTRANGE(""https://docs.google.com/spreadsheets/d/16pAz3pOhQEZBhvFNMa5KGgZS6iKWpsKX0pg6tQmwFpo/edit?usp=sharing"",""ตรัง!J431"")+IMPORTRANGE(""https://docs.google.com/spreadsheets/d/1Dj4jcHCTV9JXKCaMoheSXS52JE63kDKyG7bPXnFogHk/edit?usp=shar"&amp;"ing"",""นครศรีธรรมราช!J431"")+IMPORTRANGE(""https://docs.google.com/spreadsheets/d/1iodCdmuK2GR3jzUwk8tpccY2JHQQA-87DLOtJP-ooyU/edit?usp=sharing"",""นราธิวาส!J431"")+IMPORTRANGE(""https://docs.google.com/spreadsheets/d/1SDNX3JhDdYRuIOsj0Wh2M-Qa_eaXl0NbWmh"&amp;"AOTbfQAs/edit?usp=sharing"",""ปัตตานี!J431"")+IMPORTRANGE(""https://docs.google.com/spreadsheets/d/16JDLGguT8s5DsGCND1KcwHP_AWR_zDMTqLHPLJUKhaU/edit?usp=sharing"",""พังงา!J431"")+IMPORTRANGE(""https://docs.google.com/spreadsheets/d/17ht0gPKzzT3PObBL1XJkeR"&amp;"mntBXI7wGjpLV7QorqlTk/edit?usp=sharing"",""พัทลุง!J431"")+IMPORTRANGE(""https://docs.google.com/spreadsheets/d/1rd4qoM1q_hsgaolqNGfrim9gbsoLxQsda4-vOz5x_BM/edit?usp=sharing"",""ภูเก็ต!J431"")+IMPORTRANGE(""https://docs.google.com/spreadsheets/d/1woKwKjgoL"&amp;"ssDvPcPeVyezB5izizAn4X1JDrys69n6xI/edit?usp=sharing"",""ยะลา!J431"")+IMPORTRANGE(""https://docs.google.com/spreadsheets/d/1qfrKjzMhm2HJfxQ-qVlJlJQ25Hne1d0khsySbZyGtPA/edit?usp=sharing"",""ระนอง!J431"")+IMPORTRANGE(""https://docs.google.com/spreadsheets/d/"&amp;"1IbSCnFOKpZsnFogBHJnL_isstZVaOMnFiIN0fGTPZZw/edit?usp=sharing"",""สงขลา!J431"")+IMPORTRANGE(""https://docs.google.com/spreadsheets/d/1q9nWasZJ-K8bFGvbE9n0qSRuKGA4Toe3Y89cKCiVtCU/edit?usp=sharing"",""สตูล!J431"")+IMPORTRANGE(""https://docs.google.com/sprea"&amp;"dsheets/d/18T20gbkS_WBjdscyTOV05cvq_JqvqQ17C81mpxf7Ncs/edit?usp=sharing"",""สุราษฎร์ธานี!J431"")"),0)</f>
        <v>0</v>
      </c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kKUcYdkIfrgTSj8iHHHB2MD2FAtwyyocFgqGQn6ADyI/edit?usp=sharing"",""กระบี่!I432"")+IMPORTRANGE(""https://docs.google.com/spreadsheets/d/1GwtLaSlNZkLk7iDqcyZz22giiy40b_usZZBXYciEN1U/edit?usp=sharing"",""ชุ"&amp;"มพร!I432"")+IMPORTRANGE(""https://docs.google.com/spreadsheets/d/16pAz3pOhQEZBhvFNMa5KGgZS6iKWpsKX0pg6tQmwFpo/edit?usp=sharing"",""ตรัง!I432"")+IMPORTRANGE(""https://docs.google.com/spreadsheets/d/1Dj4jcHCTV9JXKCaMoheSXS52JE63kDKyG7bPXnFogHk/edit?usp=shar"&amp;"ing"",""นครศรีธรรมราช!I432"")+IMPORTRANGE(""https://docs.google.com/spreadsheets/d/1iodCdmuK2GR3jzUwk8tpccY2JHQQA-87DLOtJP-ooyU/edit?usp=sharing"",""นราธิวาส!I432"")+IMPORTRANGE(""https://docs.google.com/spreadsheets/d/1SDNX3JhDdYRuIOsj0Wh2M-Qa_eaXl0NbWmh"&amp;"AOTbfQAs/edit?usp=sharing"",""ปัตตานี!I432"")+IMPORTRANGE(""https://docs.google.com/spreadsheets/d/16JDLGguT8s5DsGCND1KcwHP_AWR_zDMTqLHPLJUKhaU/edit?usp=sharing"",""พังงา!I432"")+IMPORTRANGE(""https://docs.google.com/spreadsheets/d/17ht0gPKzzT3PObBL1XJkeR"&amp;"mntBXI7wGjpLV7QorqlTk/edit?usp=sharing"",""พัทลุง!I432"")+IMPORTRANGE(""https://docs.google.com/spreadsheets/d/1rd4qoM1q_hsgaolqNGfrim9gbsoLxQsda4-vOz5x_BM/edit?usp=sharing"",""ภูเก็ต!I432"")+IMPORTRANGE(""https://docs.google.com/spreadsheets/d/1woKwKjgoL"&amp;"ssDvPcPeVyezB5izizAn4X1JDrys69n6xI/edit?usp=sharing"",""ยะลา!I432"")+IMPORTRANGE(""https://docs.google.com/spreadsheets/d/1qfrKjzMhm2HJfxQ-qVlJlJQ25Hne1d0khsySbZyGtPA/edit?usp=sharing"",""ระนอง!I432"")+IMPORTRANGE(""https://docs.google.com/spreadsheets/d/"&amp;"1IbSCnFOKpZsnFogBHJnL_isstZVaOMnFiIN0fGTPZZw/edit?usp=sharing"",""สงขลา!I432"")+IMPORTRANGE(""https://docs.google.com/spreadsheets/d/1q9nWasZJ-K8bFGvbE9n0qSRuKGA4Toe3Y89cKCiVtCU/edit?usp=sharing"",""สตูล!I432"")+IMPORTRANGE(""https://docs.google.com/sprea"&amp;"dsheets/d/18T20gbkS_WBjdscyTOV05cvq_JqvqQ17C81mpxf7Ncs/edit?usp=sharing"",""สุราษฎร์ธานี!I432"")"),216167)</f>
        <v>216167</v>
      </c>
      <c r="J432" s="147">
        <f t="shared" ref="J432:J433" ca="1" si="330">J434+J436+J438</f>
        <v>0</v>
      </c>
      <c r="K432" s="132">
        <f t="shared" ref="K432:K433" ca="1" si="331">IF(I432&gt;0,J432*100/I432,0)</f>
        <v>0</v>
      </c>
      <c r="L432" s="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kKUcYdkIfrgTSj8iHHHB2MD2FAtwyyocFgqGQn6ADyI/edit?usp=sharing"",""กระบี่!I433"")+IMPORTRANGE(""https://docs.google.com/spreadsheets/d/1GwtLaSlNZkLk7iDqcyZz22giiy40b_usZZBXYciEN1U/edit?usp=sharing"",""ชุ"&amp;"มพร!I433"")+IMPORTRANGE(""https://docs.google.com/spreadsheets/d/16pAz3pOhQEZBhvFNMa5KGgZS6iKWpsKX0pg6tQmwFpo/edit?usp=sharing"",""ตรัง!I433"")+IMPORTRANGE(""https://docs.google.com/spreadsheets/d/1Dj4jcHCTV9JXKCaMoheSXS52JE63kDKyG7bPXnFogHk/edit?usp=shar"&amp;"ing"",""นครศรีธรรมราช!I433"")+IMPORTRANGE(""https://docs.google.com/spreadsheets/d/1iodCdmuK2GR3jzUwk8tpccY2JHQQA-87DLOtJP-ooyU/edit?usp=sharing"",""นราธิวาส!I433"")+IMPORTRANGE(""https://docs.google.com/spreadsheets/d/1SDNX3JhDdYRuIOsj0Wh2M-Qa_eaXl0NbWmh"&amp;"AOTbfQAs/edit?usp=sharing"",""ปัตตานี!I433"")+IMPORTRANGE(""https://docs.google.com/spreadsheets/d/16JDLGguT8s5DsGCND1KcwHP_AWR_zDMTqLHPLJUKhaU/edit?usp=sharing"",""พังงา!I433"")+IMPORTRANGE(""https://docs.google.com/spreadsheets/d/17ht0gPKzzT3PObBL1XJkeR"&amp;"mntBXI7wGjpLV7QorqlTk/edit?usp=sharing"",""พัทลุง!I433"")+IMPORTRANGE(""https://docs.google.com/spreadsheets/d/1rd4qoM1q_hsgaolqNGfrim9gbsoLxQsda4-vOz5x_BM/edit?usp=sharing"",""ภูเก็ต!I433"")+IMPORTRANGE(""https://docs.google.com/spreadsheets/d/1woKwKjgoL"&amp;"ssDvPcPeVyezB5izizAn4X1JDrys69n6xI/edit?usp=sharing"",""ยะลา!I433"")+IMPORTRANGE(""https://docs.google.com/spreadsheets/d/1qfrKjzMhm2HJfxQ-qVlJlJQ25Hne1d0khsySbZyGtPA/edit?usp=sharing"",""ระนอง!I433"")+IMPORTRANGE(""https://docs.google.com/spreadsheets/d/"&amp;"1IbSCnFOKpZsnFogBHJnL_isstZVaOMnFiIN0fGTPZZw/edit?usp=sharing"",""สงขลา!I433"")+IMPORTRANGE(""https://docs.google.com/spreadsheets/d/1q9nWasZJ-K8bFGvbE9n0qSRuKGA4Toe3Y89cKCiVtCU/edit?usp=sharing"",""สตูล!I433"")+IMPORTRANGE(""https://docs.google.com/sprea"&amp;"dsheets/d/18T20gbkS_WBjdscyTOV05cvq_JqvqQ17C81mpxf7Ncs/edit?usp=sharing"",""สุราษฎร์ธานี!I433"")"),20200)</f>
        <v>20200</v>
      </c>
      <c r="J433" s="147">
        <f t="shared" ca="1" si="330"/>
        <v>0</v>
      </c>
      <c r="K433" s="132">
        <f t="shared" ca="1" si="331"/>
        <v>0</v>
      </c>
      <c r="L433" s="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152">
        <f ca="1">IFERROR(__xludf.DUMMYFUNCTION("IMPORTRANGE(""https://docs.google.com/spreadsheets/d/1kKUcYdkIfrgTSj8iHHHB2MD2FAtwyyocFgqGQn6ADyI/edit?usp=sharing"",""กระบี่!J434"")+IMPORTRANGE(""https://docs.google.com/spreadsheets/d/1GwtLaSlNZkLk7iDqcyZz22giiy40b_usZZBXYciEN1U/edit?usp=sharing"",""ชุ"&amp;"มพร!J434"")+IMPORTRANGE(""https://docs.google.com/spreadsheets/d/16pAz3pOhQEZBhvFNMa5KGgZS6iKWpsKX0pg6tQmwFpo/edit?usp=sharing"",""ตรัง!J434"")+IMPORTRANGE(""https://docs.google.com/spreadsheets/d/1Dj4jcHCTV9JXKCaMoheSXS52JE63kDKyG7bPXnFogHk/edit?usp=shar"&amp;"ing"",""นครศรีธรรมราช!J434"")+IMPORTRANGE(""https://docs.google.com/spreadsheets/d/1iodCdmuK2GR3jzUwk8tpccY2JHQQA-87DLOtJP-ooyU/edit?usp=sharing"",""นราธิวาส!J434"")+IMPORTRANGE(""https://docs.google.com/spreadsheets/d/1SDNX3JhDdYRuIOsj0Wh2M-Qa_eaXl0NbWmh"&amp;"AOTbfQAs/edit?usp=sharing"",""ปัตตานี!J434"")+IMPORTRANGE(""https://docs.google.com/spreadsheets/d/16JDLGguT8s5DsGCND1KcwHP_AWR_zDMTqLHPLJUKhaU/edit?usp=sharing"",""พังงา!J434"")+IMPORTRANGE(""https://docs.google.com/spreadsheets/d/17ht0gPKzzT3PObBL1XJkeR"&amp;"mntBXI7wGjpLV7QorqlTk/edit?usp=sharing"",""พัทลุง!J434"")+IMPORTRANGE(""https://docs.google.com/spreadsheets/d/1rd4qoM1q_hsgaolqNGfrim9gbsoLxQsda4-vOz5x_BM/edit?usp=sharing"",""ภูเก็ต!J434"")+IMPORTRANGE(""https://docs.google.com/spreadsheets/d/1woKwKjgoL"&amp;"ssDvPcPeVyezB5izizAn4X1JDrys69n6xI/edit?usp=sharing"",""ยะลา!J434"")+IMPORTRANGE(""https://docs.google.com/spreadsheets/d/1qfrKjzMhm2HJfxQ-qVlJlJQ25Hne1d0khsySbZyGtPA/edit?usp=sharing"",""ระนอง!J434"")+IMPORTRANGE(""https://docs.google.com/spreadsheets/d/"&amp;"1IbSCnFOKpZsnFogBHJnL_isstZVaOMnFiIN0fGTPZZw/edit?usp=sharing"",""สงขลา!J434"")+IMPORTRANGE(""https://docs.google.com/spreadsheets/d/1q9nWasZJ-K8bFGvbE9n0qSRuKGA4Toe3Y89cKCiVtCU/edit?usp=sharing"",""สตูล!J434"")+IMPORTRANGE(""https://docs.google.com/sprea"&amp;"dsheets/d/18T20gbkS_WBjdscyTOV05cvq_JqvqQ17C81mpxf7Ncs/edit?usp=sharing"",""สุราษฎร์ธานี!J434"")"),0)</f>
        <v>0</v>
      </c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152">
        <f ca="1">IFERROR(__xludf.DUMMYFUNCTION("IMPORTRANGE(""https://docs.google.com/spreadsheets/d/1kKUcYdkIfrgTSj8iHHHB2MD2FAtwyyocFgqGQn6ADyI/edit?usp=sharing"",""กระบี่!J435"")+IMPORTRANGE(""https://docs.google.com/spreadsheets/d/1GwtLaSlNZkLk7iDqcyZz22giiy40b_usZZBXYciEN1U/edit?usp=sharing"",""ชุ"&amp;"มพร!J435"")+IMPORTRANGE(""https://docs.google.com/spreadsheets/d/16pAz3pOhQEZBhvFNMa5KGgZS6iKWpsKX0pg6tQmwFpo/edit?usp=sharing"",""ตรัง!J435"")+IMPORTRANGE(""https://docs.google.com/spreadsheets/d/1Dj4jcHCTV9JXKCaMoheSXS52JE63kDKyG7bPXnFogHk/edit?usp=shar"&amp;"ing"",""นครศรีธรรมราช!J435"")+IMPORTRANGE(""https://docs.google.com/spreadsheets/d/1iodCdmuK2GR3jzUwk8tpccY2JHQQA-87DLOtJP-ooyU/edit?usp=sharing"",""นราธิวาส!J435"")+IMPORTRANGE(""https://docs.google.com/spreadsheets/d/1SDNX3JhDdYRuIOsj0Wh2M-Qa_eaXl0NbWmh"&amp;"AOTbfQAs/edit?usp=sharing"",""ปัตตานี!J435"")+IMPORTRANGE(""https://docs.google.com/spreadsheets/d/16JDLGguT8s5DsGCND1KcwHP_AWR_zDMTqLHPLJUKhaU/edit?usp=sharing"",""พังงา!J435"")+IMPORTRANGE(""https://docs.google.com/spreadsheets/d/17ht0gPKzzT3PObBL1XJkeR"&amp;"mntBXI7wGjpLV7QorqlTk/edit?usp=sharing"",""พัทลุง!J435"")+IMPORTRANGE(""https://docs.google.com/spreadsheets/d/1rd4qoM1q_hsgaolqNGfrim9gbsoLxQsda4-vOz5x_BM/edit?usp=sharing"",""ภูเก็ต!J435"")+IMPORTRANGE(""https://docs.google.com/spreadsheets/d/1woKwKjgoL"&amp;"ssDvPcPeVyezB5izizAn4X1JDrys69n6xI/edit?usp=sharing"",""ยะลา!J435"")+IMPORTRANGE(""https://docs.google.com/spreadsheets/d/1qfrKjzMhm2HJfxQ-qVlJlJQ25Hne1d0khsySbZyGtPA/edit?usp=sharing"",""ระนอง!J435"")+IMPORTRANGE(""https://docs.google.com/spreadsheets/d/"&amp;"1IbSCnFOKpZsnFogBHJnL_isstZVaOMnFiIN0fGTPZZw/edit?usp=sharing"",""สงขลา!J435"")+IMPORTRANGE(""https://docs.google.com/spreadsheets/d/1q9nWasZJ-K8bFGvbE9n0qSRuKGA4Toe3Y89cKCiVtCU/edit?usp=sharing"",""สตูล!J435"")+IMPORTRANGE(""https://docs.google.com/sprea"&amp;"dsheets/d/18T20gbkS_WBjdscyTOV05cvq_JqvqQ17C81mpxf7Ncs/edit?usp=sharing"",""สุราษฎร์ธานี!J435"")"),0)</f>
        <v>0</v>
      </c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152">
        <f ca="1">IFERROR(__xludf.DUMMYFUNCTION("IMPORTRANGE(""https://docs.google.com/spreadsheets/d/1kKUcYdkIfrgTSj8iHHHB2MD2FAtwyyocFgqGQn6ADyI/edit?usp=sharing"",""กระบี่!J436"")+IMPORTRANGE(""https://docs.google.com/spreadsheets/d/1GwtLaSlNZkLk7iDqcyZz22giiy40b_usZZBXYciEN1U/edit?usp=sharing"",""ชุ"&amp;"มพร!J436"")+IMPORTRANGE(""https://docs.google.com/spreadsheets/d/16pAz3pOhQEZBhvFNMa5KGgZS6iKWpsKX0pg6tQmwFpo/edit?usp=sharing"",""ตรัง!J436"")+IMPORTRANGE(""https://docs.google.com/spreadsheets/d/1Dj4jcHCTV9JXKCaMoheSXS52JE63kDKyG7bPXnFogHk/edit?usp=shar"&amp;"ing"",""นครศรีธรรมราช!J436"")+IMPORTRANGE(""https://docs.google.com/spreadsheets/d/1iodCdmuK2GR3jzUwk8tpccY2JHQQA-87DLOtJP-ooyU/edit?usp=sharing"",""นราธิวาส!J436"")+IMPORTRANGE(""https://docs.google.com/spreadsheets/d/1SDNX3JhDdYRuIOsj0Wh2M-Qa_eaXl0NbWmh"&amp;"AOTbfQAs/edit?usp=sharing"",""ปัตตานี!J436"")+IMPORTRANGE(""https://docs.google.com/spreadsheets/d/16JDLGguT8s5DsGCND1KcwHP_AWR_zDMTqLHPLJUKhaU/edit?usp=sharing"",""พังงา!J436"")+IMPORTRANGE(""https://docs.google.com/spreadsheets/d/17ht0gPKzzT3PObBL1XJkeR"&amp;"mntBXI7wGjpLV7QorqlTk/edit?usp=sharing"",""พัทลุง!J436"")+IMPORTRANGE(""https://docs.google.com/spreadsheets/d/1rd4qoM1q_hsgaolqNGfrim9gbsoLxQsda4-vOz5x_BM/edit?usp=sharing"",""ภูเก็ต!J436"")+IMPORTRANGE(""https://docs.google.com/spreadsheets/d/1woKwKjgoL"&amp;"ssDvPcPeVyezB5izizAn4X1JDrys69n6xI/edit?usp=sharing"",""ยะลา!J436"")+IMPORTRANGE(""https://docs.google.com/spreadsheets/d/1qfrKjzMhm2HJfxQ-qVlJlJQ25Hne1d0khsySbZyGtPA/edit?usp=sharing"",""ระนอง!J436"")+IMPORTRANGE(""https://docs.google.com/spreadsheets/d/"&amp;"1IbSCnFOKpZsnFogBHJnL_isstZVaOMnFiIN0fGTPZZw/edit?usp=sharing"",""สงขลา!J436"")+IMPORTRANGE(""https://docs.google.com/spreadsheets/d/1q9nWasZJ-K8bFGvbE9n0qSRuKGA4Toe3Y89cKCiVtCU/edit?usp=sharing"",""สตูล!J436"")+IMPORTRANGE(""https://docs.google.com/sprea"&amp;"dsheets/d/18T20gbkS_WBjdscyTOV05cvq_JqvqQ17C81mpxf7Ncs/edit?usp=sharing"",""สุราษฎร์ธานี!J436"")"),0)</f>
        <v>0</v>
      </c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152">
        <f ca="1">IFERROR(__xludf.DUMMYFUNCTION("IMPORTRANGE(""https://docs.google.com/spreadsheets/d/1kKUcYdkIfrgTSj8iHHHB2MD2FAtwyyocFgqGQn6ADyI/edit?usp=sharing"",""กระบี่!J437"")+IMPORTRANGE(""https://docs.google.com/spreadsheets/d/1GwtLaSlNZkLk7iDqcyZz22giiy40b_usZZBXYciEN1U/edit?usp=sharing"",""ชุ"&amp;"มพร!J437"")+IMPORTRANGE(""https://docs.google.com/spreadsheets/d/16pAz3pOhQEZBhvFNMa5KGgZS6iKWpsKX0pg6tQmwFpo/edit?usp=sharing"",""ตรัง!J437"")+IMPORTRANGE(""https://docs.google.com/spreadsheets/d/1Dj4jcHCTV9JXKCaMoheSXS52JE63kDKyG7bPXnFogHk/edit?usp=shar"&amp;"ing"",""นครศรีธรรมราช!J437"")+IMPORTRANGE(""https://docs.google.com/spreadsheets/d/1iodCdmuK2GR3jzUwk8tpccY2JHQQA-87DLOtJP-ooyU/edit?usp=sharing"",""นราธิวาส!J437"")+IMPORTRANGE(""https://docs.google.com/spreadsheets/d/1SDNX3JhDdYRuIOsj0Wh2M-Qa_eaXl0NbWmh"&amp;"AOTbfQAs/edit?usp=sharing"",""ปัตตานี!J437"")+IMPORTRANGE(""https://docs.google.com/spreadsheets/d/16JDLGguT8s5DsGCND1KcwHP_AWR_zDMTqLHPLJUKhaU/edit?usp=sharing"",""พังงา!J437"")+IMPORTRANGE(""https://docs.google.com/spreadsheets/d/17ht0gPKzzT3PObBL1XJkeR"&amp;"mntBXI7wGjpLV7QorqlTk/edit?usp=sharing"",""พัทลุง!J437"")+IMPORTRANGE(""https://docs.google.com/spreadsheets/d/1rd4qoM1q_hsgaolqNGfrim9gbsoLxQsda4-vOz5x_BM/edit?usp=sharing"",""ภูเก็ต!J437"")+IMPORTRANGE(""https://docs.google.com/spreadsheets/d/1woKwKjgoL"&amp;"ssDvPcPeVyezB5izizAn4X1JDrys69n6xI/edit?usp=sharing"",""ยะลา!J437"")+IMPORTRANGE(""https://docs.google.com/spreadsheets/d/1qfrKjzMhm2HJfxQ-qVlJlJQ25Hne1d0khsySbZyGtPA/edit?usp=sharing"",""ระนอง!J437"")+IMPORTRANGE(""https://docs.google.com/spreadsheets/d/"&amp;"1IbSCnFOKpZsnFogBHJnL_isstZVaOMnFiIN0fGTPZZw/edit?usp=sharing"",""สงขลา!J437"")+IMPORTRANGE(""https://docs.google.com/spreadsheets/d/1q9nWasZJ-K8bFGvbE9n0qSRuKGA4Toe3Y89cKCiVtCU/edit?usp=sharing"",""สตูล!J437"")+IMPORTRANGE(""https://docs.google.com/sprea"&amp;"dsheets/d/18T20gbkS_WBjdscyTOV05cvq_JqvqQ17C81mpxf7Ncs/edit?usp=sharing"",""สุราษฎร์ธานี!J437"")"),0)</f>
        <v>0</v>
      </c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152">
        <f ca="1">IFERROR(__xludf.DUMMYFUNCTION("IMPORTRANGE(""https://docs.google.com/spreadsheets/d/1kKUcYdkIfrgTSj8iHHHB2MD2FAtwyyocFgqGQn6ADyI/edit?usp=sharing"",""กระบี่!J438"")+IMPORTRANGE(""https://docs.google.com/spreadsheets/d/1GwtLaSlNZkLk7iDqcyZz22giiy40b_usZZBXYciEN1U/edit?usp=sharing"",""ชุ"&amp;"มพร!J438"")+IMPORTRANGE(""https://docs.google.com/spreadsheets/d/16pAz3pOhQEZBhvFNMa5KGgZS6iKWpsKX0pg6tQmwFpo/edit?usp=sharing"",""ตรัง!J438"")+IMPORTRANGE(""https://docs.google.com/spreadsheets/d/1Dj4jcHCTV9JXKCaMoheSXS52JE63kDKyG7bPXnFogHk/edit?usp=shar"&amp;"ing"",""นครศรีธรรมราช!J438"")+IMPORTRANGE(""https://docs.google.com/spreadsheets/d/1iodCdmuK2GR3jzUwk8tpccY2JHQQA-87DLOtJP-ooyU/edit?usp=sharing"",""นราธิวาส!J438"")+IMPORTRANGE(""https://docs.google.com/spreadsheets/d/1SDNX3JhDdYRuIOsj0Wh2M-Qa_eaXl0NbWmh"&amp;"AOTbfQAs/edit?usp=sharing"",""ปัตตานี!J438"")+IMPORTRANGE(""https://docs.google.com/spreadsheets/d/16JDLGguT8s5DsGCND1KcwHP_AWR_zDMTqLHPLJUKhaU/edit?usp=sharing"",""พังงา!J438"")+IMPORTRANGE(""https://docs.google.com/spreadsheets/d/17ht0gPKzzT3PObBL1XJkeR"&amp;"mntBXI7wGjpLV7QorqlTk/edit?usp=sharing"",""พัทลุง!J438"")+IMPORTRANGE(""https://docs.google.com/spreadsheets/d/1rd4qoM1q_hsgaolqNGfrim9gbsoLxQsda4-vOz5x_BM/edit?usp=sharing"",""ภูเก็ต!J438"")+IMPORTRANGE(""https://docs.google.com/spreadsheets/d/1woKwKjgoL"&amp;"ssDvPcPeVyezB5izizAn4X1JDrys69n6xI/edit?usp=sharing"",""ยะลา!J438"")+IMPORTRANGE(""https://docs.google.com/spreadsheets/d/1qfrKjzMhm2HJfxQ-qVlJlJQ25Hne1d0khsySbZyGtPA/edit?usp=sharing"",""ระนอง!J438"")+IMPORTRANGE(""https://docs.google.com/spreadsheets/d/"&amp;"1IbSCnFOKpZsnFogBHJnL_isstZVaOMnFiIN0fGTPZZw/edit?usp=sharing"",""สงขลา!J438"")+IMPORTRANGE(""https://docs.google.com/spreadsheets/d/1q9nWasZJ-K8bFGvbE9n0qSRuKGA4Toe3Y89cKCiVtCU/edit?usp=sharing"",""สตูล!J438"")+IMPORTRANGE(""https://docs.google.com/sprea"&amp;"dsheets/d/18T20gbkS_WBjdscyTOV05cvq_JqvqQ17C81mpxf7Ncs/edit?usp=sharing"",""สุราษฎร์ธานี!J438"")"),0)</f>
        <v>0</v>
      </c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152">
        <f ca="1">IFERROR(__xludf.DUMMYFUNCTION("IMPORTRANGE(""https://docs.google.com/spreadsheets/d/1kKUcYdkIfrgTSj8iHHHB2MD2FAtwyyocFgqGQn6ADyI/edit?usp=sharing"",""กระบี่!J439"")+IMPORTRANGE(""https://docs.google.com/spreadsheets/d/1GwtLaSlNZkLk7iDqcyZz22giiy40b_usZZBXYciEN1U/edit?usp=sharing"",""ชุ"&amp;"มพร!J439"")+IMPORTRANGE(""https://docs.google.com/spreadsheets/d/16pAz3pOhQEZBhvFNMa5KGgZS6iKWpsKX0pg6tQmwFpo/edit?usp=sharing"",""ตรัง!J439"")+IMPORTRANGE(""https://docs.google.com/spreadsheets/d/1Dj4jcHCTV9JXKCaMoheSXS52JE63kDKyG7bPXnFogHk/edit?usp=shar"&amp;"ing"",""นครศรีธรรมราช!J439"")+IMPORTRANGE(""https://docs.google.com/spreadsheets/d/1iodCdmuK2GR3jzUwk8tpccY2JHQQA-87DLOtJP-ooyU/edit?usp=sharing"",""นราธิวาส!J439"")+IMPORTRANGE(""https://docs.google.com/spreadsheets/d/1SDNX3JhDdYRuIOsj0Wh2M-Qa_eaXl0NbWmh"&amp;"AOTbfQAs/edit?usp=sharing"",""ปัตตานี!J439"")+IMPORTRANGE(""https://docs.google.com/spreadsheets/d/16JDLGguT8s5DsGCND1KcwHP_AWR_zDMTqLHPLJUKhaU/edit?usp=sharing"",""พังงา!J439"")+IMPORTRANGE(""https://docs.google.com/spreadsheets/d/17ht0gPKzzT3PObBL1XJkeR"&amp;"mntBXI7wGjpLV7QorqlTk/edit?usp=sharing"",""พัทลุง!J439"")+IMPORTRANGE(""https://docs.google.com/spreadsheets/d/1rd4qoM1q_hsgaolqNGfrim9gbsoLxQsda4-vOz5x_BM/edit?usp=sharing"",""ภูเก็ต!J439"")+IMPORTRANGE(""https://docs.google.com/spreadsheets/d/1woKwKjgoL"&amp;"ssDvPcPeVyezB5izizAn4X1JDrys69n6xI/edit?usp=sharing"",""ยะลา!J439"")+IMPORTRANGE(""https://docs.google.com/spreadsheets/d/1qfrKjzMhm2HJfxQ-qVlJlJQ25Hne1d0khsySbZyGtPA/edit?usp=sharing"",""ระนอง!J439"")+IMPORTRANGE(""https://docs.google.com/spreadsheets/d/"&amp;"1IbSCnFOKpZsnFogBHJnL_isstZVaOMnFiIN0fGTPZZw/edit?usp=sharing"",""สงขลา!J439"")+IMPORTRANGE(""https://docs.google.com/spreadsheets/d/1q9nWasZJ-K8bFGvbE9n0qSRuKGA4Toe3Y89cKCiVtCU/edit?usp=sharing"",""สตูล!J439"")+IMPORTRANGE(""https://docs.google.com/sprea"&amp;"dsheets/d/18T20gbkS_WBjdscyTOV05cvq_JqvqQ17C81mpxf7Ncs/edit?usp=sharing"",""สุราษฎร์ธานี!J439"")"),0)</f>
        <v>0</v>
      </c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kKUcYdkIfrgTSj8iHHHB2MD2FAtwyyocFgqGQn6ADyI/edit?usp=sharing"",""กระบี่!I440"")+IMPORTRANGE(""https://docs.google.com/spreadsheets/d/1GwtLaSlNZkLk7iDqcyZz22giiy40b_usZZBXYciEN1U/edit?usp=sharing"",""ชุ"&amp;"มพร!I440"")+IMPORTRANGE(""https://docs.google.com/spreadsheets/d/16pAz3pOhQEZBhvFNMa5KGgZS6iKWpsKX0pg6tQmwFpo/edit?usp=sharing"",""ตรัง!I440"")+IMPORTRANGE(""https://docs.google.com/spreadsheets/d/1Dj4jcHCTV9JXKCaMoheSXS52JE63kDKyG7bPXnFogHk/edit?usp=shar"&amp;"ing"",""นครศรีธรรมราช!I440"")+IMPORTRANGE(""https://docs.google.com/spreadsheets/d/1iodCdmuK2GR3jzUwk8tpccY2JHQQA-87DLOtJP-ooyU/edit?usp=sharing"",""นราธิวาส!I440"")+IMPORTRANGE(""https://docs.google.com/spreadsheets/d/1SDNX3JhDdYRuIOsj0Wh2M-Qa_eaXl0NbWmh"&amp;"AOTbfQAs/edit?usp=sharing"",""ปัตตานี!I440"")+IMPORTRANGE(""https://docs.google.com/spreadsheets/d/16JDLGguT8s5DsGCND1KcwHP_AWR_zDMTqLHPLJUKhaU/edit?usp=sharing"",""พังงา!I440"")+IMPORTRANGE(""https://docs.google.com/spreadsheets/d/17ht0gPKzzT3PObBL1XJkeR"&amp;"mntBXI7wGjpLV7QorqlTk/edit?usp=sharing"",""พัทลุง!I440"")+IMPORTRANGE(""https://docs.google.com/spreadsheets/d/1rd4qoM1q_hsgaolqNGfrim9gbsoLxQsda4-vOz5x_BM/edit?usp=sharing"",""ภูเก็ต!I440"")+IMPORTRANGE(""https://docs.google.com/spreadsheets/d/1woKwKjgoL"&amp;"ssDvPcPeVyezB5izizAn4X1JDrys69n6xI/edit?usp=sharing"",""ยะลา!I440"")+IMPORTRANGE(""https://docs.google.com/spreadsheets/d/1qfrKjzMhm2HJfxQ-qVlJlJQ25Hne1d0khsySbZyGtPA/edit?usp=sharing"",""ระนอง!I440"")+IMPORTRANGE(""https://docs.google.com/spreadsheets/d/"&amp;"1IbSCnFOKpZsnFogBHJnL_isstZVaOMnFiIN0fGTPZZw/edit?usp=sharing"",""สงขลา!I440"")+IMPORTRANGE(""https://docs.google.com/spreadsheets/d/1q9nWasZJ-K8bFGvbE9n0qSRuKGA4Toe3Y89cKCiVtCU/edit?usp=sharing"",""สตูล!I440"")+IMPORTRANGE(""https://docs.google.com/sprea"&amp;"dsheets/d/18T20gbkS_WBjdscyTOV05cvq_JqvqQ17C81mpxf7Ncs/edit?usp=sharing"",""สุราษฎร์ธานี!I440"")"),216167)</f>
        <v>216167</v>
      </c>
      <c r="J440" s="147">
        <f t="shared" ref="J440:J441" ca="1" si="332">J442+J444+J446+J452+J454</f>
        <v>0</v>
      </c>
      <c r="K440" s="132">
        <f t="shared" ref="K440:K441" ca="1" si="333">IF(I440&gt;0,J440*100/I440,0)</f>
        <v>0</v>
      </c>
      <c r="L440" s="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kKUcYdkIfrgTSj8iHHHB2MD2FAtwyyocFgqGQn6ADyI/edit?usp=sharing"",""กระบี่!I441"")+IMPORTRANGE(""https://docs.google.com/spreadsheets/d/1GwtLaSlNZkLk7iDqcyZz22giiy40b_usZZBXYciEN1U/edit?usp=sharing"",""ชุ"&amp;"มพร!I441"")+IMPORTRANGE(""https://docs.google.com/spreadsheets/d/16pAz3pOhQEZBhvFNMa5KGgZS6iKWpsKX0pg6tQmwFpo/edit?usp=sharing"",""ตรัง!I441"")+IMPORTRANGE(""https://docs.google.com/spreadsheets/d/1Dj4jcHCTV9JXKCaMoheSXS52JE63kDKyG7bPXnFogHk/edit?usp=shar"&amp;"ing"",""นครศรีธรรมราช!I441"")+IMPORTRANGE(""https://docs.google.com/spreadsheets/d/1iodCdmuK2GR3jzUwk8tpccY2JHQQA-87DLOtJP-ooyU/edit?usp=sharing"",""นราธิวาส!I441"")+IMPORTRANGE(""https://docs.google.com/spreadsheets/d/1SDNX3JhDdYRuIOsj0Wh2M-Qa_eaXl0NbWmh"&amp;"AOTbfQAs/edit?usp=sharing"",""ปัตตานี!I441"")+IMPORTRANGE(""https://docs.google.com/spreadsheets/d/16JDLGguT8s5DsGCND1KcwHP_AWR_zDMTqLHPLJUKhaU/edit?usp=sharing"",""พังงา!I441"")+IMPORTRANGE(""https://docs.google.com/spreadsheets/d/17ht0gPKzzT3PObBL1XJkeR"&amp;"mntBXI7wGjpLV7QorqlTk/edit?usp=sharing"",""พัทลุง!I441"")+IMPORTRANGE(""https://docs.google.com/spreadsheets/d/1rd4qoM1q_hsgaolqNGfrim9gbsoLxQsda4-vOz5x_BM/edit?usp=sharing"",""ภูเก็ต!I441"")+IMPORTRANGE(""https://docs.google.com/spreadsheets/d/1woKwKjgoL"&amp;"ssDvPcPeVyezB5izizAn4X1JDrys69n6xI/edit?usp=sharing"",""ยะลา!I441"")+IMPORTRANGE(""https://docs.google.com/spreadsheets/d/1qfrKjzMhm2HJfxQ-qVlJlJQ25Hne1d0khsySbZyGtPA/edit?usp=sharing"",""ระนอง!I441"")+IMPORTRANGE(""https://docs.google.com/spreadsheets/d/"&amp;"1IbSCnFOKpZsnFogBHJnL_isstZVaOMnFiIN0fGTPZZw/edit?usp=sharing"",""สงขลา!I441"")+IMPORTRANGE(""https://docs.google.com/spreadsheets/d/1q9nWasZJ-K8bFGvbE9n0qSRuKGA4Toe3Y89cKCiVtCU/edit?usp=sharing"",""สตูล!I441"")+IMPORTRANGE(""https://docs.google.com/sprea"&amp;"dsheets/d/18T20gbkS_WBjdscyTOV05cvq_JqvqQ17C81mpxf7Ncs/edit?usp=sharing"",""สุราษฎร์ธานี!I441"")"),20200)</f>
        <v>20200</v>
      </c>
      <c r="J441" s="147">
        <f t="shared" ca="1" si="332"/>
        <v>0</v>
      </c>
      <c r="K441" s="132">
        <f t="shared" ca="1" si="333"/>
        <v>0</v>
      </c>
      <c r="L441" s="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152">
        <f ca="1">IFERROR(__xludf.DUMMYFUNCTION("IMPORTRANGE(""https://docs.google.com/spreadsheets/d/1kKUcYdkIfrgTSj8iHHHB2MD2FAtwyyocFgqGQn6ADyI/edit?usp=sharing"",""กระบี่!J442"")+IMPORTRANGE(""https://docs.google.com/spreadsheets/d/1GwtLaSlNZkLk7iDqcyZz22giiy40b_usZZBXYciEN1U/edit?usp=sharing"",""ชุ"&amp;"มพร!J442"")+IMPORTRANGE(""https://docs.google.com/spreadsheets/d/16pAz3pOhQEZBhvFNMa5KGgZS6iKWpsKX0pg6tQmwFpo/edit?usp=sharing"",""ตรัง!J442"")+IMPORTRANGE(""https://docs.google.com/spreadsheets/d/1Dj4jcHCTV9JXKCaMoheSXS52JE63kDKyG7bPXnFogHk/edit?usp=shar"&amp;"ing"",""นครศรีธรรมราช!J442"")+IMPORTRANGE(""https://docs.google.com/spreadsheets/d/1iodCdmuK2GR3jzUwk8tpccY2JHQQA-87DLOtJP-ooyU/edit?usp=sharing"",""นราธิวาส!J442"")+IMPORTRANGE(""https://docs.google.com/spreadsheets/d/1SDNX3JhDdYRuIOsj0Wh2M-Qa_eaXl0NbWmh"&amp;"AOTbfQAs/edit?usp=sharing"",""ปัตตานี!J442"")+IMPORTRANGE(""https://docs.google.com/spreadsheets/d/16JDLGguT8s5DsGCND1KcwHP_AWR_zDMTqLHPLJUKhaU/edit?usp=sharing"",""พังงา!J442"")+IMPORTRANGE(""https://docs.google.com/spreadsheets/d/17ht0gPKzzT3PObBL1XJkeR"&amp;"mntBXI7wGjpLV7QorqlTk/edit?usp=sharing"",""พัทลุง!J442"")+IMPORTRANGE(""https://docs.google.com/spreadsheets/d/1rd4qoM1q_hsgaolqNGfrim9gbsoLxQsda4-vOz5x_BM/edit?usp=sharing"",""ภูเก็ต!J442"")+IMPORTRANGE(""https://docs.google.com/spreadsheets/d/1woKwKjgoL"&amp;"ssDvPcPeVyezB5izizAn4X1JDrys69n6xI/edit?usp=sharing"",""ยะลา!J442"")+IMPORTRANGE(""https://docs.google.com/spreadsheets/d/1qfrKjzMhm2HJfxQ-qVlJlJQ25Hne1d0khsySbZyGtPA/edit?usp=sharing"",""ระนอง!J442"")+IMPORTRANGE(""https://docs.google.com/spreadsheets/d/"&amp;"1IbSCnFOKpZsnFogBHJnL_isstZVaOMnFiIN0fGTPZZw/edit?usp=sharing"",""สงขลา!J442"")+IMPORTRANGE(""https://docs.google.com/spreadsheets/d/1q9nWasZJ-K8bFGvbE9n0qSRuKGA4Toe3Y89cKCiVtCU/edit?usp=sharing"",""สตูล!J442"")+IMPORTRANGE(""https://docs.google.com/sprea"&amp;"dsheets/d/18T20gbkS_WBjdscyTOV05cvq_JqvqQ17C81mpxf7Ncs/edit?usp=sharing"",""สุราษฎร์ธานี!J442"")"),0)</f>
        <v>0</v>
      </c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152">
        <f ca="1">IFERROR(__xludf.DUMMYFUNCTION("IMPORTRANGE(""https://docs.google.com/spreadsheets/d/1kKUcYdkIfrgTSj8iHHHB2MD2FAtwyyocFgqGQn6ADyI/edit?usp=sharing"",""กระบี่!J443"")+IMPORTRANGE(""https://docs.google.com/spreadsheets/d/1GwtLaSlNZkLk7iDqcyZz22giiy40b_usZZBXYciEN1U/edit?usp=sharing"",""ชุ"&amp;"มพร!J443"")+IMPORTRANGE(""https://docs.google.com/spreadsheets/d/16pAz3pOhQEZBhvFNMa5KGgZS6iKWpsKX0pg6tQmwFpo/edit?usp=sharing"",""ตรัง!J443"")+IMPORTRANGE(""https://docs.google.com/spreadsheets/d/1Dj4jcHCTV9JXKCaMoheSXS52JE63kDKyG7bPXnFogHk/edit?usp=shar"&amp;"ing"",""นครศรีธรรมราช!J443"")+IMPORTRANGE(""https://docs.google.com/spreadsheets/d/1iodCdmuK2GR3jzUwk8tpccY2JHQQA-87DLOtJP-ooyU/edit?usp=sharing"",""นราธิวาส!J443"")+IMPORTRANGE(""https://docs.google.com/spreadsheets/d/1SDNX3JhDdYRuIOsj0Wh2M-Qa_eaXl0NbWmh"&amp;"AOTbfQAs/edit?usp=sharing"",""ปัตตานี!J443"")+IMPORTRANGE(""https://docs.google.com/spreadsheets/d/16JDLGguT8s5DsGCND1KcwHP_AWR_zDMTqLHPLJUKhaU/edit?usp=sharing"",""พังงา!J443"")+IMPORTRANGE(""https://docs.google.com/spreadsheets/d/17ht0gPKzzT3PObBL1XJkeR"&amp;"mntBXI7wGjpLV7QorqlTk/edit?usp=sharing"",""พัทลุง!J443"")+IMPORTRANGE(""https://docs.google.com/spreadsheets/d/1rd4qoM1q_hsgaolqNGfrim9gbsoLxQsda4-vOz5x_BM/edit?usp=sharing"",""ภูเก็ต!J443"")+IMPORTRANGE(""https://docs.google.com/spreadsheets/d/1woKwKjgoL"&amp;"ssDvPcPeVyezB5izizAn4X1JDrys69n6xI/edit?usp=sharing"",""ยะลา!J443"")+IMPORTRANGE(""https://docs.google.com/spreadsheets/d/1qfrKjzMhm2HJfxQ-qVlJlJQ25Hne1d0khsySbZyGtPA/edit?usp=sharing"",""ระนอง!J443"")+IMPORTRANGE(""https://docs.google.com/spreadsheets/d/"&amp;"1IbSCnFOKpZsnFogBHJnL_isstZVaOMnFiIN0fGTPZZw/edit?usp=sharing"",""สงขลา!J443"")+IMPORTRANGE(""https://docs.google.com/spreadsheets/d/1q9nWasZJ-K8bFGvbE9n0qSRuKGA4Toe3Y89cKCiVtCU/edit?usp=sharing"",""สตูล!J443"")+IMPORTRANGE(""https://docs.google.com/sprea"&amp;"dsheets/d/18T20gbkS_WBjdscyTOV05cvq_JqvqQ17C81mpxf7Ncs/edit?usp=sharing"",""สุราษฎร์ธานี!J443"")"),0)</f>
        <v>0</v>
      </c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152">
        <f ca="1">IFERROR(__xludf.DUMMYFUNCTION("IMPORTRANGE(""https://docs.google.com/spreadsheets/d/1kKUcYdkIfrgTSj8iHHHB2MD2FAtwyyocFgqGQn6ADyI/edit?usp=sharing"",""กระบี่!J444"")+IMPORTRANGE(""https://docs.google.com/spreadsheets/d/1GwtLaSlNZkLk7iDqcyZz22giiy40b_usZZBXYciEN1U/edit?usp=sharing"",""ชุ"&amp;"มพร!J444"")+IMPORTRANGE(""https://docs.google.com/spreadsheets/d/16pAz3pOhQEZBhvFNMa5KGgZS6iKWpsKX0pg6tQmwFpo/edit?usp=sharing"",""ตรัง!J444"")+IMPORTRANGE(""https://docs.google.com/spreadsheets/d/1Dj4jcHCTV9JXKCaMoheSXS52JE63kDKyG7bPXnFogHk/edit?usp=shar"&amp;"ing"",""นครศรีธรรมราช!J444"")+IMPORTRANGE(""https://docs.google.com/spreadsheets/d/1iodCdmuK2GR3jzUwk8tpccY2JHQQA-87DLOtJP-ooyU/edit?usp=sharing"",""นราธิวาส!J444"")+IMPORTRANGE(""https://docs.google.com/spreadsheets/d/1SDNX3JhDdYRuIOsj0Wh2M-Qa_eaXl0NbWmh"&amp;"AOTbfQAs/edit?usp=sharing"",""ปัตตานี!J444"")+IMPORTRANGE(""https://docs.google.com/spreadsheets/d/16JDLGguT8s5DsGCND1KcwHP_AWR_zDMTqLHPLJUKhaU/edit?usp=sharing"",""พังงา!J444"")+IMPORTRANGE(""https://docs.google.com/spreadsheets/d/17ht0gPKzzT3PObBL1XJkeR"&amp;"mntBXI7wGjpLV7QorqlTk/edit?usp=sharing"",""พัทลุง!J444"")+IMPORTRANGE(""https://docs.google.com/spreadsheets/d/1rd4qoM1q_hsgaolqNGfrim9gbsoLxQsda4-vOz5x_BM/edit?usp=sharing"",""ภูเก็ต!J444"")+IMPORTRANGE(""https://docs.google.com/spreadsheets/d/1woKwKjgoL"&amp;"ssDvPcPeVyezB5izizAn4X1JDrys69n6xI/edit?usp=sharing"",""ยะลา!J444"")+IMPORTRANGE(""https://docs.google.com/spreadsheets/d/1qfrKjzMhm2HJfxQ-qVlJlJQ25Hne1d0khsySbZyGtPA/edit?usp=sharing"",""ระนอง!J444"")+IMPORTRANGE(""https://docs.google.com/spreadsheets/d/"&amp;"1IbSCnFOKpZsnFogBHJnL_isstZVaOMnFiIN0fGTPZZw/edit?usp=sharing"",""สงขลา!J444"")+IMPORTRANGE(""https://docs.google.com/spreadsheets/d/1q9nWasZJ-K8bFGvbE9n0qSRuKGA4Toe3Y89cKCiVtCU/edit?usp=sharing"",""สตูล!J444"")+IMPORTRANGE(""https://docs.google.com/sprea"&amp;"dsheets/d/18T20gbkS_WBjdscyTOV05cvq_JqvqQ17C81mpxf7Ncs/edit?usp=sharing"",""สุราษฎร์ธานี!J444"")"),0)</f>
        <v>0</v>
      </c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152">
        <f ca="1">IFERROR(__xludf.DUMMYFUNCTION("IMPORTRANGE(""https://docs.google.com/spreadsheets/d/1kKUcYdkIfrgTSj8iHHHB2MD2FAtwyyocFgqGQn6ADyI/edit?usp=sharing"",""กระบี่!J445"")+IMPORTRANGE(""https://docs.google.com/spreadsheets/d/1GwtLaSlNZkLk7iDqcyZz22giiy40b_usZZBXYciEN1U/edit?usp=sharing"",""ชุ"&amp;"มพร!J445"")+IMPORTRANGE(""https://docs.google.com/spreadsheets/d/16pAz3pOhQEZBhvFNMa5KGgZS6iKWpsKX0pg6tQmwFpo/edit?usp=sharing"",""ตรัง!J445"")+IMPORTRANGE(""https://docs.google.com/spreadsheets/d/1Dj4jcHCTV9JXKCaMoheSXS52JE63kDKyG7bPXnFogHk/edit?usp=shar"&amp;"ing"",""นครศรีธรรมราช!J445"")+IMPORTRANGE(""https://docs.google.com/spreadsheets/d/1iodCdmuK2GR3jzUwk8tpccY2JHQQA-87DLOtJP-ooyU/edit?usp=sharing"",""นราธิวาส!J445"")+IMPORTRANGE(""https://docs.google.com/spreadsheets/d/1SDNX3JhDdYRuIOsj0Wh2M-Qa_eaXl0NbWmh"&amp;"AOTbfQAs/edit?usp=sharing"",""ปัตตานี!J445"")+IMPORTRANGE(""https://docs.google.com/spreadsheets/d/16JDLGguT8s5DsGCND1KcwHP_AWR_zDMTqLHPLJUKhaU/edit?usp=sharing"",""พังงา!J445"")+IMPORTRANGE(""https://docs.google.com/spreadsheets/d/17ht0gPKzzT3PObBL1XJkeR"&amp;"mntBXI7wGjpLV7QorqlTk/edit?usp=sharing"",""พัทลุง!J445"")+IMPORTRANGE(""https://docs.google.com/spreadsheets/d/1rd4qoM1q_hsgaolqNGfrim9gbsoLxQsda4-vOz5x_BM/edit?usp=sharing"",""ภูเก็ต!J445"")+IMPORTRANGE(""https://docs.google.com/spreadsheets/d/1woKwKjgoL"&amp;"ssDvPcPeVyezB5izizAn4X1JDrys69n6xI/edit?usp=sharing"",""ยะลา!J445"")+IMPORTRANGE(""https://docs.google.com/spreadsheets/d/1qfrKjzMhm2HJfxQ-qVlJlJQ25Hne1d0khsySbZyGtPA/edit?usp=sharing"",""ระนอง!J445"")+IMPORTRANGE(""https://docs.google.com/spreadsheets/d/"&amp;"1IbSCnFOKpZsnFogBHJnL_isstZVaOMnFiIN0fGTPZZw/edit?usp=sharing"",""สงขลา!J445"")+IMPORTRANGE(""https://docs.google.com/spreadsheets/d/1q9nWasZJ-K8bFGvbE9n0qSRuKGA4Toe3Y89cKCiVtCU/edit?usp=sharing"",""สตูล!J445"")+IMPORTRANGE(""https://docs.google.com/sprea"&amp;"dsheets/d/18T20gbkS_WBjdscyTOV05cvq_JqvqQ17C81mpxf7Ncs/edit?usp=sharing"",""สุราษฎร์ธานี!J445"")"),0)</f>
        <v>0</v>
      </c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 t="shared" ref="J446:J447" ca="1" si="334">J448+J450</f>
        <v>0</v>
      </c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 t="shared" ca="1" si="334"/>
        <v>0</v>
      </c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152">
        <f ca="1">IFERROR(__xludf.DUMMYFUNCTION("IMPORTRANGE(""https://docs.google.com/spreadsheets/d/1kKUcYdkIfrgTSj8iHHHB2MD2FAtwyyocFgqGQn6ADyI/edit?usp=sharing"",""กระบี่!J448"")+IMPORTRANGE(""https://docs.google.com/spreadsheets/d/1GwtLaSlNZkLk7iDqcyZz22giiy40b_usZZBXYciEN1U/edit?usp=sharing"",""ชุ"&amp;"มพร!J448"")+IMPORTRANGE(""https://docs.google.com/spreadsheets/d/16pAz3pOhQEZBhvFNMa5KGgZS6iKWpsKX0pg6tQmwFpo/edit?usp=sharing"",""ตรัง!J448"")+IMPORTRANGE(""https://docs.google.com/spreadsheets/d/1Dj4jcHCTV9JXKCaMoheSXS52JE63kDKyG7bPXnFogHk/edit?usp=shar"&amp;"ing"",""นครศรีธรรมราช!J448"")+IMPORTRANGE(""https://docs.google.com/spreadsheets/d/1iodCdmuK2GR3jzUwk8tpccY2JHQQA-87DLOtJP-ooyU/edit?usp=sharing"",""นราธิวาส!J448"")+IMPORTRANGE(""https://docs.google.com/spreadsheets/d/1SDNX3JhDdYRuIOsj0Wh2M-Qa_eaXl0NbWmh"&amp;"AOTbfQAs/edit?usp=sharing"",""ปัตตานี!J448"")+IMPORTRANGE(""https://docs.google.com/spreadsheets/d/16JDLGguT8s5DsGCND1KcwHP_AWR_zDMTqLHPLJUKhaU/edit?usp=sharing"",""พังงา!J448"")+IMPORTRANGE(""https://docs.google.com/spreadsheets/d/17ht0gPKzzT3PObBL1XJkeR"&amp;"mntBXI7wGjpLV7QorqlTk/edit?usp=sharing"",""พัทลุง!J448"")+IMPORTRANGE(""https://docs.google.com/spreadsheets/d/1rd4qoM1q_hsgaolqNGfrim9gbsoLxQsda4-vOz5x_BM/edit?usp=sharing"",""ภูเก็ต!J448"")+IMPORTRANGE(""https://docs.google.com/spreadsheets/d/1woKwKjgoL"&amp;"ssDvPcPeVyezB5izizAn4X1JDrys69n6xI/edit?usp=sharing"",""ยะลา!J448"")+IMPORTRANGE(""https://docs.google.com/spreadsheets/d/1qfrKjzMhm2HJfxQ-qVlJlJQ25Hne1d0khsySbZyGtPA/edit?usp=sharing"",""ระนอง!J448"")+IMPORTRANGE(""https://docs.google.com/spreadsheets/d/"&amp;"1IbSCnFOKpZsnFogBHJnL_isstZVaOMnFiIN0fGTPZZw/edit?usp=sharing"",""สงขลา!J448"")+IMPORTRANGE(""https://docs.google.com/spreadsheets/d/1q9nWasZJ-K8bFGvbE9n0qSRuKGA4Toe3Y89cKCiVtCU/edit?usp=sharing"",""สตูล!J448"")+IMPORTRANGE(""https://docs.google.com/sprea"&amp;"dsheets/d/18T20gbkS_WBjdscyTOV05cvq_JqvqQ17C81mpxf7Ncs/edit?usp=sharing"",""สุราษฎร์ธานี!J448"")"),0)</f>
        <v>0</v>
      </c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152">
        <f ca="1">IFERROR(__xludf.DUMMYFUNCTION("IMPORTRANGE(""https://docs.google.com/spreadsheets/d/1kKUcYdkIfrgTSj8iHHHB2MD2FAtwyyocFgqGQn6ADyI/edit?usp=sharing"",""กระบี่!J449"")+IMPORTRANGE(""https://docs.google.com/spreadsheets/d/1GwtLaSlNZkLk7iDqcyZz22giiy40b_usZZBXYciEN1U/edit?usp=sharing"",""ชุ"&amp;"มพร!J449"")+IMPORTRANGE(""https://docs.google.com/spreadsheets/d/16pAz3pOhQEZBhvFNMa5KGgZS6iKWpsKX0pg6tQmwFpo/edit?usp=sharing"",""ตรัง!J449"")+IMPORTRANGE(""https://docs.google.com/spreadsheets/d/1Dj4jcHCTV9JXKCaMoheSXS52JE63kDKyG7bPXnFogHk/edit?usp=shar"&amp;"ing"",""นครศรีธรรมราช!J449"")+IMPORTRANGE(""https://docs.google.com/spreadsheets/d/1iodCdmuK2GR3jzUwk8tpccY2JHQQA-87DLOtJP-ooyU/edit?usp=sharing"",""นราธิวาส!J449"")+IMPORTRANGE(""https://docs.google.com/spreadsheets/d/1SDNX3JhDdYRuIOsj0Wh2M-Qa_eaXl0NbWmh"&amp;"AOTbfQAs/edit?usp=sharing"",""ปัตตานี!J449"")+IMPORTRANGE(""https://docs.google.com/spreadsheets/d/16JDLGguT8s5DsGCND1KcwHP_AWR_zDMTqLHPLJUKhaU/edit?usp=sharing"",""พังงา!J449"")+IMPORTRANGE(""https://docs.google.com/spreadsheets/d/17ht0gPKzzT3PObBL1XJkeR"&amp;"mntBXI7wGjpLV7QorqlTk/edit?usp=sharing"",""พัทลุง!J449"")+IMPORTRANGE(""https://docs.google.com/spreadsheets/d/1rd4qoM1q_hsgaolqNGfrim9gbsoLxQsda4-vOz5x_BM/edit?usp=sharing"",""ภูเก็ต!J449"")+IMPORTRANGE(""https://docs.google.com/spreadsheets/d/1woKwKjgoL"&amp;"ssDvPcPeVyezB5izizAn4X1JDrys69n6xI/edit?usp=sharing"",""ยะลา!J449"")+IMPORTRANGE(""https://docs.google.com/spreadsheets/d/1qfrKjzMhm2HJfxQ-qVlJlJQ25Hne1d0khsySbZyGtPA/edit?usp=sharing"",""ระนอง!J449"")+IMPORTRANGE(""https://docs.google.com/spreadsheets/d/"&amp;"1IbSCnFOKpZsnFogBHJnL_isstZVaOMnFiIN0fGTPZZw/edit?usp=sharing"",""สงขลา!J449"")+IMPORTRANGE(""https://docs.google.com/spreadsheets/d/1q9nWasZJ-K8bFGvbE9n0qSRuKGA4Toe3Y89cKCiVtCU/edit?usp=sharing"",""สตูล!J449"")+IMPORTRANGE(""https://docs.google.com/sprea"&amp;"dsheets/d/18T20gbkS_WBjdscyTOV05cvq_JqvqQ17C81mpxf7Ncs/edit?usp=sharing"",""สุราษฎร์ธานี!J449"")"),0)</f>
        <v>0</v>
      </c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152">
        <f ca="1">IFERROR(__xludf.DUMMYFUNCTION("IMPORTRANGE(""https://docs.google.com/spreadsheets/d/1kKUcYdkIfrgTSj8iHHHB2MD2FAtwyyocFgqGQn6ADyI/edit?usp=sharing"",""กระบี่!J450"")+IMPORTRANGE(""https://docs.google.com/spreadsheets/d/1GwtLaSlNZkLk7iDqcyZz22giiy40b_usZZBXYciEN1U/edit?usp=sharing"",""ชุ"&amp;"มพร!J450"")+IMPORTRANGE(""https://docs.google.com/spreadsheets/d/16pAz3pOhQEZBhvFNMa5KGgZS6iKWpsKX0pg6tQmwFpo/edit?usp=sharing"",""ตรัง!J450"")+IMPORTRANGE(""https://docs.google.com/spreadsheets/d/1Dj4jcHCTV9JXKCaMoheSXS52JE63kDKyG7bPXnFogHk/edit?usp=shar"&amp;"ing"",""นครศรีธรรมราช!J450"")+IMPORTRANGE(""https://docs.google.com/spreadsheets/d/1iodCdmuK2GR3jzUwk8tpccY2JHQQA-87DLOtJP-ooyU/edit?usp=sharing"",""นราธิวาส!J450"")+IMPORTRANGE(""https://docs.google.com/spreadsheets/d/1SDNX3JhDdYRuIOsj0Wh2M-Qa_eaXl0NbWmh"&amp;"AOTbfQAs/edit?usp=sharing"",""ปัตตานี!J450"")+IMPORTRANGE(""https://docs.google.com/spreadsheets/d/16JDLGguT8s5DsGCND1KcwHP_AWR_zDMTqLHPLJUKhaU/edit?usp=sharing"",""พังงา!J450"")+IMPORTRANGE(""https://docs.google.com/spreadsheets/d/17ht0gPKzzT3PObBL1XJkeR"&amp;"mntBXI7wGjpLV7QorqlTk/edit?usp=sharing"",""พัทลุง!J450"")+IMPORTRANGE(""https://docs.google.com/spreadsheets/d/1rd4qoM1q_hsgaolqNGfrim9gbsoLxQsda4-vOz5x_BM/edit?usp=sharing"",""ภูเก็ต!J450"")+IMPORTRANGE(""https://docs.google.com/spreadsheets/d/1woKwKjgoL"&amp;"ssDvPcPeVyezB5izizAn4X1JDrys69n6xI/edit?usp=sharing"",""ยะลา!J450"")+IMPORTRANGE(""https://docs.google.com/spreadsheets/d/1qfrKjzMhm2HJfxQ-qVlJlJQ25Hne1d0khsySbZyGtPA/edit?usp=sharing"",""ระนอง!J450"")+IMPORTRANGE(""https://docs.google.com/spreadsheets/d/"&amp;"1IbSCnFOKpZsnFogBHJnL_isstZVaOMnFiIN0fGTPZZw/edit?usp=sharing"",""สงขลา!J450"")+IMPORTRANGE(""https://docs.google.com/spreadsheets/d/1q9nWasZJ-K8bFGvbE9n0qSRuKGA4Toe3Y89cKCiVtCU/edit?usp=sharing"",""สตูล!J450"")+IMPORTRANGE(""https://docs.google.com/sprea"&amp;"dsheets/d/18T20gbkS_WBjdscyTOV05cvq_JqvqQ17C81mpxf7Ncs/edit?usp=sharing"",""สุราษฎร์ธานี!J450"")"),0)</f>
        <v>0</v>
      </c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152">
        <f ca="1">IFERROR(__xludf.DUMMYFUNCTION("IMPORTRANGE(""https://docs.google.com/spreadsheets/d/1kKUcYdkIfrgTSj8iHHHB2MD2FAtwyyocFgqGQn6ADyI/edit?usp=sharing"",""กระบี่!J451"")+IMPORTRANGE(""https://docs.google.com/spreadsheets/d/1GwtLaSlNZkLk7iDqcyZz22giiy40b_usZZBXYciEN1U/edit?usp=sharing"",""ชุ"&amp;"มพร!J451"")+IMPORTRANGE(""https://docs.google.com/spreadsheets/d/16pAz3pOhQEZBhvFNMa5KGgZS6iKWpsKX0pg6tQmwFpo/edit?usp=sharing"",""ตรัง!J451"")+IMPORTRANGE(""https://docs.google.com/spreadsheets/d/1Dj4jcHCTV9JXKCaMoheSXS52JE63kDKyG7bPXnFogHk/edit?usp=shar"&amp;"ing"",""นครศรีธรรมราช!J451"")+IMPORTRANGE(""https://docs.google.com/spreadsheets/d/1iodCdmuK2GR3jzUwk8tpccY2JHQQA-87DLOtJP-ooyU/edit?usp=sharing"",""นราธิวาส!J451"")+IMPORTRANGE(""https://docs.google.com/spreadsheets/d/1SDNX3JhDdYRuIOsj0Wh2M-Qa_eaXl0NbWmh"&amp;"AOTbfQAs/edit?usp=sharing"",""ปัตตานี!J451"")+IMPORTRANGE(""https://docs.google.com/spreadsheets/d/16JDLGguT8s5DsGCND1KcwHP_AWR_zDMTqLHPLJUKhaU/edit?usp=sharing"",""พังงา!J451"")+IMPORTRANGE(""https://docs.google.com/spreadsheets/d/17ht0gPKzzT3PObBL1XJkeR"&amp;"mntBXI7wGjpLV7QorqlTk/edit?usp=sharing"",""พัทลุง!J451"")+IMPORTRANGE(""https://docs.google.com/spreadsheets/d/1rd4qoM1q_hsgaolqNGfrim9gbsoLxQsda4-vOz5x_BM/edit?usp=sharing"",""ภูเก็ต!J451"")+IMPORTRANGE(""https://docs.google.com/spreadsheets/d/1woKwKjgoL"&amp;"ssDvPcPeVyezB5izizAn4X1JDrys69n6xI/edit?usp=sharing"",""ยะลา!J451"")+IMPORTRANGE(""https://docs.google.com/spreadsheets/d/1qfrKjzMhm2HJfxQ-qVlJlJQ25Hne1d0khsySbZyGtPA/edit?usp=sharing"",""ระนอง!J451"")+IMPORTRANGE(""https://docs.google.com/spreadsheets/d/"&amp;"1IbSCnFOKpZsnFogBHJnL_isstZVaOMnFiIN0fGTPZZw/edit?usp=sharing"",""สงขลา!J451"")+IMPORTRANGE(""https://docs.google.com/spreadsheets/d/1q9nWasZJ-K8bFGvbE9n0qSRuKGA4Toe3Y89cKCiVtCU/edit?usp=sharing"",""สตูล!J451"")+IMPORTRANGE(""https://docs.google.com/sprea"&amp;"dsheets/d/18T20gbkS_WBjdscyTOV05cvq_JqvqQ17C81mpxf7Ncs/edit?usp=sharing"",""สุราษฎร์ธานี!J451"")"),0)</f>
        <v>0</v>
      </c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152">
        <f ca="1">IFERROR(__xludf.DUMMYFUNCTION("IMPORTRANGE(""https://docs.google.com/spreadsheets/d/1kKUcYdkIfrgTSj8iHHHB2MD2FAtwyyocFgqGQn6ADyI/edit?usp=sharing"",""กระบี่!J452"")+IMPORTRANGE(""https://docs.google.com/spreadsheets/d/1GwtLaSlNZkLk7iDqcyZz22giiy40b_usZZBXYciEN1U/edit?usp=sharing"",""ชุ"&amp;"มพร!J452"")+IMPORTRANGE(""https://docs.google.com/spreadsheets/d/16pAz3pOhQEZBhvFNMa5KGgZS6iKWpsKX0pg6tQmwFpo/edit?usp=sharing"",""ตรัง!J452"")+IMPORTRANGE(""https://docs.google.com/spreadsheets/d/1Dj4jcHCTV9JXKCaMoheSXS52JE63kDKyG7bPXnFogHk/edit?usp=shar"&amp;"ing"",""นครศรีธรรมราช!J452"")+IMPORTRANGE(""https://docs.google.com/spreadsheets/d/1iodCdmuK2GR3jzUwk8tpccY2JHQQA-87DLOtJP-ooyU/edit?usp=sharing"",""นราธิวาส!J452"")+IMPORTRANGE(""https://docs.google.com/spreadsheets/d/1SDNX3JhDdYRuIOsj0Wh2M-Qa_eaXl0NbWmh"&amp;"AOTbfQAs/edit?usp=sharing"",""ปัตตานี!J452"")+IMPORTRANGE(""https://docs.google.com/spreadsheets/d/16JDLGguT8s5DsGCND1KcwHP_AWR_zDMTqLHPLJUKhaU/edit?usp=sharing"",""พังงา!J452"")+IMPORTRANGE(""https://docs.google.com/spreadsheets/d/17ht0gPKzzT3PObBL1XJkeR"&amp;"mntBXI7wGjpLV7QorqlTk/edit?usp=sharing"",""พัทลุง!J452"")+IMPORTRANGE(""https://docs.google.com/spreadsheets/d/1rd4qoM1q_hsgaolqNGfrim9gbsoLxQsda4-vOz5x_BM/edit?usp=sharing"",""ภูเก็ต!J452"")+IMPORTRANGE(""https://docs.google.com/spreadsheets/d/1woKwKjgoL"&amp;"ssDvPcPeVyezB5izizAn4X1JDrys69n6xI/edit?usp=sharing"",""ยะลา!J452"")+IMPORTRANGE(""https://docs.google.com/spreadsheets/d/1qfrKjzMhm2HJfxQ-qVlJlJQ25Hne1d0khsySbZyGtPA/edit?usp=sharing"",""ระนอง!J452"")+IMPORTRANGE(""https://docs.google.com/spreadsheets/d/"&amp;"1IbSCnFOKpZsnFogBHJnL_isstZVaOMnFiIN0fGTPZZw/edit?usp=sharing"",""สงขลา!J452"")+IMPORTRANGE(""https://docs.google.com/spreadsheets/d/1q9nWasZJ-K8bFGvbE9n0qSRuKGA4Toe3Y89cKCiVtCU/edit?usp=sharing"",""สตูล!J452"")+IMPORTRANGE(""https://docs.google.com/sprea"&amp;"dsheets/d/18T20gbkS_WBjdscyTOV05cvq_JqvqQ17C81mpxf7Ncs/edit?usp=sharing"",""สุราษฎร์ธานี!J452"")"),0)</f>
        <v>0</v>
      </c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152">
        <f ca="1">IFERROR(__xludf.DUMMYFUNCTION("IMPORTRANGE(""https://docs.google.com/spreadsheets/d/1kKUcYdkIfrgTSj8iHHHB2MD2FAtwyyocFgqGQn6ADyI/edit?usp=sharing"",""กระบี่!J453"")+IMPORTRANGE(""https://docs.google.com/spreadsheets/d/1GwtLaSlNZkLk7iDqcyZz22giiy40b_usZZBXYciEN1U/edit?usp=sharing"",""ชุ"&amp;"มพร!J453"")+IMPORTRANGE(""https://docs.google.com/spreadsheets/d/16pAz3pOhQEZBhvFNMa5KGgZS6iKWpsKX0pg6tQmwFpo/edit?usp=sharing"",""ตรัง!J453"")+IMPORTRANGE(""https://docs.google.com/spreadsheets/d/1Dj4jcHCTV9JXKCaMoheSXS52JE63kDKyG7bPXnFogHk/edit?usp=shar"&amp;"ing"",""นครศรีธรรมราช!J453"")+IMPORTRANGE(""https://docs.google.com/spreadsheets/d/1iodCdmuK2GR3jzUwk8tpccY2JHQQA-87DLOtJP-ooyU/edit?usp=sharing"",""นราธิวาส!J453"")+IMPORTRANGE(""https://docs.google.com/spreadsheets/d/1SDNX3JhDdYRuIOsj0Wh2M-Qa_eaXl0NbWmh"&amp;"AOTbfQAs/edit?usp=sharing"",""ปัตตานี!J453"")+IMPORTRANGE(""https://docs.google.com/spreadsheets/d/16JDLGguT8s5DsGCND1KcwHP_AWR_zDMTqLHPLJUKhaU/edit?usp=sharing"",""พังงา!J453"")+IMPORTRANGE(""https://docs.google.com/spreadsheets/d/17ht0gPKzzT3PObBL1XJkeR"&amp;"mntBXI7wGjpLV7QorqlTk/edit?usp=sharing"",""พัทลุง!J453"")+IMPORTRANGE(""https://docs.google.com/spreadsheets/d/1rd4qoM1q_hsgaolqNGfrim9gbsoLxQsda4-vOz5x_BM/edit?usp=sharing"",""ภูเก็ต!J453"")+IMPORTRANGE(""https://docs.google.com/spreadsheets/d/1woKwKjgoL"&amp;"ssDvPcPeVyezB5izizAn4X1JDrys69n6xI/edit?usp=sharing"",""ยะลา!J453"")+IMPORTRANGE(""https://docs.google.com/spreadsheets/d/1qfrKjzMhm2HJfxQ-qVlJlJQ25Hne1d0khsySbZyGtPA/edit?usp=sharing"",""ระนอง!J453"")+IMPORTRANGE(""https://docs.google.com/spreadsheets/d/"&amp;"1IbSCnFOKpZsnFogBHJnL_isstZVaOMnFiIN0fGTPZZw/edit?usp=sharing"",""สงขลา!J453"")+IMPORTRANGE(""https://docs.google.com/spreadsheets/d/1q9nWasZJ-K8bFGvbE9n0qSRuKGA4Toe3Y89cKCiVtCU/edit?usp=sharing"",""สตูล!J453"")+IMPORTRANGE(""https://docs.google.com/sprea"&amp;"dsheets/d/18T20gbkS_WBjdscyTOV05cvq_JqvqQ17C81mpxf7Ncs/edit?usp=sharing"",""สุราษฎร์ธานี!J453"")"),0)</f>
        <v>0</v>
      </c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347">
        <f ca="1">IFERROR(__xludf.DUMMYFUNCTION("IMPORTRANGE(""https://docs.google.com/spreadsheets/d/1kKUcYdkIfrgTSj8iHHHB2MD2FAtwyyocFgqGQn6ADyI/edit?usp=sharing"",""กระบี่!J454"")+IMPORTRANGE(""https://docs.google.com/spreadsheets/d/1GwtLaSlNZkLk7iDqcyZz22giiy40b_usZZBXYciEN1U/edit?usp=sharing"",""ชุ"&amp;"มพร!J454"")+IMPORTRANGE(""https://docs.google.com/spreadsheets/d/16pAz3pOhQEZBhvFNMa5KGgZS6iKWpsKX0pg6tQmwFpo/edit?usp=sharing"",""ตรัง!J454"")+IMPORTRANGE(""https://docs.google.com/spreadsheets/d/1Dj4jcHCTV9JXKCaMoheSXS52JE63kDKyG7bPXnFogHk/edit?usp=shar"&amp;"ing"",""นครศรีธรรมราช!J454"")+IMPORTRANGE(""https://docs.google.com/spreadsheets/d/1iodCdmuK2GR3jzUwk8tpccY2JHQQA-87DLOtJP-ooyU/edit?usp=sharing"",""นราธิวาส!J454"")+IMPORTRANGE(""https://docs.google.com/spreadsheets/d/1SDNX3JhDdYRuIOsj0Wh2M-Qa_eaXl0NbWmh"&amp;"AOTbfQAs/edit?usp=sharing"",""ปัตตานี!J454"")+IMPORTRANGE(""https://docs.google.com/spreadsheets/d/16JDLGguT8s5DsGCND1KcwHP_AWR_zDMTqLHPLJUKhaU/edit?usp=sharing"",""พังงา!J454"")+IMPORTRANGE(""https://docs.google.com/spreadsheets/d/17ht0gPKzzT3PObBL1XJkeR"&amp;"mntBXI7wGjpLV7QorqlTk/edit?usp=sharing"",""พัทลุง!J454"")+IMPORTRANGE(""https://docs.google.com/spreadsheets/d/1rd4qoM1q_hsgaolqNGfrim9gbsoLxQsda4-vOz5x_BM/edit?usp=sharing"",""ภูเก็ต!J454"")+IMPORTRANGE(""https://docs.google.com/spreadsheets/d/1woKwKjgoL"&amp;"ssDvPcPeVyezB5izizAn4X1JDrys69n6xI/edit?usp=sharing"",""ยะลา!J454"")+IMPORTRANGE(""https://docs.google.com/spreadsheets/d/1qfrKjzMhm2HJfxQ-qVlJlJQ25Hne1d0khsySbZyGtPA/edit?usp=sharing"",""ระนอง!J454"")+IMPORTRANGE(""https://docs.google.com/spreadsheets/d/"&amp;"1IbSCnFOKpZsnFogBHJnL_isstZVaOMnFiIN0fGTPZZw/edit?usp=sharing"",""สงขลา!J454"")+IMPORTRANGE(""https://docs.google.com/spreadsheets/d/1q9nWasZJ-K8bFGvbE9n0qSRuKGA4Toe3Y89cKCiVtCU/edit?usp=sharing"",""สตูล!J454"")+IMPORTRANGE(""https://docs.google.com/sprea"&amp;"dsheets/d/18T20gbkS_WBjdscyTOV05cvq_JqvqQ17C81mpxf7Ncs/edit?usp=sharing"",""สุราษฎร์ธานี!J454"")"),0)</f>
        <v>0</v>
      </c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152">
        <f ca="1">IFERROR(__xludf.DUMMYFUNCTION("IMPORTRANGE(""https://docs.google.com/spreadsheets/d/1kKUcYdkIfrgTSj8iHHHB2MD2FAtwyyocFgqGQn6ADyI/edit?usp=sharing"",""กระบี่!J455"")+IMPORTRANGE(""https://docs.google.com/spreadsheets/d/1GwtLaSlNZkLk7iDqcyZz22giiy40b_usZZBXYciEN1U/edit?usp=sharing"",""ชุ"&amp;"มพร!J455"")+IMPORTRANGE(""https://docs.google.com/spreadsheets/d/16pAz3pOhQEZBhvFNMa5KGgZS6iKWpsKX0pg6tQmwFpo/edit?usp=sharing"",""ตรัง!J455"")+IMPORTRANGE(""https://docs.google.com/spreadsheets/d/1Dj4jcHCTV9JXKCaMoheSXS52JE63kDKyG7bPXnFogHk/edit?usp=shar"&amp;"ing"",""นครศรีธรรมราช!J455"")+IMPORTRANGE(""https://docs.google.com/spreadsheets/d/1iodCdmuK2GR3jzUwk8tpccY2JHQQA-87DLOtJP-ooyU/edit?usp=sharing"",""นราธิวาส!J455"")+IMPORTRANGE(""https://docs.google.com/spreadsheets/d/1SDNX3JhDdYRuIOsj0Wh2M-Qa_eaXl0NbWmh"&amp;"AOTbfQAs/edit?usp=sharing"",""ปัตตานี!J455"")+IMPORTRANGE(""https://docs.google.com/spreadsheets/d/16JDLGguT8s5DsGCND1KcwHP_AWR_zDMTqLHPLJUKhaU/edit?usp=sharing"",""พังงา!J455"")+IMPORTRANGE(""https://docs.google.com/spreadsheets/d/17ht0gPKzzT3PObBL1XJkeR"&amp;"mntBXI7wGjpLV7QorqlTk/edit?usp=sharing"",""พัทลุง!J455"")+IMPORTRANGE(""https://docs.google.com/spreadsheets/d/1rd4qoM1q_hsgaolqNGfrim9gbsoLxQsda4-vOz5x_BM/edit?usp=sharing"",""ภูเก็ต!J455"")+IMPORTRANGE(""https://docs.google.com/spreadsheets/d/1woKwKjgoL"&amp;"ssDvPcPeVyezB5izizAn4X1JDrys69n6xI/edit?usp=sharing"",""ยะลา!J455"")+IMPORTRANGE(""https://docs.google.com/spreadsheets/d/1qfrKjzMhm2HJfxQ-qVlJlJQ25Hne1d0khsySbZyGtPA/edit?usp=sharing"",""ระนอง!J455"")+IMPORTRANGE(""https://docs.google.com/spreadsheets/d/"&amp;"1IbSCnFOKpZsnFogBHJnL_isstZVaOMnFiIN0fGTPZZw/edit?usp=sharing"",""สงขลา!J455"")+IMPORTRANGE(""https://docs.google.com/spreadsheets/d/1q9nWasZJ-K8bFGvbE9n0qSRuKGA4Toe3Y89cKCiVtCU/edit?usp=sharing"",""สตูล!J455"")+IMPORTRANGE(""https://docs.google.com/sprea"&amp;"dsheets/d/18T20gbkS_WBjdscyTOV05cvq_JqvqQ17C81mpxf7Ncs/edit?usp=sharing"",""สุราษฎร์ธานี!J455"")"),0)</f>
        <v>0</v>
      </c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217"/>
      <c r="B456" s="162" t="s">
        <v>177</v>
      </c>
      <c r="C456" s="159"/>
      <c r="D456" s="159"/>
      <c r="E456" s="159"/>
      <c r="F456" s="159"/>
      <c r="G456" s="191"/>
      <c r="H456" s="341" t="s">
        <v>46</v>
      </c>
      <c r="I456" s="147">
        <f t="shared" ref="I456:J456" ca="1" si="335">I457</f>
        <v>1815</v>
      </c>
      <c r="J456" s="147">
        <f t="shared" ca="1" si="335"/>
        <v>0</v>
      </c>
      <c r="K456" s="132">
        <f t="shared" ref="K456:K458" ca="1" si="336">IF(I456&gt;0,J456*100/I456,0)</f>
        <v>0</v>
      </c>
      <c r="L456" s="46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kKUcYdkIfrgTSj8iHHHB2MD2FAtwyyocFgqGQn6ADyI/edit?usp=sharing"",""กระบี่!I457"")+IMPORTRANGE(""https://docs.google.com/spreadsheets/d/1GwtLaSlNZkLk7iDqcyZz22giiy40b_usZZBXYciEN1U/edit?usp=sharing"",""ชุ"&amp;"มพร!I457"")+IMPORTRANGE(""https://docs.google.com/spreadsheets/d/16pAz3pOhQEZBhvFNMa5KGgZS6iKWpsKX0pg6tQmwFpo/edit?usp=sharing"",""ตรัง!I457"")+IMPORTRANGE(""https://docs.google.com/spreadsheets/d/1Dj4jcHCTV9JXKCaMoheSXS52JE63kDKyG7bPXnFogHk/edit?usp=shar"&amp;"ing"",""นครศรีธรรมราช!I457"")+IMPORTRANGE(""https://docs.google.com/spreadsheets/d/1iodCdmuK2GR3jzUwk8tpccY2JHQQA-87DLOtJP-ooyU/edit?usp=sharing"",""นราธิวาส!I457"")+IMPORTRANGE(""https://docs.google.com/spreadsheets/d/1SDNX3JhDdYRuIOsj0Wh2M-Qa_eaXl0NbWmh"&amp;"AOTbfQAs/edit?usp=sharing"",""ปัตตานี!I457"")+IMPORTRANGE(""https://docs.google.com/spreadsheets/d/16JDLGguT8s5DsGCND1KcwHP_AWR_zDMTqLHPLJUKhaU/edit?usp=sharing"",""พังงา!I457"")+IMPORTRANGE(""https://docs.google.com/spreadsheets/d/17ht0gPKzzT3PObBL1XJkeR"&amp;"mntBXI7wGjpLV7QorqlTk/edit?usp=sharing"",""พัทลุง!I457"")+IMPORTRANGE(""https://docs.google.com/spreadsheets/d/1rd4qoM1q_hsgaolqNGfrim9gbsoLxQsda4-vOz5x_BM/edit?usp=sharing"",""ภูเก็ต!I457"")+IMPORTRANGE(""https://docs.google.com/spreadsheets/d/1woKwKjgoL"&amp;"ssDvPcPeVyezB5izizAn4X1JDrys69n6xI/edit?usp=sharing"",""ยะลา!I457"")+IMPORTRANGE(""https://docs.google.com/spreadsheets/d/1qfrKjzMhm2HJfxQ-qVlJlJQ25Hne1d0khsySbZyGtPA/edit?usp=sharing"",""ระนอง!I457"")+IMPORTRANGE(""https://docs.google.com/spreadsheets/d/"&amp;"1IbSCnFOKpZsnFogBHJnL_isstZVaOMnFiIN0fGTPZZw/edit?usp=sharing"",""สงขลา!I457"")+IMPORTRANGE(""https://docs.google.com/spreadsheets/d/1q9nWasZJ-K8bFGvbE9n0qSRuKGA4Toe3Y89cKCiVtCU/edit?usp=sharing"",""สตูล!I457"")+IMPORTRANGE(""https://docs.google.com/sprea"&amp;"dsheets/d/18T20gbkS_WBjdscyTOV05cvq_JqvqQ17C81mpxf7Ncs/edit?usp=sharing"",""สุราษฎร์ธานี!I457"")"),1815)</f>
        <v>1815</v>
      </c>
      <c r="J457" s="147">
        <f t="shared" ref="J457:J458" ca="1" si="337">J459+J467+J473</f>
        <v>0</v>
      </c>
      <c r="K457" s="132">
        <f t="shared" ca="1" si="336"/>
        <v>0</v>
      </c>
      <c r="L457" s="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kKUcYdkIfrgTSj8iHHHB2MD2FAtwyyocFgqGQn6ADyI/edit?usp=sharing"",""กระบี่!I458"")+IMPORTRANGE(""https://docs.google.com/spreadsheets/d/1GwtLaSlNZkLk7iDqcyZz22giiy40b_usZZBXYciEN1U/edit?usp=sharing"",""ชุ"&amp;"มพร!I458"")+IMPORTRANGE(""https://docs.google.com/spreadsheets/d/16pAz3pOhQEZBhvFNMa5KGgZS6iKWpsKX0pg6tQmwFpo/edit?usp=sharing"",""ตรัง!I458"")+IMPORTRANGE(""https://docs.google.com/spreadsheets/d/1Dj4jcHCTV9JXKCaMoheSXS52JE63kDKyG7bPXnFogHk/edit?usp=shar"&amp;"ing"",""นครศรีธรรมราช!I458"")+IMPORTRANGE(""https://docs.google.com/spreadsheets/d/1iodCdmuK2GR3jzUwk8tpccY2JHQQA-87DLOtJP-ooyU/edit?usp=sharing"",""นราธิวาส!I458"")+IMPORTRANGE(""https://docs.google.com/spreadsheets/d/1SDNX3JhDdYRuIOsj0Wh2M-Qa_eaXl0NbWmh"&amp;"AOTbfQAs/edit?usp=sharing"",""ปัตตานี!I458"")+IMPORTRANGE(""https://docs.google.com/spreadsheets/d/16JDLGguT8s5DsGCND1KcwHP_AWR_zDMTqLHPLJUKhaU/edit?usp=sharing"",""พังงา!I458"")+IMPORTRANGE(""https://docs.google.com/spreadsheets/d/17ht0gPKzzT3PObBL1XJkeR"&amp;"mntBXI7wGjpLV7QorqlTk/edit?usp=sharing"",""พัทลุง!I458"")+IMPORTRANGE(""https://docs.google.com/spreadsheets/d/1rd4qoM1q_hsgaolqNGfrim9gbsoLxQsda4-vOz5x_BM/edit?usp=sharing"",""ภูเก็ต!I458"")+IMPORTRANGE(""https://docs.google.com/spreadsheets/d/1woKwKjgoL"&amp;"ssDvPcPeVyezB5izizAn4X1JDrys69n6xI/edit?usp=sharing"",""ยะลา!I458"")+IMPORTRANGE(""https://docs.google.com/spreadsheets/d/1qfrKjzMhm2HJfxQ-qVlJlJQ25Hne1d0khsySbZyGtPA/edit?usp=sharing"",""ระนอง!I458"")+IMPORTRANGE(""https://docs.google.com/spreadsheets/d/"&amp;"1IbSCnFOKpZsnFogBHJnL_isstZVaOMnFiIN0fGTPZZw/edit?usp=sharing"",""สงขลา!I458"")+IMPORTRANGE(""https://docs.google.com/spreadsheets/d/1q9nWasZJ-K8bFGvbE9n0qSRuKGA4Toe3Y89cKCiVtCU/edit?usp=sharing"",""สตูล!I458"")+IMPORTRANGE(""https://docs.google.com/sprea"&amp;"dsheets/d/18T20gbkS_WBjdscyTOV05cvq_JqvqQ17C81mpxf7Ncs/edit?usp=sharing"",""สุราษฎร์ธานี!I458"")"),0)</f>
        <v>0</v>
      </c>
      <c r="J458" s="147">
        <f t="shared" ca="1" si="337"/>
        <v>0</v>
      </c>
      <c r="K458" s="132">
        <f t="shared" ca="1" si="336"/>
        <v>0</v>
      </c>
      <c r="L458" s="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 t="shared" ref="J459:J460" ca="1" si="338">J461+J463</f>
        <v>0</v>
      </c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 t="shared" ca="1" si="338"/>
        <v>0</v>
      </c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152">
        <f ca="1">IFERROR(__xludf.DUMMYFUNCTION("IMPORTRANGE(""https://docs.google.com/spreadsheets/d/1kKUcYdkIfrgTSj8iHHHB2MD2FAtwyyocFgqGQn6ADyI/edit?usp=sharing"",""กระบี่!J461"")+IMPORTRANGE(""https://docs.google.com/spreadsheets/d/1GwtLaSlNZkLk7iDqcyZz22giiy40b_usZZBXYciEN1U/edit?usp=sharing"",""ชุ"&amp;"มพร!J461"")+IMPORTRANGE(""https://docs.google.com/spreadsheets/d/16pAz3pOhQEZBhvFNMa5KGgZS6iKWpsKX0pg6tQmwFpo/edit?usp=sharing"",""ตรัง!J461"")+IMPORTRANGE(""https://docs.google.com/spreadsheets/d/1Dj4jcHCTV9JXKCaMoheSXS52JE63kDKyG7bPXnFogHk/edit?usp=shar"&amp;"ing"",""นครศรีธรรมราช!J461"")+IMPORTRANGE(""https://docs.google.com/spreadsheets/d/1iodCdmuK2GR3jzUwk8tpccY2JHQQA-87DLOtJP-ooyU/edit?usp=sharing"",""นราธิวาส!J461"")+IMPORTRANGE(""https://docs.google.com/spreadsheets/d/1SDNX3JhDdYRuIOsj0Wh2M-Qa_eaXl0NbWmh"&amp;"AOTbfQAs/edit?usp=sharing"",""ปัตตานี!J461"")+IMPORTRANGE(""https://docs.google.com/spreadsheets/d/16JDLGguT8s5DsGCND1KcwHP_AWR_zDMTqLHPLJUKhaU/edit?usp=sharing"",""พังงา!J461"")+IMPORTRANGE(""https://docs.google.com/spreadsheets/d/17ht0gPKzzT3PObBL1XJkeR"&amp;"mntBXI7wGjpLV7QorqlTk/edit?usp=sharing"",""พัทลุง!J461"")+IMPORTRANGE(""https://docs.google.com/spreadsheets/d/1rd4qoM1q_hsgaolqNGfrim9gbsoLxQsda4-vOz5x_BM/edit?usp=sharing"",""ภูเก็ต!J461"")+IMPORTRANGE(""https://docs.google.com/spreadsheets/d/1woKwKjgoL"&amp;"ssDvPcPeVyezB5izizAn4X1JDrys69n6xI/edit?usp=sharing"",""ยะลา!J461"")+IMPORTRANGE(""https://docs.google.com/spreadsheets/d/1qfrKjzMhm2HJfxQ-qVlJlJQ25Hne1d0khsySbZyGtPA/edit?usp=sharing"",""ระนอง!J461"")+IMPORTRANGE(""https://docs.google.com/spreadsheets/d/"&amp;"1IbSCnFOKpZsnFogBHJnL_isstZVaOMnFiIN0fGTPZZw/edit?usp=sharing"",""สงขลา!J461"")+IMPORTRANGE(""https://docs.google.com/spreadsheets/d/1q9nWasZJ-K8bFGvbE9n0qSRuKGA4Toe3Y89cKCiVtCU/edit?usp=sharing"",""สตูล!J461"")+IMPORTRANGE(""https://docs.google.com/sprea"&amp;"dsheets/d/18T20gbkS_WBjdscyTOV05cvq_JqvqQ17C81mpxf7Ncs/edit?usp=sharing"",""สุราษฎร์ธานี!J461"")"),0)</f>
        <v>0</v>
      </c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152">
        <f ca="1">IFERROR(__xludf.DUMMYFUNCTION("IMPORTRANGE(""https://docs.google.com/spreadsheets/d/1kKUcYdkIfrgTSj8iHHHB2MD2FAtwyyocFgqGQn6ADyI/edit?usp=sharing"",""กระบี่!J462"")+IMPORTRANGE(""https://docs.google.com/spreadsheets/d/1GwtLaSlNZkLk7iDqcyZz22giiy40b_usZZBXYciEN1U/edit?usp=sharing"",""ชุ"&amp;"มพร!J462"")+IMPORTRANGE(""https://docs.google.com/spreadsheets/d/16pAz3pOhQEZBhvFNMa5KGgZS6iKWpsKX0pg6tQmwFpo/edit?usp=sharing"",""ตรัง!J462"")+IMPORTRANGE(""https://docs.google.com/spreadsheets/d/1Dj4jcHCTV9JXKCaMoheSXS52JE63kDKyG7bPXnFogHk/edit?usp=shar"&amp;"ing"",""นครศรีธรรมราช!J462"")+IMPORTRANGE(""https://docs.google.com/spreadsheets/d/1iodCdmuK2GR3jzUwk8tpccY2JHQQA-87DLOtJP-ooyU/edit?usp=sharing"",""นราธิวาส!J462"")+IMPORTRANGE(""https://docs.google.com/spreadsheets/d/1SDNX3JhDdYRuIOsj0Wh2M-Qa_eaXl0NbWmh"&amp;"AOTbfQAs/edit?usp=sharing"",""ปัตตานี!J462"")+IMPORTRANGE(""https://docs.google.com/spreadsheets/d/16JDLGguT8s5DsGCND1KcwHP_AWR_zDMTqLHPLJUKhaU/edit?usp=sharing"",""พังงา!J462"")+IMPORTRANGE(""https://docs.google.com/spreadsheets/d/17ht0gPKzzT3PObBL1XJkeR"&amp;"mntBXI7wGjpLV7QorqlTk/edit?usp=sharing"",""พัทลุง!J462"")+IMPORTRANGE(""https://docs.google.com/spreadsheets/d/1rd4qoM1q_hsgaolqNGfrim9gbsoLxQsda4-vOz5x_BM/edit?usp=sharing"",""ภูเก็ต!J462"")+IMPORTRANGE(""https://docs.google.com/spreadsheets/d/1woKwKjgoL"&amp;"ssDvPcPeVyezB5izizAn4X1JDrys69n6xI/edit?usp=sharing"",""ยะลา!J462"")+IMPORTRANGE(""https://docs.google.com/spreadsheets/d/1qfrKjzMhm2HJfxQ-qVlJlJQ25Hne1d0khsySbZyGtPA/edit?usp=sharing"",""ระนอง!J462"")+IMPORTRANGE(""https://docs.google.com/spreadsheets/d/"&amp;"1IbSCnFOKpZsnFogBHJnL_isstZVaOMnFiIN0fGTPZZw/edit?usp=sharing"",""สงขลา!J462"")+IMPORTRANGE(""https://docs.google.com/spreadsheets/d/1q9nWasZJ-K8bFGvbE9n0qSRuKGA4Toe3Y89cKCiVtCU/edit?usp=sharing"",""สตูล!J462"")+IMPORTRANGE(""https://docs.google.com/sprea"&amp;"dsheets/d/18T20gbkS_WBjdscyTOV05cvq_JqvqQ17C81mpxf7Ncs/edit?usp=sharing"",""สุราษฎร์ธานี!J462"")"),0)</f>
        <v>0</v>
      </c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152">
        <f ca="1">IFERROR(__xludf.DUMMYFUNCTION("IMPORTRANGE(""https://docs.google.com/spreadsheets/d/1kKUcYdkIfrgTSj8iHHHB2MD2FAtwyyocFgqGQn6ADyI/edit?usp=sharing"",""กระบี่!J463"")+IMPORTRANGE(""https://docs.google.com/spreadsheets/d/1GwtLaSlNZkLk7iDqcyZz22giiy40b_usZZBXYciEN1U/edit?usp=sharing"",""ชุ"&amp;"มพร!J463"")+IMPORTRANGE(""https://docs.google.com/spreadsheets/d/16pAz3pOhQEZBhvFNMa5KGgZS6iKWpsKX0pg6tQmwFpo/edit?usp=sharing"",""ตรัง!J463"")+IMPORTRANGE(""https://docs.google.com/spreadsheets/d/1Dj4jcHCTV9JXKCaMoheSXS52JE63kDKyG7bPXnFogHk/edit?usp=shar"&amp;"ing"",""นครศรีธรรมราช!J463"")+IMPORTRANGE(""https://docs.google.com/spreadsheets/d/1iodCdmuK2GR3jzUwk8tpccY2JHQQA-87DLOtJP-ooyU/edit?usp=sharing"",""นราธิวาส!J463"")+IMPORTRANGE(""https://docs.google.com/spreadsheets/d/1SDNX3JhDdYRuIOsj0Wh2M-Qa_eaXl0NbWmh"&amp;"AOTbfQAs/edit?usp=sharing"",""ปัตตานี!J463"")+IMPORTRANGE(""https://docs.google.com/spreadsheets/d/16JDLGguT8s5DsGCND1KcwHP_AWR_zDMTqLHPLJUKhaU/edit?usp=sharing"",""พังงา!J463"")+IMPORTRANGE(""https://docs.google.com/spreadsheets/d/17ht0gPKzzT3PObBL1XJkeR"&amp;"mntBXI7wGjpLV7QorqlTk/edit?usp=sharing"",""พัทลุง!J463"")+IMPORTRANGE(""https://docs.google.com/spreadsheets/d/1rd4qoM1q_hsgaolqNGfrim9gbsoLxQsda4-vOz5x_BM/edit?usp=sharing"",""ภูเก็ต!J463"")+IMPORTRANGE(""https://docs.google.com/spreadsheets/d/1woKwKjgoL"&amp;"ssDvPcPeVyezB5izizAn4X1JDrys69n6xI/edit?usp=sharing"",""ยะลา!J463"")+IMPORTRANGE(""https://docs.google.com/spreadsheets/d/1qfrKjzMhm2HJfxQ-qVlJlJQ25Hne1d0khsySbZyGtPA/edit?usp=sharing"",""ระนอง!J463"")+IMPORTRANGE(""https://docs.google.com/spreadsheets/d/"&amp;"1IbSCnFOKpZsnFogBHJnL_isstZVaOMnFiIN0fGTPZZw/edit?usp=sharing"",""สงขลา!J463"")+IMPORTRANGE(""https://docs.google.com/spreadsheets/d/1q9nWasZJ-K8bFGvbE9n0qSRuKGA4Toe3Y89cKCiVtCU/edit?usp=sharing"",""สตูล!J463"")+IMPORTRANGE(""https://docs.google.com/sprea"&amp;"dsheets/d/18T20gbkS_WBjdscyTOV05cvq_JqvqQ17C81mpxf7Ncs/edit?usp=sharing"",""สุราษฎร์ธานี!J463"")"),0)</f>
        <v>0</v>
      </c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152">
        <f ca="1">IFERROR(__xludf.DUMMYFUNCTION("IMPORTRANGE(""https://docs.google.com/spreadsheets/d/1kKUcYdkIfrgTSj8iHHHB2MD2FAtwyyocFgqGQn6ADyI/edit?usp=sharing"",""กระบี่!J464"")+IMPORTRANGE(""https://docs.google.com/spreadsheets/d/1GwtLaSlNZkLk7iDqcyZz22giiy40b_usZZBXYciEN1U/edit?usp=sharing"",""ชุ"&amp;"มพร!J464"")+IMPORTRANGE(""https://docs.google.com/spreadsheets/d/16pAz3pOhQEZBhvFNMa5KGgZS6iKWpsKX0pg6tQmwFpo/edit?usp=sharing"",""ตรัง!J464"")+IMPORTRANGE(""https://docs.google.com/spreadsheets/d/1Dj4jcHCTV9JXKCaMoheSXS52JE63kDKyG7bPXnFogHk/edit?usp=shar"&amp;"ing"",""นครศรีธรรมราช!J464"")+IMPORTRANGE(""https://docs.google.com/spreadsheets/d/1iodCdmuK2GR3jzUwk8tpccY2JHQQA-87DLOtJP-ooyU/edit?usp=sharing"",""นราธิวาส!J464"")+IMPORTRANGE(""https://docs.google.com/spreadsheets/d/1SDNX3JhDdYRuIOsj0Wh2M-Qa_eaXl0NbWmh"&amp;"AOTbfQAs/edit?usp=sharing"",""ปัตตานี!J464"")+IMPORTRANGE(""https://docs.google.com/spreadsheets/d/16JDLGguT8s5DsGCND1KcwHP_AWR_zDMTqLHPLJUKhaU/edit?usp=sharing"",""พังงา!J464"")+IMPORTRANGE(""https://docs.google.com/spreadsheets/d/17ht0gPKzzT3PObBL1XJkeR"&amp;"mntBXI7wGjpLV7QorqlTk/edit?usp=sharing"",""พัทลุง!J464"")+IMPORTRANGE(""https://docs.google.com/spreadsheets/d/1rd4qoM1q_hsgaolqNGfrim9gbsoLxQsda4-vOz5x_BM/edit?usp=sharing"",""ภูเก็ต!J464"")+IMPORTRANGE(""https://docs.google.com/spreadsheets/d/1woKwKjgoL"&amp;"ssDvPcPeVyezB5izizAn4X1JDrys69n6xI/edit?usp=sharing"",""ยะลา!J464"")+IMPORTRANGE(""https://docs.google.com/spreadsheets/d/1qfrKjzMhm2HJfxQ-qVlJlJQ25Hne1d0khsySbZyGtPA/edit?usp=sharing"",""ระนอง!J464"")+IMPORTRANGE(""https://docs.google.com/spreadsheets/d/"&amp;"1IbSCnFOKpZsnFogBHJnL_isstZVaOMnFiIN0fGTPZZw/edit?usp=sharing"",""สงขลา!J464"")+IMPORTRANGE(""https://docs.google.com/spreadsheets/d/1q9nWasZJ-K8bFGvbE9n0qSRuKGA4Toe3Y89cKCiVtCU/edit?usp=sharing"",""สตูล!J464"")+IMPORTRANGE(""https://docs.google.com/sprea"&amp;"dsheets/d/18T20gbkS_WBjdscyTOV05cvq_JqvqQ17C81mpxf7Ncs/edit?usp=sharing"",""สุราษฎร์ธานี!J464"")"),0)</f>
        <v>0</v>
      </c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152">
        <f ca="1">IFERROR(__xludf.DUMMYFUNCTION("IMPORTRANGE(""https://docs.google.com/spreadsheets/d/1kKUcYdkIfrgTSj8iHHHB2MD2FAtwyyocFgqGQn6ADyI/edit?usp=sharing"",""กระบี่!J465"")+IMPORTRANGE(""https://docs.google.com/spreadsheets/d/1GwtLaSlNZkLk7iDqcyZz22giiy40b_usZZBXYciEN1U/edit?usp=sharing"",""ชุ"&amp;"มพร!J465"")+IMPORTRANGE(""https://docs.google.com/spreadsheets/d/16pAz3pOhQEZBhvFNMa5KGgZS6iKWpsKX0pg6tQmwFpo/edit?usp=sharing"",""ตรัง!J465"")+IMPORTRANGE(""https://docs.google.com/spreadsheets/d/1Dj4jcHCTV9JXKCaMoheSXS52JE63kDKyG7bPXnFogHk/edit?usp=shar"&amp;"ing"",""นครศรีธรรมราช!J465"")+IMPORTRANGE(""https://docs.google.com/spreadsheets/d/1iodCdmuK2GR3jzUwk8tpccY2JHQQA-87DLOtJP-ooyU/edit?usp=sharing"",""นราธิวาส!J465"")+IMPORTRANGE(""https://docs.google.com/spreadsheets/d/1SDNX3JhDdYRuIOsj0Wh2M-Qa_eaXl0NbWmh"&amp;"AOTbfQAs/edit?usp=sharing"",""ปัตตานี!J465"")+IMPORTRANGE(""https://docs.google.com/spreadsheets/d/16JDLGguT8s5DsGCND1KcwHP_AWR_zDMTqLHPLJUKhaU/edit?usp=sharing"",""พังงา!J465"")+IMPORTRANGE(""https://docs.google.com/spreadsheets/d/17ht0gPKzzT3PObBL1XJkeR"&amp;"mntBXI7wGjpLV7QorqlTk/edit?usp=sharing"",""พัทลุง!J465"")+IMPORTRANGE(""https://docs.google.com/spreadsheets/d/1rd4qoM1q_hsgaolqNGfrim9gbsoLxQsda4-vOz5x_BM/edit?usp=sharing"",""ภูเก็ต!J465"")+IMPORTRANGE(""https://docs.google.com/spreadsheets/d/1woKwKjgoL"&amp;"ssDvPcPeVyezB5izizAn4X1JDrys69n6xI/edit?usp=sharing"",""ยะลา!J465"")+IMPORTRANGE(""https://docs.google.com/spreadsheets/d/1qfrKjzMhm2HJfxQ-qVlJlJQ25Hne1d0khsySbZyGtPA/edit?usp=sharing"",""ระนอง!J465"")+IMPORTRANGE(""https://docs.google.com/spreadsheets/d/"&amp;"1IbSCnFOKpZsnFogBHJnL_isstZVaOMnFiIN0fGTPZZw/edit?usp=sharing"",""สงขลา!J465"")+IMPORTRANGE(""https://docs.google.com/spreadsheets/d/1q9nWasZJ-K8bFGvbE9n0qSRuKGA4Toe3Y89cKCiVtCU/edit?usp=sharing"",""สตูล!J465"")+IMPORTRANGE(""https://docs.google.com/sprea"&amp;"dsheets/d/18T20gbkS_WBjdscyTOV05cvq_JqvqQ17C81mpxf7Ncs/edit?usp=sharing"",""สุราษฎร์ธานี!J465"")"),0)</f>
        <v>0</v>
      </c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152">
        <f ca="1">IFERROR(__xludf.DUMMYFUNCTION("IMPORTRANGE(""https://docs.google.com/spreadsheets/d/1kKUcYdkIfrgTSj8iHHHB2MD2FAtwyyocFgqGQn6ADyI/edit?usp=sharing"",""กระบี่!J466"")+IMPORTRANGE(""https://docs.google.com/spreadsheets/d/1GwtLaSlNZkLk7iDqcyZz22giiy40b_usZZBXYciEN1U/edit?usp=sharing"",""ชุ"&amp;"มพร!J466"")+IMPORTRANGE(""https://docs.google.com/spreadsheets/d/16pAz3pOhQEZBhvFNMa5KGgZS6iKWpsKX0pg6tQmwFpo/edit?usp=sharing"",""ตรัง!J466"")+IMPORTRANGE(""https://docs.google.com/spreadsheets/d/1Dj4jcHCTV9JXKCaMoheSXS52JE63kDKyG7bPXnFogHk/edit?usp=shar"&amp;"ing"",""นครศรีธรรมราช!J466"")+IMPORTRANGE(""https://docs.google.com/spreadsheets/d/1iodCdmuK2GR3jzUwk8tpccY2JHQQA-87DLOtJP-ooyU/edit?usp=sharing"",""นราธิวาส!J466"")+IMPORTRANGE(""https://docs.google.com/spreadsheets/d/1SDNX3JhDdYRuIOsj0Wh2M-Qa_eaXl0NbWmh"&amp;"AOTbfQAs/edit?usp=sharing"",""ปัตตานี!J466"")+IMPORTRANGE(""https://docs.google.com/spreadsheets/d/16JDLGguT8s5DsGCND1KcwHP_AWR_zDMTqLHPLJUKhaU/edit?usp=sharing"",""พังงา!J466"")+IMPORTRANGE(""https://docs.google.com/spreadsheets/d/17ht0gPKzzT3PObBL1XJkeR"&amp;"mntBXI7wGjpLV7QorqlTk/edit?usp=sharing"",""พัทลุง!J466"")+IMPORTRANGE(""https://docs.google.com/spreadsheets/d/1rd4qoM1q_hsgaolqNGfrim9gbsoLxQsda4-vOz5x_BM/edit?usp=sharing"",""ภูเก็ต!J466"")+IMPORTRANGE(""https://docs.google.com/spreadsheets/d/1woKwKjgoL"&amp;"ssDvPcPeVyezB5izizAn4X1JDrys69n6xI/edit?usp=sharing"",""ยะลา!J466"")+IMPORTRANGE(""https://docs.google.com/spreadsheets/d/1qfrKjzMhm2HJfxQ-qVlJlJQ25Hne1d0khsySbZyGtPA/edit?usp=sharing"",""ระนอง!J466"")+IMPORTRANGE(""https://docs.google.com/spreadsheets/d/"&amp;"1IbSCnFOKpZsnFogBHJnL_isstZVaOMnFiIN0fGTPZZw/edit?usp=sharing"",""สงขลา!J466"")+IMPORTRANGE(""https://docs.google.com/spreadsheets/d/1q9nWasZJ-K8bFGvbE9n0qSRuKGA4Toe3Y89cKCiVtCU/edit?usp=sharing"",""สตูล!J466"")+IMPORTRANGE(""https://docs.google.com/sprea"&amp;"dsheets/d/18T20gbkS_WBjdscyTOV05cvq_JqvqQ17C81mpxf7Ncs/edit?usp=sharing"",""สุราษฎร์ธานี!J466"")"),0)</f>
        <v>0</v>
      </c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152">
        <f t="shared" ref="J467:J468" ca="1" si="339">J469+J471</f>
        <v>0</v>
      </c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 t="shared" ca="1" si="339"/>
        <v>0</v>
      </c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152">
        <f ca="1">IFERROR(__xludf.DUMMYFUNCTION("IMPORTRANGE(""https://docs.google.com/spreadsheets/d/1kKUcYdkIfrgTSj8iHHHB2MD2FAtwyyocFgqGQn6ADyI/edit?usp=sharing"",""กระบี่!J469"")+IMPORTRANGE(""https://docs.google.com/spreadsheets/d/1GwtLaSlNZkLk7iDqcyZz22giiy40b_usZZBXYciEN1U/edit?usp=sharing"",""ชุ"&amp;"มพร!J469"")+IMPORTRANGE(""https://docs.google.com/spreadsheets/d/16pAz3pOhQEZBhvFNMa5KGgZS6iKWpsKX0pg6tQmwFpo/edit?usp=sharing"",""ตรัง!J469"")+IMPORTRANGE(""https://docs.google.com/spreadsheets/d/1Dj4jcHCTV9JXKCaMoheSXS52JE63kDKyG7bPXnFogHk/edit?usp=shar"&amp;"ing"",""นครศรีธรรมราช!J469"")+IMPORTRANGE(""https://docs.google.com/spreadsheets/d/1iodCdmuK2GR3jzUwk8tpccY2JHQQA-87DLOtJP-ooyU/edit?usp=sharing"",""นราธิวาส!J469"")+IMPORTRANGE(""https://docs.google.com/spreadsheets/d/1SDNX3JhDdYRuIOsj0Wh2M-Qa_eaXl0NbWmh"&amp;"AOTbfQAs/edit?usp=sharing"",""ปัตตานี!J469"")+IMPORTRANGE(""https://docs.google.com/spreadsheets/d/16JDLGguT8s5DsGCND1KcwHP_AWR_zDMTqLHPLJUKhaU/edit?usp=sharing"",""พังงา!J469"")+IMPORTRANGE(""https://docs.google.com/spreadsheets/d/17ht0gPKzzT3PObBL1XJkeR"&amp;"mntBXI7wGjpLV7QorqlTk/edit?usp=sharing"",""พัทลุง!J469"")+IMPORTRANGE(""https://docs.google.com/spreadsheets/d/1rd4qoM1q_hsgaolqNGfrim9gbsoLxQsda4-vOz5x_BM/edit?usp=sharing"",""ภูเก็ต!J469"")+IMPORTRANGE(""https://docs.google.com/spreadsheets/d/1woKwKjgoL"&amp;"ssDvPcPeVyezB5izizAn4X1JDrys69n6xI/edit?usp=sharing"",""ยะลา!J469"")+IMPORTRANGE(""https://docs.google.com/spreadsheets/d/1qfrKjzMhm2HJfxQ-qVlJlJQ25Hne1d0khsySbZyGtPA/edit?usp=sharing"",""ระนอง!J469"")+IMPORTRANGE(""https://docs.google.com/spreadsheets/d/"&amp;"1IbSCnFOKpZsnFogBHJnL_isstZVaOMnFiIN0fGTPZZw/edit?usp=sharing"",""สงขลา!J469"")+IMPORTRANGE(""https://docs.google.com/spreadsheets/d/1q9nWasZJ-K8bFGvbE9n0qSRuKGA4Toe3Y89cKCiVtCU/edit?usp=sharing"",""สตูล!J469"")+IMPORTRANGE(""https://docs.google.com/sprea"&amp;"dsheets/d/18T20gbkS_WBjdscyTOV05cvq_JqvqQ17C81mpxf7Ncs/edit?usp=sharing"",""สุราษฎร์ธานี!J469"")"),0)</f>
        <v>0</v>
      </c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152">
        <f ca="1">IFERROR(__xludf.DUMMYFUNCTION("IMPORTRANGE(""https://docs.google.com/spreadsheets/d/1kKUcYdkIfrgTSj8iHHHB2MD2FAtwyyocFgqGQn6ADyI/edit?usp=sharing"",""กระบี่!J470"")+IMPORTRANGE(""https://docs.google.com/spreadsheets/d/1GwtLaSlNZkLk7iDqcyZz22giiy40b_usZZBXYciEN1U/edit?usp=sharing"",""ชุ"&amp;"มพร!J470"")+IMPORTRANGE(""https://docs.google.com/spreadsheets/d/16pAz3pOhQEZBhvFNMa5KGgZS6iKWpsKX0pg6tQmwFpo/edit?usp=sharing"",""ตรัง!J470"")+IMPORTRANGE(""https://docs.google.com/spreadsheets/d/1Dj4jcHCTV9JXKCaMoheSXS52JE63kDKyG7bPXnFogHk/edit?usp=shar"&amp;"ing"",""นครศรีธรรมราช!J470"")+IMPORTRANGE(""https://docs.google.com/spreadsheets/d/1iodCdmuK2GR3jzUwk8tpccY2JHQQA-87DLOtJP-ooyU/edit?usp=sharing"",""นราธิวาส!J470"")+IMPORTRANGE(""https://docs.google.com/spreadsheets/d/1SDNX3JhDdYRuIOsj0Wh2M-Qa_eaXl0NbWmh"&amp;"AOTbfQAs/edit?usp=sharing"",""ปัตตานี!J470"")+IMPORTRANGE(""https://docs.google.com/spreadsheets/d/16JDLGguT8s5DsGCND1KcwHP_AWR_zDMTqLHPLJUKhaU/edit?usp=sharing"",""พังงา!J470"")+IMPORTRANGE(""https://docs.google.com/spreadsheets/d/17ht0gPKzzT3PObBL1XJkeR"&amp;"mntBXI7wGjpLV7QorqlTk/edit?usp=sharing"",""พัทลุง!J470"")+IMPORTRANGE(""https://docs.google.com/spreadsheets/d/1rd4qoM1q_hsgaolqNGfrim9gbsoLxQsda4-vOz5x_BM/edit?usp=sharing"",""ภูเก็ต!J470"")+IMPORTRANGE(""https://docs.google.com/spreadsheets/d/1woKwKjgoL"&amp;"ssDvPcPeVyezB5izizAn4X1JDrys69n6xI/edit?usp=sharing"",""ยะลา!J470"")+IMPORTRANGE(""https://docs.google.com/spreadsheets/d/1qfrKjzMhm2HJfxQ-qVlJlJQ25Hne1d0khsySbZyGtPA/edit?usp=sharing"",""ระนอง!J470"")+IMPORTRANGE(""https://docs.google.com/spreadsheets/d/"&amp;"1IbSCnFOKpZsnFogBHJnL_isstZVaOMnFiIN0fGTPZZw/edit?usp=sharing"",""สงขลา!J470"")+IMPORTRANGE(""https://docs.google.com/spreadsheets/d/1q9nWasZJ-K8bFGvbE9n0qSRuKGA4Toe3Y89cKCiVtCU/edit?usp=sharing"",""สตูล!J470"")+IMPORTRANGE(""https://docs.google.com/sprea"&amp;"dsheets/d/18T20gbkS_WBjdscyTOV05cvq_JqvqQ17C81mpxf7Ncs/edit?usp=sharing"",""สุราษฎร์ธานี!J470"")"),0)</f>
        <v>0</v>
      </c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152">
        <f ca="1">IFERROR(__xludf.DUMMYFUNCTION("IMPORTRANGE(""https://docs.google.com/spreadsheets/d/1kKUcYdkIfrgTSj8iHHHB2MD2FAtwyyocFgqGQn6ADyI/edit?usp=sharing"",""กระบี่!J471"")+IMPORTRANGE(""https://docs.google.com/spreadsheets/d/1GwtLaSlNZkLk7iDqcyZz22giiy40b_usZZBXYciEN1U/edit?usp=sharing"",""ชุ"&amp;"มพร!J471"")+IMPORTRANGE(""https://docs.google.com/spreadsheets/d/16pAz3pOhQEZBhvFNMa5KGgZS6iKWpsKX0pg6tQmwFpo/edit?usp=sharing"",""ตรัง!J471"")+IMPORTRANGE(""https://docs.google.com/spreadsheets/d/1Dj4jcHCTV9JXKCaMoheSXS52JE63kDKyG7bPXnFogHk/edit?usp=shar"&amp;"ing"",""นครศรีธรรมราช!J471"")+IMPORTRANGE(""https://docs.google.com/spreadsheets/d/1iodCdmuK2GR3jzUwk8tpccY2JHQQA-87DLOtJP-ooyU/edit?usp=sharing"",""นราธิวาส!J471"")+IMPORTRANGE(""https://docs.google.com/spreadsheets/d/1SDNX3JhDdYRuIOsj0Wh2M-Qa_eaXl0NbWmh"&amp;"AOTbfQAs/edit?usp=sharing"",""ปัตตานี!J471"")+IMPORTRANGE(""https://docs.google.com/spreadsheets/d/16JDLGguT8s5DsGCND1KcwHP_AWR_zDMTqLHPLJUKhaU/edit?usp=sharing"",""พังงา!J471"")+IMPORTRANGE(""https://docs.google.com/spreadsheets/d/17ht0gPKzzT3PObBL1XJkeR"&amp;"mntBXI7wGjpLV7QorqlTk/edit?usp=sharing"",""พัทลุง!J471"")+IMPORTRANGE(""https://docs.google.com/spreadsheets/d/1rd4qoM1q_hsgaolqNGfrim9gbsoLxQsda4-vOz5x_BM/edit?usp=sharing"",""ภูเก็ต!J471"")+IMPORTRANGE(""https://docs.google.com/spreadsheets/d/1woKwKjgoL"&amp;"ssDvPcPeVyezB5izizAn4X1JDrys69n6xI/edit?usp=sharing"",""ยะลา!J471"")+IMPORTRANGE(""https://docs.google.com/spreadsheets/d/1qfrKjzMhm2HJfxQ-qVlJlJQ25Hne1d0khsySbZyGtPA/edit?usp=sharing"",""ระนอง!J471"")+IMPORTRANGE(""https://docs.google.com/spreadsheets/d/"&amp;"1IbSCnFOKpZsnFogBHJnL_isstZVaOMnFiIN0fGTPZZw/edit?usp=sharing"",""สงขลา!J471"")+IMPORTRANGE(""https://docs.google.com/spreadsheets/d/1q9nWasZJ-K8bFGvbE9n0qSRuKGA4Toe3Y89cKCiVtCU/edit?usp=sharing"",""สตูล!J471"")+IMPORTRANGE(""https://docs.google.com/sprea"&amp;"dsheets/d/18T20gbkS_WBjdscyTOV05cvq_JqvqQ17C81mpxf7Ncs/edit?usp=sharing"",""สุราษฎร์ธานี!J471"")"),0)</f>
        <v>0</v>
      </c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152">
        <f ca="1">IFERROR(__xludf.DUMMYFUNCTION("IMPORTRANGE(""https://docs.google.com/spreadsheets/d/1kKUcYdkIfrgTSj8iHHHB2MD2FAtwyyocFgqGQn6ADyI/edit?usp=sharing"",""กระบี่!J472"")+IMPORTRANGE(""https://docs.google.com/spreadsheets/d/1GwtLaSlNZkLk7iDqcyZz22giiy40b_usZZBXYciEN1U/edit?usp=sharing"",""ชุ"&amp;"มพร!J472"")+IMPORTRANGE(""https://docs.google.com/spreadsheets/d/16pAz3pOhQEZBhvFNMa5KGgZS6iKWpsKX0pg6tQmwFpo/edit?usp=sharing"",""ตรัง!J472"")+IMPORTRANGE(""https://docs.google.com/spreadsheets/d/1Dj4jcHCTV9JXKCaMoheSXS52JE63kDKyG7bPXnFogHk/edit?usp=shar"&amp;"ing"",""นครศรีธรรมราช!J472"")+IMPORTRANGE(""https://docs.google.com/spreadsheets/d/1iodCdmuK2GR3jzUwk8tpccY2JHQQA-87DLOtJP-ooyU/edit?usp=sharing"",""นราธิวาส!J472"")+IMPORTRANGE(""https://docs.google.com/spreadsheets/d/1SDNX3JhDdYRuIOsj0Wh2M-Qa_eaXl0NbWmh"&amp;"AOTbfQAs/edit?usp=sharing"",""ปัตตานี!J472"")+IMPORTRANGE(""https://docs.google.com/spreadsheets/d/16JDLGguT8s5DsGCND1KcwHP_AWR_zDMTqLHPLJUKhaU/edit?usp=sharing"",""พังงา!J472"")+IMPORTRANGE(""https://docs.google.com/spreadsheets/d/17ht0gPKzzT3PObBL1XJkeR"&amp;"mntBXI7wGjpLV7QorqlTk/edit?usp=sharing"",""พัทลุง!J472"")+IMPORTRANGE(""https://docs.google.com/spreadsheets/d/1rd4qoM1q_hsgaolqNGfrim9gbsoLxQsda4-vOz5x_BM/edit?usp=sharing"",""ภูเก็ต!J472"")+IMPORTRANGE(""https://docs.google.com/spreadsheets/d/1woKwKjgoL"&amp;"ssDvPcPeVyezB5izizAn4X1JDrys69n6xI/edit?usp=sharing"",""ยะลา!J472"")+IMPORTRANGE(""https://docs.google.com/spreadsheets/d/1qfrKjzMhm2HJfxQ-qVlJlJQ25Hne1d0khsySbZyGtPA/edit?usp=sharing"",""ระนอง!J472"")+IMPORTRANGE(""https://docs.google.com/spreadsheets/d/"&amp;"1IbSCnFOKpZsnFogBHJnL_isstZVaOMnFiIN0fGTPZZw/edit?usp=sharing"",""สงขลา!J472"")+IMPORTRANGE(""https://docs.google.com/spreadsheets/d/1q9nWasZJ-K8bFGvbE9n0qSRuKGA4Toe3Y89cKCiVtCU/edit?usp=sharing"",""สตูล!J472"")+IMPORTRANGE(""https://docs.google.com/sprea"&amp;"dsheets/d/18T20gbkS_WBjdscyTOV05cvq_JqvqQ17C81mpxf7Ncs/edit?usp=sharing"",""สุราษฎร์ธานี!J472"")"),0)</f>
        <v>0</v>
      </c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152">
        <f ca="1">IFERROR(__xludf.DUMMYFUNCTION("IMPORTRANGE(""https://docs.google.com/spreadsheets/d/1kKUcYdkIfrgTSj8iHHHB2MD2FAtwyyocFgqGQn6ADyI/edit?usp=sharing"",""กระบี่!J473"")+IMPORTRANGE(""https://docs.google.com/spreadsheets/d/1GwtLaSlNZkLk7iDqcyZz22giiy40b_usZZBXYciEN1U/edit?usp=sharing"",""ชุ"&amp;"มพร!J473"")+IMPORTRANGE(""https://docs.google.com/spreadsheets/d/16pAz3pOhQEZBhvFNMa5KGgZS6iKWpsKX0pg6tQmwFpo/edit?usp=sharing"",""ตรัง!J473"")+IMPORTRANGE(""https://docs.google.com/spreadsheets/d/1Dj4jcHCTV9JXKCaMoheSXS52JE63kDKyG7bPXnFogHk/edit?usp=shar"&amp;"ing"",""นครศรีธรรมราช!J473"")+IMPORTRANGE(""https://docs.google.com/spreadsheets/d/1iodCdmuK2GR3jzUwk8tpccY2JHQQA-87DLOtJP-ooyU/edit?usp=sharing"",""นราธิวาส!J473"")+IMPORTRANGE(""https://docs.google.com/spreadsheets/d/1SDNX3JhDdYRuIOsj0Wh2M-Qa_eaXl0NbWmh"&amp;"AOTbfQAs/edit?usp=sharing"",""ปัตตานี!J473"")+IMPORTRANGE(""https://docs.google.com/spreadsheets/d/16JDLGguT8s5DsGCND1KcwHP_AWR_zDMTqLHPLJUKhaU/edit?usp=sharing"",""พังงา!J473"")+IMPORTRANGE(""https://docs.google.com/spreadsheets/d/17ht0gPKzzT3PObBL1XJkeR"&amp;"mntBXI7wGjpLV7QorqlTk/edit?usp=sharing"",""พัทลุง!J473"")+IMPORTRANGE(""https://docs.google.com/spreadsheets/d/1rd4qoM1q_hsgaolqNGfrim9gbsoLxQsda4-vOz5x_BM/edit?usp=sharing"",""ภูเก็ต!J473"")+IMPORTRANGE(""https://docs.google.com/spreadsheets/d/1woKwKjgoL"&amp;"ssDvPcPeVyezB5izizAn4X1JDrys69n6xI/edit?usp=sharing"",""ยะลา!J473"")+IMPORTRANGE(""https://docs.google.com/spreadsheets/d/1qfrKjzMhm2HJfxQ-qVlJlJQ25Hne1d0khsySbZyGtPA/edit?usp=sharing"",""ระนอง!J473"")+IMPORTRANGE(""https://docs.google.com/spreadsheets/d/"&amp;"1IbSCnFOKpZsnFogBHJnL_isstZVaOMnFiIN0fGTPZZw/edit?usp=sharing"",""สงขลา!J473"")+IMPORTRANGE(""https://docs.google.com/spreadsheets/d/1q9nWasZJ-K8bFGvbE9n0qSRuKGA4Toe3Y89cKCiVtCU/edit?usp=sharing"",""สตูล!J473"")+IMPORTRANGE(""https://docs.google.com/sprea"&amp;"dsheets/d/18T20gbkS_WBjdscyTOV05cvq_JqvqQ17C81mpxf7Ncs/edit?usp=sharing"",""สุราษฎร์ธานี!J473"")"),0)</f>
        <v>0</v>
      </c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152">
        <f ca="1">IFERROR(__xludf.DUMMYFUNCTION("IMPORTRANGE(""https://docs.google.com/spreadsheets/d/1kKUcYdkIfrgTSj8iHHHB2MD2FAtwyyocFgqGQn6ADyI/edit?usp=sharing"",""กระบี่!J474"")+IMPORTRANGE(""https://docs.google.com/spreadsheets/d/1GwtLaSlNZkLk7iDqcyZz22giiy40b_usZZBXYciEN1U/edit?usp=sharing"",""ชุ"&amp;"มพร!J474"")+IMPORTRANGE(""https://docs.google.com/spreadsheets/d/16pAz3pOhQEZBhvFNMa5KGgZS6iKWpsKX0pg6tQmwFpo/edit?usp=sharing"",""ตรัง!J474"")+IMPORTRANGE(""https://docs.google.com/spreadsheets/d/1Dj4jcHCTV9JXKCaMoheSXS52JE63kDKyG7bPXnFogHk/edit?usp=shar"&amp;"ing"",""นครศรีธรรมราช!J474"")+IMPORTRANGE(""https://docs.google.com/spreadsheets/d/1iodCdmuK2GR3jzUwk8tpccY2JHQQA-87DLOtJP-ooyU/edit?usp=sharing"",""นราธิวาส!J474"")+IMPORTRANGE(""https://docs.google.com/spreadsheets/d/1SDNX3JhDdYRuIOsj0Wh2M-Qa_eaXl0NbWmh"&amp;"AOTbfQAs/edit?usp=sharing"",""ปัตตานี!J474"")+IMPORTRANGE(""https://docs.google.com/spreadsheets/d/16JDLGguT8s5DsGCND1KcwHP_AWR_zDMTqLHPLJUKhaU/edit?usp=sharing"",""พังงา!J474"")+IMPORTRANGE(""https://docs.google.com/spreadsheets/d/17ht0gPKzzT3PObBL1XJkeR"&amp;"mntBXI7wGjpLV7QorqlTk/edit?usp=sharing"",""พัทลุง!J474"")+IMPORTRANGE(""https://docs.google.com/spreadsheets/d/1rd4qoM1q_hsgaolqNGfrim9gbsoLxQsda4-vOz5x_BM/edit?usp=sharing"",""ภูเก็ต!J474"")+IMPORTRANGE(""https://docs.google.com/spreadsheets/d/1woKwKjgoL"&amp;"ssDvPcPeVyezB5izizAn4X1JDrys69n6xI/edit?usp=sharing"",""ยะลา!J474"")+IMPORTRANGE(""https://docs.google.com/spreadsheets/d/1qfrKjzMhm2HJfxQ-qVlJlJQ25Hne1d0khsySbZyGtPA/edit?usp=sharing"",""ระนอง!J474"")+IMPORTRANGE(""https://docs.google.com/spreadsheets/d/"&amp;"1IbSCnFOKpZsnFogBHJnL_isstZVaOMnFiIN0fGTPZZw/edit?usp=sharing"",""สงขลา!J474"")+IMPORTRANGE(""https://docs.google.com/spreadsheets/d/1q9nWasZJ-K8bFGvbE9n0qSRuKGA4Toe3Y89cKCiVtCU/edit?usp=sharing"",""สตูล!J474"")+IMPORTRANGE(""https://docs.google.com/sprea"&amp;"dsheets/d/18T20gbkS_WBjdscyTOV05cvq_JqvqQ17C81mpxf7Ncs/edit?usp=sharing"",""สุราษฎร์ธานี!J474"")"),0)</f>
        <v>0</v>
      </c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217"/>
      <c r="B475" s="349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 ca="1">J478+J480</f>
        <v>0</v>
      </c>
      <c r="K475" s="132">
        <f t="shared" ref="K475:K477" si="340">IF(I475&gt;0,J475*100/I475,0)</f>
        <v>0</v>
      </c>
      <c r="L475" s="46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 t="shared" ref="J476:J477" ca="1" si="341">J478+J480</f>
        <v>0</v>
      </c>
      <c r="K476" s="132">
        <f t="shared" si="340"/>
        <v>0</v>
      </c>
      <c r="L476" s="46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 t="shared" ca="1" si="341"/>
        <v>0</v>
      </c>
      <c r="K477" s="132">
        <f t="shared" si="340"/>
        <v>0</v>
      </c>
      <c r="L477" s="46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152">
        <f ca="1">IFERROR(__xludf.DUMMYFUNCTION("IMPORTRANGE(""https://docs.google.com/spreadsheets/d/1kKUcYdkIfrgTSj8iHHHB2MD2FAtwyyocFgqGQn6ADyI/edit?usp=sharing"",""กระบี่!J478"")+IMPORTRANGE(""https://docs.google.com/spreadsheets/d/1GwtLaSlNZkLk7iDqcyZz22giiy40b_usZZBXYciEN1U/edit?usp=sharing"",""ชุ"&amp;"มพร!J478"")+IMPORTRANGE(""https://docs.google.com/spreadsheets/d/16pAz3pOhQEZBhvFNMa5KGgZS6iKWpsKX0pg6tQmwFpo/edit?usp=sharing"",""ตรัง!J478"")+IMPORTRANGE(""https://docs.google.com/spreadsheets/d/1Dj4jcHCTV9JXKCaMoheSXS52JE63kDKyG7bPXnFogHk/edit?usp=shar"&amp;"ing"",""นครศรีธรรมราช!J478"")+IMPORTRANGE(""https://docs.google.com/spreadsheets/d/1iodCdmuK2GR3jzUwk8tpccY2JHQQA-87DLOtJP-ooyU/edit?usp=sharing"",""นราธิวาส!J478"")+IMPORTRANGE(""https://docs.google.com/spreadsheets/d/1SDNX3JhDdYRuIOsj0Wh2M-Qa_eaXl0NbWmh"&amp;"AOTbfQAs/edit?usp=sharing"",""ปัตตานี!J478"")+IMPORTRANGE(""https://docs.google.com/spreadsheets/d/16JDLGguT8s5DsGCND1KcwHP_AWR_zDMTqLHPLJUKhaU/edit?usp=sharing"",""พังงา!J478"")+IMPORTRANGE(""https://docs.google.com/spreadsheets/d/17ht0gPKzzT3PObBL1XJkeR"&amp;"mntBXI7wGjpLV7QorqlTk/edit?usp=sharing"",""พัทลุง!J478"")+IMPORTRANGE(""https://docs.google.com/spreadsheets/d/1rd4qoM1q_hsgaolqNGfrim9gbsoLxQsda4-vOz5x_BM/edit?usp=sharing"",""ภูเก็ต!J478"")+IMPORTRANGE(""https://docs.google.com/spreadsheets/d/1woKwKjgoL"&amp;"ssDvPcPeVyezB5izizAn4X1JDrys69n6xI/edit?usp=sharing"",""ยะลา!J478"")+IMPORTRANGE(""https://docs.google.com/spreadsheets/d/1qfrKjzMhm2HJfxQ-qVlJlJQ25Hne1d0khsySbZyGtPA/edit?usp=sharing"",""ระนอง!J478"")+IMPORTRANGE(""https://docs.google.com/spreadsheets/d/"&amp;"1IbSCnFOKpZsnFogBHJnL_isstZVaOMnFiIN0fGTPZZw/edit?usp=sharing"",""สงขลา!J478"")+IMPORTRANGE(""https://docs.google.com/spreadsheets/d/1q9nWasZJ-K8bFGvbE9n0qSRuKGA4Toe3Y89cKCiVtCU/edit?usp=sharing"",""สตูล!J478"")+IMPORTRANGE(""https://docs.google.com/sprea"&amp;"dsheets/d/18T20gbkS_WBjdscyTOV05cvq_JqvqQ17C81mpxf7Ncs/edit?usp=sharing"",""สุราษฎร์ธานี!J478"")"),0)</f>
        <v>0</v>
      </c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152">
        <f ca="1">IFERROR(__xludf.DUMMYFUNCTION("IMPORTRANGE(""https://docs.google.com/spreadsheets/d/1kKUcYdkIfrgTSj8iHHHB2MD2FAtwyyocFgqGQn6ADyI/edit?usp=sharing"",""กระบี่!J479"")+IMPORTRANGE(""https://docs.google.com/spreadsheets/d/1GwtLaSlNZkLk7iDqcyZz22giiy40b_usZZBXYciEN1U/edit?usp=sharing"",""ชุ"&amp;"มพร!J479"")+IMPORTRANGE(""https://docs.google.com/spreadsheets/d/16pAz3pOhQEZBhvFNMa5KGgZS6iKWpsKX0pg6tQmwFpo/edit?usp=sharing"",""ตรัง!J479"")+IMPORTRANGE(""https://docs.google.com/spreadsheets/d/1Dj4jcHCTV9JXKCaMoheSXS52JE63kDKyG7bPXnFogHk/edit?usp=shar"&amp;"ing"",""นครศรีธรรมราช!J479"")+IMPORTRANGE(""https://docs.google.com/spreadsheets/d/1iodCdmuK2GR3jzUwk8tpccY2JHQQA-87DLOtJP-ooyU/edit?usp=sharing"",""นราธิวาส!J479"")+IMPORTRANGE(""https://docs.google.com/spreadsheets/d/1SDNX3JhDdYRuIOsj0Wh2M-Qa_eaXl0NbWmh"&amp;"AOTbfQAs/edit?usp=sharing"",""ปัตตานี!J479"")+IMPORTRANGE(""https://docs.google.com/spreadsheets/d/16JDLGguT8s5DsGCND1KcwHP_AWR_zDMTqLHPLJUKhaU/edit?usp=sharing"",""พังงา!J479"")+IMPORTRANGE(""https://docs.google.com/spreadsheets/d/17ht0gPKzzT3PObBL1XJkeR"&amp;"mntBXI7wGjpLV7QorqlTk/edit?usp=sharing"",""พัทลุง!J479"")+IMPORTRANGE(""https://docs.google.com/spreadsheets/d/1rd4qoM1q_hsgaolqNGfrim9gbsoLxQsda4-vOz5x_BM/edit?usp=sharing"",""ภูเก็ต!J479"")+IMPORTRANGE(""https://docs.google.com/spreadsheets/d/1woKwKjgoL"&amp;"ssDvPcPeVyezB5izizAn4X1JDrys69n6xI/edit?usp=sharing"",""ยะลา!J479"")+IMPORTRANGE(""https://docs.google.com/spreadsheets/d/1qfrKjzMhm2HJfxQ-qVlJlJQ25Hne1d0khsySbZyGtPA/edit?usp=sharing"",""ระนอง!J479"")+IMPORTRANGE(""https://docs.google.com/spreadsheets/d/"&amp;"1IbSCnFOKpZsnFogBHJnL_isstZVaOMnFiIN0fGTPZZw/edit?usp=sharing"",""สงขลา!J479"")+IMPORTRANGE(""https://docs.google.com/spreadsheets/d/1q9nWasZJ-K8bFGvbE9n0qSRuKGA4Toe3Y89cKCiVtCU/edit?usp=sharing"",""สตูล!J479"")+IMPORTRANGE(""https://docs.google.com/sprea"&amp;"dsheets/d/18T20gbkS_WBjdscyTOV05cvq_JqvqQ17C81mpxf7Ncs/edit?usp=sharing"",""สุราษฎร์ธานี!J479"")"),0)</f>
        <v>0</v>
      </c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152">
        <f ca="1">IFERROR(__xludf.DUMMYFUNCTION("IMPORTRANGE(""https://docs.google.com/spreadsheets/d/1kKUcYdkIfrgTSj8iHHHB2MD2FAtwyyocFgqGQn6ADyI/edit?usp=sharing"",""กระบี่!J480"")+IMPORTRANGE(""https://docs.google.com/spreadsheets/d/1GwtLaSlNZkLk7iDqcyZz22giiy40b_usZZBXYciEN1U/edit?usp=sharing"",""ชุ"&amp;"มพร!J480"")+IMPORTRANGE(""https://docs.google.com/spreadsheets/d/16pAz3pOhQEZBhvFNMa5KGgZS6iKWpsKX0pg6tQmwFpo/edit?usp=sharing"",""ตรัง!J480"")+IMPORTRANGE(""https://docs.google.com/spreadsheets/d/1Dj4jcHCTV9JXKCaMoheSXS52JE63kDKyG7bPXnFogHk/edit?usp=shar"&amp;"ing"",""นครศรีธรรมราช!J480"")+IMPORTRANGE(""https://docs.google.com/spreadsheets/d/1iodCdmuK2GR3jzUwk8tpccY2JHQQA-87DLOtJP-ooyU/edit?usp=sharing"",""นราธิวาส!J480"")+IMPORTRANGE(""https://docs.google.com/spreadsheets/d/1SDNX3JhDdYRuIOsj0Wh2M-Qa_eaXl0NbWmh"&amp;"AOTbfQAs/edit?usp=sharing"",""ปัตตานี!J480"")+IMPORTRANGE(""https://docs.google.com/spreadsheets/d/16JDLGguT8s5DsGCND1KcwHP_AWR_zDMTqLHPLJUKhaU/edit?usp=sharing"",""พังงา!J480"")+IMPORTRANGE(""https://docs.google.com/spreadsheets/d/17ht0gPKzzT3PObBL1XJkeR"&amp;"mntBXI7wGjpLV7QorqlTk/edit?usp=sharing"",""พัทลุง!J480"")+IMPORTRANGE(""https://docs.google.com/spreadsheets/d/1rd4qoM1q_hsgaolqNGfrim9gbsoLxQsda4-vOz5x_BM/edit?usp=sharing"",""ภูเก็ต!J480"")+IMPORTRANGE(""https://docs.google.com/spreadsheets/d/1woKwKjgoL"&amp;"ssDvPcPeVyezB5izizAn4X1JDrys69n6xI/edit?usp=sharing"",""ยะลา!J480"")+IMPORTRANGE(""https://docs.google.com/spreadsheets/d/1qfrKjzMhm2HJfxQ-qVlJlJQ25Hne1d0khsySbZyGtPA/edit?usp=sharing"",""ระนอง!J480"")+IMPORTRANGE(""https://docs.google.com/spreadsheets/d/"&amp;"1IbSCnFOKpZsnFogBHJnL_isstZVaOMnFiIN0fGTPZZw/edit?usp=sharing"",""สงขลา!J480"")+IMPORTRANGE(""https://docs.google.com/spreadsheets/d/1q9nWasZJ-K8bFGvbE9n0qSRuKGA4Toe3Y89cKCiVtCU/edit?usp=sharing"",""สตูล!J480"")+IMPORTRANGE(""https://docs.google.com/sprea"&amp;"dsheets/d/18T20gbkS_WBjdscyTOV05cvq_JqvqQ17C81mpxf7Ncs/edit?usp=sharing"",""สุราษฎร์ธานี!J480"")"),0)</f>
        <v>0</v>
      </c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152">
        <f ca="1">IFERROR(__xludf.DUMMYFUNCTION("IMPORTRANGE(""https://docs.google.com/spreadsheets/d/1kKUcYdkIfrgTSj8iHHHB2MD2FAtwyyocFgqGQn6ADyI/edit?usp=sharing"",""กระบี่!J481"")+IMPORTRANGE(""https://docs.google.com/spreadsheets/d/1GwtLaSlNZkLk7iDqcyZz22giiy40b_usZZBXYciEN1U/edit?usp=sharing"",""ชุ"&amp;"มพร!J481"")+IMPORTRANGE(""https://docs.google.com/spreadsheets/d/16pAz3pOhQEZBhvFNMa5KGgZS6iKWpsKX0pg6tQmwFpo/edit?usp=sharing"",""ตรัง!J481"")+IMPORTRANGE(""https://docs.google.com/spreadsheets/d/1Dj4jcHCTV9JXKCaMoheSXS52JE63kDKyG7bPXnFogHk/edit?usp=shar"&amp;"ing"",""นครศรีธรรมราช!J481"")+IMPORTRANGE(""https://docs.google.com/spreadsheets/d/1iodCdmuK2GR3jzUwk8tpccY2JHQQA-87DLOtJP-ooyU/edit?usp=sharing"",""นราธิวาส!J481"")+IMPORTRANGE(""https://docs.google.com/spreadsheets/d/1SDNX3JhDdYRuIOsj0Wh2M-Qa_eaXl0NbWmh"&amp;"AOTbfQAs/edit?usp=sharing"",""ปัตตานี!J481"")+IMPORTRANGE(""https://docs.google.com/spreadsheets/d/16JDLGguT8s5DsGCND1KcwHP_AWR_zDMTqLHPLJUKhaU/edit?usp=sharing"",""พังงา!J481"")+IMPORTRANGE(""https://docs.google.com/spreadsheets/d/17ht0gPKzzT3PObBL1XJkeR"&amp;"mntBXI7wGjpLV7QorqlTk/edit?usp=sharing"",""พัทลุง!J481"")+IMPORTRANGE(""https://docs.google.com/spreadsheets/d/1rd4qoM1q_hsgaolqNGfrim9gbsoLxQsda4-vOz5x_BM/edit?usp=sharing"",""ภูเก็ต!J481"")+IMPORTRANGE(""https://docs.google.com/spreadsheets/d/1woKwKjgoL"&amp;"ssDvPcPeVyezB5izizAn4X1JDrys69n6xI/edit?usp=sharing"",""ยะลา!J481"")+IMPORTRANGE(""https://docs.google.com/spreadsheets/d/1qfrKjzMhm2HJfxQ-qVlJlJQ25Hne1d0khsySbZyGtPA/edit?usp=sharing"",""ระนอง!J481"")+IMPORTRANGE(""https://docs.google.com/spreadsheets/d/"&amp;"1IbSCnFOKpZsnFogBHJnL_isstZVaOMnFiIN0fGTPZZw/edit?usp=sharing"",""สงขลา!J481"")+IMPORTRANGE(""https://docs.google.com/spreadsheets/d/1q9nWasZJ-K8bFGvbE9n0qSRuKGA4Toe3Y89cKCiVtCU/edit?usp=sharing"",""สตูล!J481"")+IMPORTRANGE(""https://docs.google.com/sprea"&amp;"dsheets/d/18T20gbkS_WBjdscyTOV05cvq_JqvqQ17C81mpxf7Ncs/edit?usp=sharing"",""สุราษฎร์ธานี!J481"")"),0)</f>
        <v>0</v>
      </c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kKUcYdkIfrgTSj8iHHHB2MD2FAtwyyocFgqGQn6ADyI/edit?usp=sharing"",""กระบี่!J482"")+IMPORTRANGE(""https://docs.google.com/spreadsheets/d/1GwtLaSlNZkLk7iDqcyZz22giiy40b_usZZBXYciEN1U/edit?usp=sharing"",""ชุ"&amp;"มพร!J482"")+IMPORTRANGE(""https://docs.google.com/spreadsheets/d/16pAz3pOhQEZBhvFNMa5KGgZS6iKWpsKX0pg6tQmwFpo/edit?usp=sharing"",""ตรัง!J482"")+IMPORTRANGE(""https://docs.google.com/spreadsheets/d/1Dj4jcHCTV9JXKCaMoheSXS52JE63kDKyG7bPXnFogHk/edit?usp=shar"&amp;"ing"",""นครศรีธรรมราช!J482"")+IMPORTRANGE(""https://docs.google.com/spreadsheets/d/1iodCdmuK2GR3jzUwk8tpccY2JHQQA-87DLOtJP-ooyU/edit?usp=sharing"",""นราธิวาส!J482"")+IMPORTRANGE(""https://docs.google.com/spreadsheets/d/1SDNX3JhDdYRuIOsj0Wh2M-Qa_eaXl0NbWmh"&amp;"AOTbfQAs/edit?usp=sharing"",""ปัตตานี!J482"")+IMPORTRANGE(""https://docs.google.com/spreadsheets/d/16JDLGguT8s5DsGCND1KcwHP_AWR_zDMTqLHPLJUKhaU/edit?usp=sharing"",""พังงา!J482"")+IMPORTRANGE(""https://docs.google.com/spreadsheets/d/17ht0gPKzzT3PObBL1XJkeR"&amp;"mntBXI7wGjpLV7QorqlTk/edit?usp=sharing"",""พัทลุง!J482"")+IMPORTRANGE(""https://docs.google.com/spreadsheets/d/1rd4qoM1q_hsgaolqNGfrim9gbsoLxQsda4-vOz5x_BM/edit?usp=sharing"",""ภูเก็ต!J482"")+IMPORTRANGE(""https://docs.google.com/spreadsheets/d/1woKwKjgoL"&amp;"ssDvPcPeVyezB5izizAn4X1JDrys69n6xI/edit?usp=sharing"",""ยะลา!J482"")+IMPORTRANGE(""https://docs.google.com/spreadsheets/d/1qfrKjzMhm2HJfxQ-qVlJlJQ25Hne1d0khsySbZyGtPA/edit?usp=sharing"",""ระนอง!J482"")+IMPORTRANGE(""https://docs.google.com/spreadsheets/d/"&amp;"1IbSCnFOKpZsnFogBHJnL_isstZVaOMnFiIN0fGTPZZw/edit?usp=sharing"",""สงขลา!J482"")+IMPORTRANGE(""https://docs.google.com/spreadsheets/d/1q9nWasZJ-K8bFGvbE9n0qSRuKGA4Toe3Y89cKCiVtCU/edit?usp=sharing"",""สตูล!J482"")+IMPORTRANGE(""https://docs.google.com/sprea"&amp;"dsheets/d/18T20gbkS_WBjdscyTOV05cvq_JqvqQ17C81mpxf7Ncs/edit?usp=sharing"",""สุราษฎร์ธานี!J482"")"),0)</f>
        <v>0</v>
      </c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kKUcYdkIfrgTSj8iHHHB2MD2FAtwyyocFgqGQn6ADyI/edit?usp=sharing"",""กระบี่!J483"")+IMPORTRANGE(""https://docs.google.com/spreadsheets/d/1GwtLaSlNZkLk7iDqcyZz22giiy40b_usZZBXYciEN1U/edit?usp=sharing"",""ชุ"&amp;"มพร!J483"")+IMPORTRANGE(""https://docs.google.com/spreadsheets/d/16pAz3pOhQEZBhvFNMa5KGgZS6iKWpsKX0pg6tQmwFpo/edit?usp=sharing"",""ตรัง!J483"")+IMPORTRANGE(""https://docs.google.com/spreadsheets/d/1Dj4jcHCTV9JXKCaMoheSXS52JE63kDKyG7bPXnFogHk/edit?usp=shar"&amp;"ing"",""นครศรีธรรมราช!J483"")+IMPORTRANGE(""https://docs.google.com/spreadsheets/d/1iodCdmuK2GR3jzUwk8tpccY2JHQQA-87DLOtJP-ooyU/edit?usp=sharing"",""นราธิวาส!J483"")+IMPORTRANGE(""https://docs.google.com/spreadsheets/d/1SDNX3JhDdYRuIOsj0Wh2M-Qa_eaXl0NbWmh"&amp;"AOTbfQAs/edit?usp=sharing"",""ปัตตานี!J483"")+IMPORTRANGE(""https://docs.google.com/spreadsheets/d/16JDLGguT8s5DsGCND1KcwHP_AWR_zDMTqLHPLJUKhaU/edit?usp=sharing"",""พังงา!J483"")+IMPORTRANGE(""https://docs.google.com/spreadsheets/d/17ht0gPKzzT3PObBL1XJkeR"&amp;"mntBXI7wGjpLV7QorqlTk/edit?usp=sharing"",""พัทลุง!J483"")+IMPORTRANGE(""https://docs.google.com/spreadsheets/d/1rd4qoM1q_hsgaolqNGfrim9gbsoLxQsda4-vOz5x_BM/edit?usp=sharing"",""ภูเก็ต!J483"")+IMPORTRANGE(""https://docs.google.com/spreadsheets/d/1woKwKjgoL"&amp;"ssDvPcPeVyezB5izizAn4X1JDrys69n6xI/edit?usp=sharing"",""ยะลา!J483"")+IMPORTRANGE(""https://docs.google.com/spreadsheets/d/1qfrKjzMhm2HJfxQ-qVlJlJQ25Hne1d0khsySbZyGtPA/edit?usp=sharing"",""ระนอง!J483"")+IMPORTRANGE(""https://docs.google.com/spreadsheets/d/"&amp;"1IbSCnFOKpZsnFogBHJnL_isstZVaOMnFiIN0fGTPZZw/edit?usp=sharing"",""สงขลา!J483"")+IMPORTRANGE(""https://docs.google.com/spreadsheets/d/1q9nWasZJ-K8bFGvbE9n0qSRuKGA4Toe3Y89cKCiVtCU/edit?usp=sharing"",""สตูล!J483"")+IMPORTRANGE(""https://docs.google.com/sprea"&amp;"dsheets/d/18T20gbkS_WBjdscyTOV05cvq_JqvqQ17C81mpxf7Ncs/edit?usp=sharing"",""สุราษฎร์ธานี!J483"")"),0)</f>
        <v>0</v>
      </c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152">
        <f t="shared" ref="I484:I485" ca="1" si="342">J480</f>
        <v>0</v>
      </c>
      <c r="J484" s="147">
        <f t="shared" ref="J484:J485" ca="1" si="343">J486+J488+J490</f>
        <v>0</v>
      </c>
      <c r="K484" s="132">
        <f t="shared" ref="K484:K485" ca="1" si="344">IF(I484&gt;0,J484*100/I484,0)</f>
        <v>0</v>
      </c>
      <c r="L484" s="46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152">
        <f t="shared" ca="1" si="342"/>
        <v>0</v>
      </c>
      <c r="J485" s="147">
        <f t="shared" ca="1" si="343"/>
        <v>0</v>
      </c>
      <c r="K485" s="132">
        <f t="shared" ca="1" si="344"/>
        <v>0</v>
      </c>
      <c r="L485" s="46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152">
        <f ca="1">IFERROR(__xludf.DUMMYFUNCTION("IMPORTRANGE(""https://docs.google.com/spreadsheets/d/1kKUcYdkIfrgTSj8iHHHB2MD2FAtwyyocFgqGQn6ADyI/edit?usp=sharing"",""กระบี่!J486"")+IMPORTRANGE(""https://docs.google.com/spreadsheets/d/1GwtLaSlNZkLk7iDqcyZz22giiy40b_usZZBXYciEN1U/edit?usp=sharing"",""ชุ"&amp;"มพร!J486"")+IMPORTRANGE(""https://docs.google.com/spreadsheets/d/16pAz3pOhQEZBhvFNMa5KGgZS6iKWpsKX0pg6tQmwFpo/edit?usp=sharing"",""ตรัง!J486"")+IMPORTRANGE(""https://docs.google.com/spreadsheets/d/1Dj4jcHCTV9JXKCaMoheSXS52JE63kDKyG7bPXnFogHk/edit?usp=shar"&amp;"ing"",""นครศรีธรรมราช!J486"")+IMPORTRANGE(""https://docs.google.com/spreadsheets/d/1iodCdmuK2GR3jzUwk8tpccY2JHQQA-87DLOtJP-ooyU/edit?usp=sharing"",""นราธิวาส!J486"")+IMPORTRANGE(""https://docs.google.com/spreadsheets/d/1SDNX3JhDdYRuIOsj0Wh2M-Qa_eaXl0NbWmh"&amp;"AOTbfQAs/edit?usp=sharing"",""ปัตตานี!J486"")+IMPORTRANGE(""https://docs.google.com/spreadsheets/d/16JDLGguT8s5DsGCND1KcwHP_AWR_zDMTqLHPLJUKhaU/edit?usp=sharing"",""พังงา!J486"")+IMPORTRANGE(""https://docs.google.com/spreadsheets/d/17ht0gPKzzT3PObBL1XJkeR"&amp;"mntBXI7wGjpLV7QorqlTk/edit?usp=sharing"",""พัทลุง!J486"")+IMPORTRANGE(""https://docs.google.com/spreadsheets/d/1rd4qoM1q_hsgaolqNGfrim9gbsoLxQsda4-vOz5x_BM/edit?usp=sharing"",""ภูเก็ต!J486"")+IMPORTRANGE(""https://docs.google.com/spreadsheets/d/1woKwKjgoL"&amp;"ssDvPcPeVyezB5izizAn4X1JDrys69n6xI/edit?usp=sharing"",""ยะลา!J486"")+IMPORTRANGE(""https://docs.google.com/spreadsheets/d/1qfrKjzMhm2HJfxQ-qVlJlJQ25Hne1d0khsySbZyGtPA/edit?usp=sharing"",""ระนอง!J486"")+IMPORTRANGE(""https://docs.google.com/spreadsheets/d/"&amp;"1IbSCnFOKpZsnFogBHJnL_isstZVaOMnFiIN0fGTPZZw/edit?usp=sharing"",""สงขลา!J486"")+IMPORTRANGE(""https://docs.google.com/spreadsheets/d/1q9nWasZJ-K8bFGvbE9n0qSRuKGA4Toe3Y89cKCiVtCU/edit?usp=sharing"",""สตูล!J486"")+IMPORTRANGE(""https://docs.google.com/sprea"&amp;"dsheets/d/18T20gbkS_WBjdscyTOV05cvq_JqvqQ17C81mpxf7Ncs/edit?usp=sharing"",""สุราษฎร์ธานี!J486"")"),0)</f>
        <v>0</v>
      </c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152">
        <f ca="1">IFERROR(__xludf.DUMMYFUNCTION("IMPORTRANGE(""https://docs.google.com/spreadsheets/d/1kKUcYdkIfrgTSj8iHHHB2MD2FAtwyyocFgqGQn6ADyI/edit?usp=sharing"",""กระบี่!J487"")+IMPORTRANGE(""https://docs.google.com/spreadsheets/d/1GwtLaSlNZkLk7iDqcyZz22giiy40b_usZZBXYciEN1U/edit?usp=sharing"",""ชุ"&amp;"มพร!J487"")+IMPORTRANGE(""https://docs.google.com/spreadsheets/d/16pAz3pOhQEZBhvFNMa5KGgZS6iKWpsKX0pg6tQmwFpo/edit?usp=sharing"",""ตรัง!J487"")+IMPORTRANGE(""https://docs.google.com/spreadsheets/d/1Dj4jcHCTV9JXKCaMoheSXS52JE63kDKyG7bPXnFogHk/edit?usp=shar"&amp;"ing"",""นครศรีธรรมราช!J487"")+IMPORTRANGE(""https://docs.google.com/spreadsheets/d/1iodCdmuK2GR3jzUwk8tpccY2JHQQA-87DLOtJP-ooyU/edit?usp=sharing"",""นราธิวาส!J487"")+IMPORTRANGE(""https://docs.google.com/spreadsheets/d/1SDNX3JhDdYRuIOsj0Wh2M-Qa_eaXl0NbWmh"&amp;"AOTbfQAs/edit?usp=sharing"",""ปัตตานี!J487"")+IMPORTRANGE(""https://docs.google.com/spreadsheets/d/16JDLGguT8s5DsGCND1KcwHP_AWR_zDMTqLHPLJUKhaU/edit?usp=sharing"",""พังงา!J487"")+IMPORTRANGE(""https://docs.google.com/spreadsheets/d/17ht0gPKzzT3PObBL1XJkeR"&amp;"mntBXI7wGjpLV7QorqlTk/edit?usp=sharing"",""พัทลุง!J487"")+IMPORTRANGE(""https://docs.google.com/spreadsheets/d/1rd4qoM1q_hsgaolqNGfrim9gbsoLxQsda4-vOz5x_BM/edit?usp=sharing"",""ภูเก็ต!J487"")+IMPORTRANGE(""https://docs.google.com/spreadsheets/d/1woKwKjgoL"&amp;"ssDvPcPeVyezB5izizAn4X1JDrys69n6xI/edit?usp=sharing"",""ยะลา!J487"")+IMPORTRANGE(""https://docs.google.com/spreadsheets/d/1qfrKjzMhm2HJfxQ-qVlJlJQ25Hne1d0khsySbZyGtPA/edit?usp=sharing"",""ระนอง!J487"")+IMPORTRANGE(""https://docs.google.com/spreadsheets/d/"&amp;"1IbSCnFOKpZsnFogBHJnL_isstZVaOMnFiIN0fGTPZZw/edit?usp=sharing"",""สงขลา!J487"")+IMPORTRANGE(""https://docs.google.com/spreadsheets/d/1q9nWasZJ-K8bFGvbE9n0qSRuKGA4Toe3Y89cKCiVtCU/edit?usp=sharing"",""สตูล!J487"")+IMPORTRANGE(""https://docs.google.com/sprea"&amp;"dsheets/d/18T20gbkS_WBjdscyTOV05cvq_JqvqQ17C81mpxf7Ncs/edit?usp=sharing"",""สุราษฎร์ธานี!J487"")"),0)</f>
        <v>0</v>
      </c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152">
        <f ca="1">IFERROR(__xludf.DUMMYFUNCTION("IMPORTRANGE(""https://docs.google.com/spreadsheets/d/1kKUcYdkIfrgTSj8iHHHB2MD2FAtwyyocFgqGQn6ADyI/edit?usp=sharing"",""กระบี่!J488"")+IMPORTRANGE(""https://docs.google.com/spreadsheets/d/1GwtLaSlNZkLk7iDqcyZz22giiy40b_usZZBXYciEN1U/edit?usp=sharing"",""ชุ"&amp;"มพร!J488"")+IMPORTRANGE(""https://docs.google.com/spreadsheets/d/16pAz3pOhQEZBhvFNMa5KGgZS6iKWpsKX0pg6tQmwFpo/edit?usp=sharing"",""ตรัง!J488"")+IMPORTRANGE(""https://docs.google.com/spreadsheets/d/1Dj4jcHCTV9JXKCaMoheSXS52JE63kDKyG7bPXnFogHk/edit?usp=shar"&amp;"ing"",""นครศรีธรรมราช!J488"")+IMPORTRANGE(""https://docs.google.com/spreadsheets/d/1iodCdmuK2GR3jzUwk8tpccY2JHQQA-87DLOtJP-ooyU/edit?usp=sharing"",""นราธิวาส!J488"")+IMPORTRANGE(""https://docs.google.com/spreadsheets/d/1SDNX3JhDdYRuIOsj0Wh2M-Qa_eaXl0NbWmh"&amp;"AOTbfQAs/edit?usp=sharing"",""ปัตตานี!J488"")+IMPORTRANGE(""https://docs.google.com/spreadsheets/d/16JDLGguT8s5DsGCND1KcwHP_AWR_zDMTqLHPLJUKhaU/edit?usp=sharing"",""พังงา!J488"")+IMPORTRANGE(""https://docs.google.com/spreadsheets/d/17ht0gPKzzT3PObBL1XJkeR"&amp;"mntBXI7wGjpLV7QorqlTk/edit?usp=sharing"",""พัทลุง!J488"")+IMPORTRANGE(""https://docs.google.com/spreadsheets/d/1rd4qoM1q_hsgaolqNGfrim9gbsoLxQsda4-vOz5x_BM/edit?usp=sharing"",""ภูเก็ต!J488"")+IMPORTRANGE(""https://docs.google.com/spreadsheets/d/1woKwKjgoL"&amp;"ssDvPcPeVyezB5izizAn4X1JDrys69n6xI/edit?usp=sharing"",""ยะลา!J488"")+IMPORTRANGE(""https://docs.google.com/spreadsheets/d/1qfrKjzMhm2HJfxQ-qVlJlJQ25Hne1d0khsySbZyGtPA/edit?usp=sharing"",""ระนอง!J488"")+IMPORTRANGE(""https://docs.google.com/spreadsheets/d/"&amp;"1IbSCnFOKpZsnFogBHJnL_isstZVaOMnFiIN0fGTPZZw/edit?usp=sharing"",""สงขลา!J488"")+IMPORTRANGE(""https://docs.google.com/spreadsheets/d/1q9nWasZJ-K8bFGvbE9n0qSRuKGA4Toe3Y89cKCiVtCU/edit?usp=sharing"",""สตูล!J488"")+IMPORTRANGE(""https://docs.google.com/sprea"&amp;"dsheets/d/18T20gbkS_WBjdscyTOV05cvq_JqvqQ17C81mpxf7Ncs/edit?usp=sharing"",""สุราษฎร์ธานี!J488"")"),0)</f>
        <v>0</v>
      </c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152">
        <f ca="1">IFERROR(__xludf.DUMMYFUNCTION("IMPORTRANGE(""https://docs.google.com/spreadsheets/d/1kKUcYdkIfrgTSj8iHHHB2MD2FAtwyyocFgqGQn6ADyI/edit?usp=sharing"",""กระบี่!J489"")+IMPORTRANGE(""https://docs.google.com/spreadsheets/d/1GwtLaSlNZkLk7iDqcyZz22giiy40b_usZZBXYciEN1U/edit?usp=sharing"",""ชุ"&amp;"มพร!J489"")+IMPORTRANGE(""https://docs.google.com/spreadsheets/d/16pAz3pOhQEZBhvFNMa5KGgZS6iKWpsKX0pg6tQmwFpo/edit?usp=sharing"",""ตรัง!J489"")+IMPORTRANGE(""https://docs.google.com/spreadsheets/d/1Dj4jcHCTV9JXKCaMoheSXS52JE63kDKyG7bPXnFogHk/edit?usp=shar"&amp;"ing"",""นครศรีธรรมราช!J489"")+IMPORTRANGE(""https://docs.google.com/spreadsheets/d/1iodCdmuK2GR3jzUwk8tpccY2JHQQA-87DLOtJP-ooyU/edit?usp=sharing"",""นราธิวาส!J489"")+IMPORTRANGE(""https://docs.google.com/spreadsheets/d/1SDNX3JhDdYRuIOsj0Wh2M-Qa_eaXl0NbWmh"&amp;"AOTbfQAs/edit?usp=sharing"",""ปัตตานี!J489"")+IMPORTRANGE(""https://docs.google.com/spreadsheets/d/16JDLGguT8s5DsGCND1KcwHP_AWR_zDMTqLHPLJUKhaU/edit?usp=sharing"",""พังงา!J489"")+IMPORTRANGE(""https://docs.google.com/spreadsheets/d/17ht0gPKzzT3PObBL1XJkeR"&amp;"mntBXI7wGjpLV7QorqlTk/edit?usp=sharing"",""พัทลุง!J489"")+IMPORTRANGE(""https://docs.google.com/spreadsheets/d/1rd4qoM1q_hsgaolqNGfrim9gbsoLxQsda4-vOz5x_BM/edit?usp=sharing"",""ภูเก็ต!J489"")+IMPORTRANGE(""https://docs.google.com/spreadsheets/d/1woKwKjgoL"&amp;"ssDvPcPeVyezB5izizAn4X1JDrys69n6xI/edit?usp=sharing"",""ยะลา!J489"")+IMPORTRANGE(""https://docs.google.com/spreadsheets/d/1qfrKjzMhm2HJfxQ-qVlJlJQ25Hne1d0khsySbZyGtPA/edit?usp=sharing"",""ระนอง!J489"")+IMPORTRANGE(""https://docs.google.com/spreadsheets/d/"&amp;"1IbSCnFOKpZsnFogBHJnL_isstZVaOMnFiIN0fGTPZZw/edit?usp=sharing"",""สงขลา!J489"")+IMPORTRANGE(""https://docs.google.com/spreadsheets/d/1q9nWasZJ-K8bFGvbE9n0qSRuKGA4Toe3Y89cKCiVtCU/edit?usp=sharing"",""สตูล!J489"")+IMPORTRANGE(""https://docs.google.com/sprea"&amp;"dsheets/d/18T20gbkS_WBjdscyTOV05cvq_JqvqQ17C81mpxf7Ncs/edit?usp=sharing"",""สุราษฎร์ธานี!J489"")"),0)</f>
        <v>0</v>
      </c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152">
        <f ca="1">IFERROR(__xludf.DUMMYFUNCTION("IMPORTRANGE(""https://docs.google.com/spreadsheets/d/1kKUcYdkIfrgTSj8iHHHB2MD2FAtwyyocFgqGQn6ADyI/edit?usp=sharing"",""กระบี่!J490"")+IMPORTRANGE(""https://docs.google.com/spreadsheets/d/1GwtLaSlNZkLk7iDqcyZz22giiy40b_usZZBXYciEN1U/edit?usp=sharing"",""ชุ"&amp;"มพร!J490"")+IMPORTRANGE(""https://docs.google.com/spreadsheets/d/16pAz3pOhQEZBhvFNMa5KGgZS6iKWpsKX0pg6tQmwFpo/edit?usp=sharing"",""ตรัง!J490"")+IMPORTRANGE(""https://docs.google.com/spreadsheets/d/1Dj4jcHCTV9JXKCaMoheSXS52JE63kDKyG7bPXnFogHk/edit?usp=shar"&amp;"ing"",""นครศรีธรรมราช!J490"")+IMPORTRANGE(""https://docs.google.com/spreadsheets/d/1iodCdmuK2GR3jzUwk8tpccY2JHQQA-87DLOtJP-ooyU/edit?usp=sharing"",""นราธิวาส!J490"")+IMPORTRANGE(""https://docs.google.com/spreadsheets/d/1SDNX3JhDdYRuIOsj0Wh2M-Qa_eaXl0NbWmh"&amp;"AOTbfQAs/edit?usp=sharing"",""ปัตตานี!J490"")+IMPORTRANGE(""https://docs.google.com/spreadsheets/d/16JDLGguT8s5DsGCND1KcwHP_AWR_zDMTqLHPLJUKhaU/edit?usp=sharing"",""พังงา!J490"")+IMPORTRANGE(""https://docs.google.com/spreadsheets/d/17ht0gPKzzT3PObBL1XJkeR"&amp;"mntBXI7wGjpLV7QorqlTk/edit?usp=sharing"",""พัทลุง!J490"")+IMPORTRANGE(""https://docs.google.com/spreadsheets/d/1rd4qoM1q_hsgaolqNGfrim9gbsoLxQsda4-vOz5x_BM/edit?usp=sharing"",""ภูเก็ต!J490"")+IMPORTRANGE(""https://docs.google.com/spreadsheets/d/1woKwKjgoL"&amp;"ssDvPcPeVyezB5izizAn4X1JDrys69n6xI/edit?usp=sharing"",""ยะลา!J490"")+IMPORTRANGE(""https://docs.google.com/spreadsheets/d/1qfrKjzMhm2HJfxQ-qVlJlJQ25Hne1d0khsySbZyGtPA/edit?usp=sharing"",""ระนอง!J490"")+IMPORTRANGE(""https://docs.google.com/spreadsheets/d/"&amp;"1IbSCnFOKpZsnFogBHJnL_isstZVaOMnFiIN0fGTPZZw/edit?usp=sharing"",""สงขลา!J490"")+IMPORTRANGE(""https://docs.google.com/spreadsheets/d/1q9nWasZJ-K8bFGvbE9n0qSRuKGA4Toe3Y89cKCiVtCU/edit?usp=sharing"",""สตูล!J490"")+IMPORTRANGE(""https://docs.google.com/sprea"&amp;"dsheets/d/18T20gbkS_WBjdscyTOV05cvq_JqvqQ17C81mpxf7Ncs/edit?usp=sharing"",""สุราษฎร์ธานี!J490"")"),0)</f>
        <v>0</v>
      </c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197">
        <f ca="1">IFERROR(__xludf.DUMMYFUNCTION("IMPORTRANGE(""https://docs.google.com/spreadsheets/d/1kKUcYdkIfrgTSj8iHHHB2MD2FAtwyyocFgqGQn6ADyI/edit?usp=sharing"",""กระบี่!J491"")+IMPORTRANGE(""https://docs.google.com/spreadsheets/d/1GwtLaSlNZkLk7iDqcyZz22giiy40b_usZZBXYciEN1U/edit?usp=sharing"",""ชุ"&amp;"มพร!J491"")+IMPORTRANGE(""https://docs.google.com/spreadsheets/d/16pAz3pOhQEZBhvFNMa5KGgZS6iKWpsKX0pg6tQmwFpo/edit?usp=sharing"",""ตรัง!J491"")+IMPORTRANGE(""https://docs.google.com/spreadsheets/d/1Dj4jcHCTV9JXKCaMoheSXS52JE63kDKyG7bPXnFogHk/edit?usp=shar"&amp;"ing"",""นครศรีธรรมราช!J491"")+IMPORTRANGE(""https://docs.google.com/spreadsheets/d/1iodCdmuK2GR3jzUwk8tpccY2JHQQA-87DLOtJP-ooyU/edit?usp=sharing"",""นราธิวาส!J491"")+IMPORTRANGE(""https://docs.google.com/spreadsheets/d/1SDNX3JhDdYRuIOsj0Wh2M-Qa_eaXl0NbWmh"&amp;"AOTbfQAs/edit?usp=sharing"",""ปัตตานี!J491"")+IMPORTRANGE(""https://docs.google.com/spreadsheets/d/16JDLGguT8s5DsGCND1KcwHP_AWR_zDMTqLHPLJUKhaU/edit?usp=sharing"",""พังงา!J491"")+IMPORTRANGE(""https://docs.google.com/spreadsheets/d/17ht0gPKzzT3PObBL1XJkeR"&amp;"mntBXI7wGjpLV7QorqlTk/edit?usp=sharing"",""พัทลุง!J491"")+IMPORTRANGE(""https://docs.google.com/spreadsheets/d/1rd4qoM1q_hsgaolqNGfrim9gbsoLxQsda4-vOz5x_BM/edit?usp=sharing"",""ภูเก็ต!J491"")+IMPORTRANGE(""https://docs.google.com/spreadsheets/d/1woKwKjgoL"&amp;"ssDvPcPeVyezB5izizAn4X1JDrys69n6xI/edit?usp=sharing"",""ยะลา!J491"")+IMPORTRANGE(""https://docs.google.com/spreadsheets/d/1qfrKjzMhm2HJfxQ-qVlJlJQ25Hne1d0khsySbZyGtPA/edit?usp=sharing"",""ระนอง!J491"")+IMPORTRANGE(""https://docs.google.com/spreadsheets/d/"&amp;"1IbSCnFOKpZsnFogBHJnL_isstZVaOMnFiIN0fGTPZZw/edit?usp=sharing"",""สงขลา!J491"")+IMPORTRANGE(""https://docs.google.com/spreadsheets/d/1q9nWasZJ-K8bFGvbE9n0qSRuKGA4Toe3Y89cKCiVtCU/edit?usp=sharing"",""สตูล!J491"")+IMPORTRANGE(""https://docs.google.com/sprea"&amp;"dsheets/d/18T20gbkS_WBjdscyTOV05cvq_JqvqQ17C81mpxf7Ncs/edit?usp=sharing"",""สุราษฎร์ธานี!J491"")"),0)</f>
        <v>0</v>
      </c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t="shared" ref="I492:J492" ca="1" si="345">I503</f>
        <v>210</v>
      </c>
      <c r="J492" s="310">
        <f t="shared" ca="1" si="345"/>
        <v>0</v>
      </c>
      <c r="K492" s="311">
        <f ca="1">IF(I492&gt;0,J492*100/I492,0)</f>
        <v>0</v>
      </c>
      <c r="L492" s="312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528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132">
        <f t="shared" ref="L493:N493" ca="1" si="346">L494+L495</f>
        <v>124100</v>
      </c>
      <c r="M493" s="132">
        <f t="shared" ca="1" si="346"/>
        <v>124100</v>
      </c>
      <c r="N493" s="132">
        <f t="shared" ca="1" si="346"/>
        <v>24100</v>
      </c>
      <c r="O493" s="132">
        <f t="shared" ref="O493:O501" ca="1" si="347">IF(L493&gt;0,N493*100/L493,0)</f>
        <v>19.419822723609993</v>
      </c>
      <c r="P493" s="132">
        <f t="shared" ref="P493:P501" ca="1" si="348">IF(M493&gt;0,N493*100/M493,0)</f>
        <v>19.419822723609993</v>
      </c>
      <c r="Q493" s="132">
        <f t="shared" ref="Q493:S493" ca="1" si="349">Q494+Q495</f>
        <v>2737845</v>
      </c>
      <c r="R493" s="132">
        <f t="shared" ca="1" si="349"/>
        <v>2737845</v>
      </c>
      <c r="S493" s="132">
        <f t="shared" ca="1" si="349"/>
        <v>576999.59</v>
      </c>
      <c r="T493" s="132">
        <f t="shared" ref="T493:T501" ca="1" si="350">IF(Q493&gt;0,S493*100/Q493,0)</f>
        <v>21.074954571935226</v>
      </c>
      <c r="U493" s="132">
        <f t="shared" ref="U493:U501" ca="1" si="351">IF(R493&gt;0,S493*100/R493,0)</f>
        <v>21.074954571935226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9">
        <f t="shared" ref="L494:N494" ca="1" si="352">L497+L500</f>
        <v>0</v>
      </c>
      <c r="M494" s="49">
        <f t="shared" ca="1" si="352"/>
        <v>0</v>
      </c>
      <c r="N494" s="49">
        <f t="shared" ca="1" si="352"/>
        <v>0</v>
      </c>
      <c r="O494" s="49">
        <f t="shared" ca="1" si="347"/>
        <v>0</v>
      </c>
      <c r="P494" s="49">
        <f t="shared" ca="1" si="348"/>
        <v>0</v>
      </c>
      <c r="Q494" s="49">
        <f t="shared" ref="Q494:S494" ca="1" si="353">Q497+Q500</f>
        <v>0</v>
      </c>
      <c r="R494" s="49">
        <f t="shared" ca="1" si="353"/>
        <v>0</v>
      </c>
      <c r="S494" s="49">
        <f t="shared" ca="1" si="353"/>
        <v>0</v>
      </c>
      <c r="T494" s="49">
        <f t="shared" ca="1" si="350"/>
        <v>0</v>
      </c>
      <c r="U494" s="49">
        <f t="shared" ca="1" si="351"/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7">
        <f t="shared" ref="L495:N495" ca="1" si="354">L498+L501</f>
        <v>124100</v>
      </c>
      <c r="M495" s="47">
        <f t="shared" ca="1" si="354"/>
        <v>124100</v>
      </c>
      <c r="N495" s="47">
        <f t="shared" ca="1" si="354"/>
        <v>24100</v>
      </c>
      <c r="O495" s="47">
        <f t="shared" ca="1" si="347"/>
        <v>19.419822723609993</v>
      </c>
      <c r="P495" s="47">
        <f t="shared" ca="1" si="348"/>
        <v>19.419822723609993</v>
      </c>
      <c r="Q495" s="47">
        <f t="shared" ref="Q495:S495" ca="1" si="355">Q498+Q501</f>
        <v>2737845</v>
      </c>
      <c r="R495" s="47">
        <f t="shared" ca="1" si="355"/>
        <v>2737845</v>
      </c>
      <c r="S495" s="47">
        <f t="shared" ca="1" si="355"/>
        <v>576999.59</v>
      </c>
      <c r="T495" s="47">
        <f t="shared" ca="1" si="350"/>
        <v>21.074954571935226</v>
      </c>
      <c r="U495" s="47">
        <f t="shared" ca="1" si="351"/>
        <v>21.074954571935226</v>
      </c>
    </row>
    <row r="496" spans="1:21" ht="18.75" x14ac:dyDescent="0.25">
      <c r="A496" s="128"/>
      <c r="B496" s="159"/>
      <c r="C496" s="159"/>
      <c r="D496" s="161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7">
        <f t="shared" ref="L496:N496" ca="1" si="356">L497+L498</f>
        <v>124100</v>
      </c>
      <c r="M496" s="47">
        <f t="shared" ca="1" si="356"/>
        <v>124100</v>
      </c>
      <c r="N496" s="47">
        <f t="shared" ca="1" si="356"/>
        <v>24100</v>
      </c>
      <c r="O496" s="47">
        <f t="shared" ca="1" si="347"/>
        <v>19.419822723609993</v>
      </c>
      <c r="P496" s="47">
        <f t="shared" ca="1" si="348"/>
        <v>19.419822723609993</v>
      </c>
      <c r="Q496" s="47">
        <f t="shared" ref="Q496:S496" ca="1" si="357">Q497+Q498</f>
        <v>2737845</v>
      </c>
      <c r="R496" s="47">
        <f t="shared" ca="1" si="357"/>
        <v>2737845</v>
      </c>
      <c r="S496" s="47">
        <f t="shared" ca="1" si="357"/>
        <v>576999.59</v>
      </c>
      <c r="T496" s="47">
        <f t="shared" ca="1" si="350"/>
        <v>21.074954571935226</v>
      </c>
      <c r="U496" s="47">
        <f t="shared" ca="1" si="351"/>
        <v>21.074954571935226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9">
        <f ca="1">IFERROR(__xludf.DUMMYFUNCTION("IMPORTRANGE(""https://docs.google.com/spreadsheets/d/1kKUcYdkIfrgTSj8iHHHB2MD2FAtwyyocFgqGQn6ADyI/edit?usp=sharing"",""กระบี่!L497"")+IMPORTRANGE(""https://docs.google.com/spreadsheets/d/1GwtLaSlNZkLk7iDqcyZz22giiy40b_usZZBXYciEN1U/edit?usp=sharing"",""ชุ"&amp;"มพร!L497"")+IMPORTRANGE(""https://docs.google.com/spreadsheets/d/16pAz3pOhQEZBhvFNMa5KGgZS6iKWpsKX0pg6tQmwFpo/edit?usp=sharing"",""ตรัง!L497"")+IMPORTRANGE(""https://docs.google.com/spreadsheets/d/1Dj4jcHCTV9JXKCaMoheSXS52JE63kDKyG7bPXnFogHk/edit?usp=shar"&amp;"ing"",""นครศรีธรรมราช!L497"")+IMPORTRANGE(""https://docs.google.com/spreadsheets/d/1iodCdmuK2GR3jzUwk8tpccY2JHQQA-87DLOtJP-ooyU/edit?usp=sharing"",""นราธิวาส!L497"")+IMPORTRANGE(""https://docs.google.com/spreadsheets/d/1SDNX3JhDdYRuIOsj0Wh2M-Qa_eaXl0NbWmh"&amp;"AOTbfQAs/edit?usp=sharing"",""ปัตตานี!L497"")+IMPORTRANGE(""https://docs.google.com/spreadsheets/d/16JDLGguT8s5DsGCND1KcwHP_AWR_zDMTqLHPLJUKhaU/edit?usp=sharing"",""พังงา!L497"")+IMPORTRANGE(""https://docs.google.com/spreadsheets/d/17ht0gPKzzT3PObBL1XJkeR"&amp;"mntBXI7wGjpLV7QorqlTk/edit?usp=sharing"",""พัทลุง!L497"")+IMPORTRANGE(""https://docs.google.com/spreadsheets/d/1rd4qoM1q_hsgaolqNGfrim9gbsoLxQsda4-vOz5x_BM/edit?usp=sharing"",""ภูเก็ต!L497"")+IMPORTRANGE(""https://docs.google.com/spreadsheets/d/1woKwKjgoL"&amp;"ssDvPcPeVyezB5izizAn4X1JDrys69n6xI/edit?usp=sharing"",""ยะลา!L497"")+IMPORTRANGE(""https://docs.google.com/spreadsheets/d/1qfrKjzMhm2HJfxQ-qVlJlJQ25Hne1d0khsySbZyGtPA/edit?usp=sharing"",""ระนอง!L497"")+IMPORTRANGE(""https://docs.google.com/spreadsheets/d/"&amp;"1IbSCnFOKpZsnFogBHJnL_isstZVaOMnFiIN0fGTPZZw/edit?usp=sharing"",""สงขลา!L497"")+IMPORTRANGE(""https://docs.google.com/spreadsheets/d/1q9nWasZJ-K8bFGvbE9n0qSRuKGA4Toe3Y89cKCiVtCU/edit?usp=sharing"",""สตูล!L497"")+IMPORTRANGE(""https://docs.google.com/sprea"&amp;"dsheets/d/18T20gbkS_WBjdscyTOV05cvq_JqvqQ17C81mpxf7Ncs/edit?usp=sharing"",""สุราษฎร์ธานี!L497"")"),0)</f>
        <v>0</v>
      </c>
      <c r="M497" s="49">
        <f ca="1">IFERROR(__xludf.DUMMYFUNCTION("IMPORTRANGE(""https://docs.google.com/spreadsheets/d/1kKUcYdkIfrgTSj8iHHHB2MD2FAtwyyocFgqGQn6ADyI/edit?usp=sharing"",""กระบี่!M497"")+IMPORTRANGE(""https://docs.google.com/spreadsheets/d/1GwtLaSlNZkLk7iDqcyZz22giiy40b_usZZBXYciEN1U/edit?usp=sharing"",""ชุ"&amp;"มพร!M497"")+IMPORTRANGE(""https://docs.google.com/spreadsheets/d/16pAz3pOhQEZBhvFNMa5KGgZS6iKWpsKX0pg6tQmwFpo/edit?usp=sharing"",""ตรัง!M497"")+IMPORTRANGE(""https://docs.google.com/spreadsheets/d/1Dj4jcHCTV9JXKCaMoheSXS52JE63kDKyG7bPXnFogHk/edit?usp=shar"&amp;"ing"",""นครศรีธรรมราช!M497"")+IMPORTRANGE(""https://docs.google.com/spreadsheets/d/1iodCdmuK2GR3jzUwk8tpccY2JHQQA-87DLOtJP-ooyU/edit?usp=sharing"",""นราธิวาส!M497"")+IMPORTRANGE(""https://docs.google.com/spreadsheets/d/1SDNX3JhDdYRuIOsj0Wh2M-Qa_eaXl0NbWmh"&amp;"AOTbfQAs/edit?usp=sharing"",""ปัตตานี!M497"")+IMPORTRANGE(""https://docs.google.com/spreadsheets/d/16JDLGguT8s5DsGCND1KcwHP_AWR_zDMTqLHPLJUKhaU/edit?usp=sharing"",""พังงา!M497"")+IMPORTRANGE(""https://docs.google.com/spreadsheets/d/17ht0gPKzzT3PObBL1XJkeR"&amp;"mntBXI7wGjpLV7QorqlTk/edit?usp=sharing"",""พัทลุง!M497"")+IMPORTRANGE(""https://docs.google.com/spreadsheets/d/1rd4qoM1q_hsgaolqNGfrim9gbsoLxQsda4-vOz5x_BM/edit?usp=sharing"",""ภูเก็ต!M497"")+IMPORTRANGE(""https://docs.google.com/spreadsheets/d/1woKwKjgoL"&amp;"ssDvPcPeVyezB5izizAn4X1JDrys69n6xI/edit?usp=sharing"",""ยะลา!M497"")+IMPORTRANGE(""https://docs.google.com/spreadsheets/d/1qfrKjzMhm2HJfxQ-qVlJlJQ25Hne1d0khsySbZyGtPA/edit?usp=sharing"",""ระนอง!M497"")+IMPORTRANGE(""https://docs.google.com/spreadsheets/d/"&amp;"1IbSCnFOKpZsnFogBHJnL_isstZVaOMnFiIN0fGTPZZw/edit?usp=sharing"",""สงขลา!M497"")+IMPORTRANGE(""https://docs.google.com/spreadsheets/d/1q9nWasZJ-K8bFGvbE9n0qSRuKGA4Toe3Y89cKCiVtCU/edit?usp=sharing"",""สตูล!M497"")+IMPORTRANGE(""https://docs.google.com/sprea"&amp;"dsheets/d/18T20gbkS_WBjdscyTOV05cvq_JqvqQ17C81mpxf7Ncs/edit?usp=sharing"",""สุราษฎร์ธานี!M497"")"),0)</f>
        <v>0</v>
      </c>
      <c r="N497" s="49">
        <f ca="1">IFERROR(__xludf.DUMMYFUNCTION("IMPORTRANGE(""https://docs.google.com/spreadsheets/d/1kKUcYdkIfrgTSj8iHHHB2MD2FAtwyyocFgqGQn6ADyI/edit?usp=sharing"",""กระบี่!N497"")+IMPORTRANGE(""https://docs.google.com/spreadsheets/d/1GwtLaSlNZkLk7iDqcyZz22giiy40b_usZZBXYciEN1U/edit?usp=sharing"",""ชุ"&amp;"มพร!N497"")+IMPORTRANGE(""https://docs.google.com/spreadsheets/d/16pAz3pOhQEZBhvFNMa5KGgZS6iKWpsKX0pg6tQmwFpo/edit?usp=sharing"",""ตรัง!N497"")+IMPORTRANGE(""https://docs.google.com/spreadsheets/d/1Dj4jcHCTV9JXKCaMoheSXS52JE63kDKyG7bPXnFogHk/edit?usp=shar"&amp;"ing"",""นครศรีธรรมราช!N497"")+IMPORTRANGE(""https://docs.google.com/spreadsheets/d/1iodCdmuK2GR3jzUwk8tpccY2JHQQA-87DLOtJP-ooyU/edit?usp=sharing"",""นราธิวาส!N497"")+IMPORTRANGE(""https://docs.google.com/spreadsheets/d/1SDNX3JhDdYRuIOsj0Wh2M-Qa_eaXl0NbWmh"&amp;"AOTbfQAs/edit?usp=sharing"",""ปัตตานี!N497"")+IMPORTRANGE(""https://docs.google.com/spreadsheets/d/16JDLGguT8s5DsGCND1KcwHP_AWR_zDMTqLHPLJUKhaU/edit?usp=sharing"",""พังงา!N497"")+IMPORTRANGE(""https://docs.google.com/spreadsheets/d/17ht0gPKzzT3PObBL1XJkeR"&amp;"mntBXI7wGjpLV7QorqlTk/edit?usp=sharing"",""พัทลุง!N497"")+IMPORTRANGE(""https://docs.google.com/spreadsheets/d/1rd4qoM1q_hsgaolqNGfrim9gbsoLxQsda4-vOz5x_BM/edit?usp=sharing"",""ภูเก็ต!N497"")+IMPORTRANGE(""https://docs.google.com/spreadsheets/d/1woKwKjgoL"&amp;"ssDvPcPeVyezB5izizAn4X1JDrys69n6xI/edit?usp=sharing"",""ยะลา!N497"")+IMPORTRANGE(""https://docs.google.com/spreadsheets/d/1qfrKjzMhm2HJfxQ-qVlJlJQ25Hne1d0khsySbZyGtPA/edit?usp=sharing"",""ระนอง!N497"")+IMPORTRANGE(""https://docs.google.com/spreadsheets/d/"&amp;"1IbSCnFOKpZsnFogBHJnL_isstZVaOMnFiIN0fGTPZZw/edit?usp=sharing"",""สงขลา!N497"")+IMPORTRANGE(""https://docs.google.com/spreadsheets/d/1q9nWasZJ-K8bFGvbE9n0qSRuKGA4Toe3Y89cKCiVtCU/edit?usp=sharing"",""สตูล!N497"")+IMPORTRANGE(""https://docs.google.com/sprea"&amp;"dsheets/d/18T20gbkS_WBjdscyTOV05cvq_JqvqQ17C81mpxf7Ncs/edit?usp=sharing"",""สุราษฎร์ธานี!N497"")"),0)</f>
        <v>0</v>
      </c>
      <c r="O497" s="49">
        <f t="shared" ca="1" si="347"/>
        <v>0</v>
      </c>
      <c r="P497" s="49">
        <f t="shared" ca="1" si="348"/>
        <v>0</v>
      </c>
      <c r="Q497" s="49">
        <f ca="1">IFERROR(__xludf.DUMMYFUNCTION("IMPORTRANGE(""https://docs.google.com/spreadsheets/d/1kKUcYdkIfrgTSj8iHHHB2MD2FAtwyyocFgqGQn6ADyI/edit?usp=sharing"",""กระบี่!Q497"")+IMPORTRANGE(""https://docs.google.com/spreadsheets/d/1GwtLaSlNZkLk7iDqcyZz22giiy40b_usZZBXYciEN1U/edit?usp=sharing"",""ชุ"&amp;"มพร!Q497"")+IMPORTRANGE(""https://docs.google.com/spreadsheets/d/16pAz3pOhQEZBhvFNMa5KGgZS6iKWpsKX0pg6tQmwFpo/edit?usp=sharing"",""ตรัง!Q497"")+IMPORTRANGE(""https://docs.google.com/spreadsheets/d/1Dj4jcHCTV9JXKCaMoheSXS52JE63kDKyG7bPXnFogHk/edit?usp=shar"&amp;"ing"",""นครศรีธรรมราช!Q497"")+IMPORTRANGE(""https://docs.google.com/spreadsheets/d/1iodCdmuK2GR3jzUwk8tpccY2JHQQA-87DLOtJP-ooyU/edit?usp=sharing"",""นราธิวาส!Q497"")+IMPORTRANGE(""https://docs.google.com/spreadsheets/d/1SDNX3JhDdYRuIOsj0Wh2M-Qa_eaXl0NbWmh"&amp;"AOTbfQAs/edit?usp=sharing"",""ปัตตานี!Q497"")+IMPORTRANGE(""https://docs.google.com/spreadsheets/d/16JDLGguT8s5DsGCND1KcwHP_AWR_zDMTqLHPLJUKhaU/edit?usp=sharing"",""พังงา!Q497"")+IMPORTRANGE(""https://docs.google.com/spreadsheets/d/17ht0gPKzzT3PObBL1XJkeR"&amp;"mntBXI7wGjpLV7QorqlTk/edit?usp=sharing"",""พัทลุง!Q497"")+IMPORTRANGE(""https://docs.google.com/spreadsheets/d/1rd4qoM1q_hsgaolqNGfrim9gbsoLxQsda4-vOz5x_BM/edit?usp=sharing"",""ภูเก็ต!Q497"")+IMPORTRANGE(""https://docs.google.com/spreadsheets/d/1woKwKjgoL"&amp;"ssDvPcPeVyezB5izizAn4X1JDrys69n6xI/edit?usp=sharing"",""ยะลา!Q497"")+IMPORTRANGE(""https://docs.google.com/spreadsheets/d/1qfrKjzMhm2HJfxQ-qVlJlJQ25Hne1d0khsySbZyGtPA/edit?usp=sharing"",""ระนอง!Q497"")+IMPORTRANGE(""https://docs.google.com/spreadsheets/d/"&amp;"1IbSCnFOKpZsnFogBHJnL_isstZVaOMnFiIN0fGTPZZw/edit?usp=sharing"",""สงขลา!Q497"")+IMPORTRANGE(""https://docs.google.com/spreadsheets/d/1q9nWasZJ-K8bFGvbE9n0qSRuKGA4Toe3Y89cKCiVtCU/edit?usp=sharing"",""สตูล!Q497"")+IMPORTRANGE(""https://docs.google.com/sprea"&amp;"dsheets/d/18T20gbkS_WBjdscyTOV05cvq_JqvqQ17C81mpxf7Ncs/edit?usp=sharing"",""สุราษฎร์ธานี!Q497"")"),0)</f>
        <v>0</v>
      </c>
      <c r="R497" s="49">
        <f ca="1">IFERROR(__xludf.DUMMYFUNCTION("IMPORTRANGE(""https://docs.google.com/spreadsheets/d/1kKUcYdkIfrgTSj8iHHHB2MD2FAtwyyocFgqGQn6ADyI/edit?usp=sharing"",""กระบี่!R497"")+IMPORTRANGE(""https://docs.google.com/spreadsheets/d/1GwtLaSlNZkLk7iDqcyZz22giiy40b_usZZBXYciEN1U/edit?usp=sharing"",""ชุ"&amp;"มพร!R497"")+IMPORTRANGE(""https://docs.google.com/spreadsheets/d/16pAz3pOhQEZBhvFNMa5KGgZS6iKWpsKX0pg6tQmwFpo/edit?usp=sharing"",""ตรัง!R497"")+IMPORTRANGE(""https://docs.google.com/spreadsheets/d/1Dj4jcHCTV9JXKCaMoheSXS52JE63kDKyG7bPXnFogHk/edit?usp=shar"&amp;"ing"",""นครศรีธรรมราช!R497"")+IMPORTRANGE(""https://docs.google.com/spreadsheets/d/1iodCdmuK2GR3jzUwk8tpccY2JHQQA-87DLOtJP-ooyU/edit?usp=sharing"",""นราธิวาส!R497"")+IMPORTRANGE(""https://docs.google.com/spreadsheets/d/1SDNX3JhDdYRuIOsj0Wh2M-Qa_eaXl0NbWmh"&amp;"AOTbfQAs/edit?usp=sharing"",""ปัตตานี!R497"")+IMPORTRANGE(""https://docs.google.com/spreadsheets/d/16JDLGguT8s5DsGCND1KcwHP_AWR_zDMTqLHPLJUKhaU/edit?usp=sharing"",""พังงา!R497"")+IMPORTRANGE(""https://docs.google.com/spreadsheets/d/17ht0gPKzzT3PObBL1XJkeR"&amp;"mntBXI7wGjpLV7QorqlTk/edit?usp=sharing"",""พัทลุง!R497"")+IMPORTRANGE(""https://docs.google.com/spreadsheets/d/1rd4qoM1q_hsgaolqNGfrim9gbsoLxQsda4-vOz5x_BM/edit?usp=sharing"",""ภูเก็ต!R497"")+IMPORTRANGE(""https://docs.google.com/spreadsheets/d/1woKwKjgoL"&amp;"ssDvPcPeVyezB5izizAn4X1JDrys69n6xI/edit?usp=sharing"",""ยะลา!R497"")+IMPORTRANGE(""https://docs.google.com/spreadsheets/d/1qfrKjzMhm2HJfxQ-qVlJlJQ25Hne1d0khsySbZyGtPA/edit?usp=sharing"",""ระนอง!R497"")+IMPORTRANGE(""https://docs.google.com/spreadsheets/d/"&amp;"1IbSCnFOKpZsnFogBHJnL_isstZVaOMnFiIN0fGTPZZw/edit?usp=sharing"",""สงขลา!R497"")+IMPORTRANGE(""https://docs.google.com/spreadsheets/d/1q9nWasZJ-K8bFGvbE9n0qSRuKGA4Toe3Y89cKCiVtCU/edit?usp=sharing"",""สตูล!R497"")+IMPORTRANGE(""https://docs.google.com/sprea"&amp;"dsheets/d/18T20gbkS_WBjdscyTOV05cvq_JqvqQ17C81mpxf7Ncs/edit?usp=sharing"",""สุราษฎร์ธานี!R497"")"),0)</f>
        <v>0</v>
      </c>
      <c r="S497" s="49">
        <f ca="1">IFERROR(__xludf.DUMMYFUNCTION("IMPORTRANGE(""https://docs.google.com/spreadsheets/d/1kKUcYdkIfrgTSj8iHHHB2MD2FAtwyyocFgqGQn6ADyI/edit?usp=sharing"",""กระบี่!S497"")+IMPORTRANGE(""https://docs.google.com/spreadsheets/d/1GwtLaSlNZkLk7iDqcyZz22giiy40b_usZZBXYciEN1U/edit?usp=sharing"",""ชุ"&amp;"มพร!S497"")+IMPORTRANGE(""https://docs.google.com/spreadsheets/d/16pAz3pOhQEZBhvFNMa5KGgZS6iKWpsKX0pg6tQmwFpo/edit?usp=sharing"",""ตรัง!S497"")+IMPORTRANGE(""https://docs.google.com/spreadsheets/d/1Dj4jcHCTV9JXKCaMoheSXS52JE63kDKyG7bPXnFogHk/edit?usp=shar"&amp;"ing"",""นครศรีธรรมราช!S497"")+IMPORTRANGE(""https://docs.google.com/spreadsheets/d/1iodCdmuK2GR3jzUwk8tpccY2JHQQA-87DLOtJP-ooyU/edit?usp=sharing"",""นราธิวาส!S497"")+IMPORTRANGE(""https://docs.google.com/spreadsheets/d/1SDNX3JhDdYRuIOsj0Wh2M-Qa_eaXl0NbWmh"&amp;"AOTbfQAs/edit?usp=sharing"",""ปัตตานี!S497"")+IMPORTRANGE(""https://docs.google.com/spreadsheets/d/16JDLGguT8s5DsGCND1KcwHP_AWR_zDMTqLHPLJUKhaU/edit?usp=sharing"",""พังงา!S497"")+IMPORTRANGE(""https://docs.google.com/spreadsheets/d/17ht0gPKzzT3PObBL1XJkeR"&amp;"mntBXI7wGjpLV7QorqlTk/edit?usp=sharing"",""พัทลุง!S497"")+IMPORTRANGE(""https://docs.google.com/spreadsheets/d/1rd4qoM1q_hsgaolqNGfrim9gbsoLxQsda4-vOz5x_BM/edit?usp=sharing"",""ภูเก็ต!S497"")+IMPORTRANGE(""https://docs.google.com/spreadsheets/d/1woKwKjgoL"&amp;"ssDvPcPeVyezB5izizAn4X1JDrys69n6xI/edit?usp=sharing"",""ยะลา!S497"")+IMPORTRANGE(""https://docs.google.com/spreadsheets/d/1qfrKjzMhm2HJfxQ-qVlJlJQ25Hne1d0khsySbZyGtPA/edit?usp=sharing"",""ระนอง!S497"")+IMPORTRANGE(""https://docs.google.com/spreadsheets/d/"&amp;"1IbSCnFOKpZsnFogBHJnL_isstZVaOMnFiIN0fGTPZZw/edit?usp=sharing"",""สงขลา!S497"")+IMPORTRANGE(""https://docs.google.com/spreadsheets/d/1q9nWasZJ-K8bFGvbE9n0qSRuKGA4Toe3Y89cKCiVtCU/edit?usp=sharing"",""สตูล!S497"")+IMPORTRANGE(""https://docs.google.com/sprea"&amp;"dsheets/d/18T20gbkS_WBjdscyTOV05cvq_JqvqQ17C81mpxf7Ncs/edit?usp=sharing"",""สุราษฎร์ธานี!S497"")"),0)</f>
        <v>0</v>
      </c>
      <c r="T497" s="49">
        <f t="shared" ca="1" si="350"/>
        <v>0</v>
      </c>
      <c r="U497" s="49">
        <f t="shared" ca="1" si="351"/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7">
        <f ca="1">IFERROR(__xludf.DUMMYFUNCTION("IMPORTRANGE(""https://docs.google.com/spreadsheets/d/1kKUcYdkIfrgTSj8iHHHB2MD2FAtwyyocFgqGQn6ADyI/edit?usp=sharing"",""กระบี่!L498"")+IMPORTRANGE(""https://docs.google.com/spreadsheets/d/1GwtLaSlNZkLk7iDqcyZz22giiy40b_usZZBXYciEN1U/edit?usp=sharing"",""ชุ"&amp;"มพร!L498"")+IMPORTRANGE(""https://docs.google.com/spreadsheets/d/16pAz3pOhQEZBhvFNMa5KGgZS6iKWpsKX0pg6tQmwFpo/edit?usp=sharing"",""ตรัง!L498"")+IMPORTRANGE(""https://docs.google.com/spreadsheets/d/1Dj4jcHCTV9JXKCaMoheSXS52JE63kDKyG7bPXnFogHk/edit?usp=shar"&amp;"ing"",""นครศรีธรรมราช!L498"")+IMPORTRANGE(""https://docs.google.com/spreadsheets/d/1iodCdmuK2GR3jzUwk8tpccY2JHQQA-87DLOtJP-ooyU/edit?usp=sharing"",""นราธิวาส!L498"")+IMPORTRANGE(""https://docs.google.com/spreadsheets/d/1SDNX3JhDdYRuIOsj0Wh2M-Qa_eaXl0NbWmh"&amp;"AOTbfQAs/edit?usp=sharing"",""ปัตตานี!L498"")+IMPORTRANGE(""https://docs.google.com/spreadsheets/d/16JDLGguT8s5DsGCND1KcwHP_AWR_zDMTqLHPLJUKhaU/edit?usp=sharing"",""พังงา!L498"")+IMPORTRANGE(""https://docs.google.com/spreadsheets/d/17ht0gPKzzT3PObBL1XJkeR"&amp;"mntBXI7wGjpLV7QorqlTk/edit?usp=sharing"",""พัทลุง!L498"")+IMPORTRANGE(""https://docs.google.com/spreadsheets/d/1rd4qoM1q_hsgaolqNGfrim9gbsoLxQsda4-vOz5x_BM/edit?usp=sharing"",""ภูเก็ต!L498"")+IMPORTRANGE(""https://docs.google.com/spreadsheets/d/1woKwKjgoL"&amp;"ssDvPcPeVyezB5izizAn4X1JDrys69n6xI/edit?usp=sharing"",""ยะลา!L498"")+IMPORTRANGE(""https://docs.google.com/spreadsheets/d/1qfrKjzMhm2HJfxQ-qVlJlJQ25Hne1d0khsySbZyGtPA/edit?usp=sharing"",""ระนอง!L498"")+IMPORTRANGE(""https://docs.google.com/spreadsheets/d/"&amp;"1IbSCnFOKpZsnFogBHJnL_isstZVaOMnFiIN0fGTPZZw/edit?usp=sharing"",""สงขลา!L498"")+IMPORTRANGE(""https://docs.google.com/spreadsheets/d/1q9nWasZJ-K8bFGvbE9n0qSRuKGA4Toe3Y89cKCiVtCU/edit?usp=sharing"",""สตูล!L498"")+IMPORTRANGE(""https://docs.google.com/sprea"&amp;"dsheets/d/18T20gbkS_WBjdscyTOV05cvq_JqvqQ17C81mpxf7Ncs/edit?usp=sharing"",""สุราษฎร์ธานี!L498"")"),124100)</f>
        <v>124100</v>
      </c>
      <c r="M498" s="47">
        <f ca="1">IFERROR(__xludf.DUMMYFUNCTION("IMPORTRANGE(""https://docs.google.com/spreadsheets/d/1kKUcYdkIfrgTSj8iHHHB2MD2FAtwyyocFgqGQn6ADyI/edit?usp=sharing"",""กระบี่!M498"")+IMPORTRANGE(""https://docs.google.com/spreadsheets/d/1GwtLaSlNZkLk7iDqcyZz22giiy40b_usZZBXYciEN1U/edit?usp=sharing"",""ชุ"&amp;"มพร!M498"")+IMPORTRANGE(""https://docs.google.com/spreadsheets/d/16pAz3pOhQEZBhvFNMa5KGgZS6iKWpsKX0pg6tQmwFpo/edit?usp=sharing"",""ตรัง!M498"")+IMPORTRANGE(""https://docs.google.com/spreadsheets/d/1Dj4jcHCTV9JXKCaMoheSXS52JE63kDKyG7bPXnFogHk/edit?usp=shar"&amp;"ing"",""นครศรีธรรมราช!M498"")+IMPORTRANGE(""https://docs.google.com/spreadsheets/d/1iodCdmuK2GR3jzUwk8tpccY2JHQQA-87DLOtJP-ooyU/edit?usp=sharing"",""นราธิวาส!M498"")+IMPORTRANGE(""https://docs.google.com/spreadsheets/d/1SDNX3JhDdYRuIOsj0Wh2M-Qa_eaXl0NbWmh"&amp;"AOTbfQAs/edit?usp=sharing"",""ปัตตานี!M498"")+IMPORTRANGE(""https://docs.google.com/spreadsheets/d/16JDLGguT8s5DsGCND1KcwHP_AWR_zDMTqLHPLJUKhaU/edit?usp=sharing"",""พังงา!M498"")+IMPORTRANGE(""https://docs.google.com/spreadsheets/d/17ht0gPKzzT3PObBL1XJkeR"&amp;"mntBXI7wGjpLV7QorqlTk/edit?usp=sharing"",""พัทลุง!M498"")+IMPORTRANGE(""https://docs.google.com/spreadsheets/d/1rd4qoM1q_hsgaolqNGfrim9gbsoLxQsda4-vOz5x_BM/edit?usp=sharing"",""ภูเก็ต!M498"")+IMPORTRANGE(""https://docs.google.com/spreadsheets/d/1woKwKjgoL"&amp;"ssDvPcPeVyezB5izizAn4X1JDrys69n6xI/edit?usp=sharing"",""ยะลา!M498"")+IMPORTRANGE(""https://docs.google.com/spreadsheets/d/1qfrKjzMhm2HJfxQ-qVlJlJQ25Hne1d0khsySbZyGtPA/edit?usp=sharing"",""ระนอง!M498"")+IMPORTRANGE(""https://docs.google.com/spreadsheets/d/"&amp;"1IbSCnFOKpZsnFogBHJnL_isstZVaOMnFiIN0fGTPZZw/edit?usp=sharing"",""สงขลา!M498"")+IMPORTRANGE(""https://docs.google.com/spreadsheets/d/1q9nWasZJ-K8bFGvbE9n0qSRuKGA4Toe3Y89cKCiVtCU/edit?usp=sharing"",""สตูล!M498"")+IMPORTRANGE(""https://docs.google.com/sprea"&amp;"dsheets/d/18T20gbkS_WBjdscyTOV05cvq_JqvqQ17C81mpxf7Ncs/edit?usp=sharing"",""สุราษฎร์ธานี!M498"")"),124100)</f>
        <v>124100</v>
      </c>
      <c r="N498" s="47">
        <f ca="1">IFERROR(__xludf.DUMMYFUNCTION("IMPORTRANGE(""https://docs.google.com/spreadsheets/d/1kKUcYdkIfrgTSj8iHHHB2MD2FAtwyyocFgqGQn6ADyI/edit?usp=sharing"",""กระบี่!N498"")+IMPORTRANGE(""https://docs.google.com/spreadsheets/d/1GwtLaSlNZkLk7iDqcyZz22giiy40b_usZZBXYciEN1U/edit?usp=sharing"",""ชุ"&amp;"มพร!N498"")+IMPORTRANGE(""https://docs.google.com/spreadsheets/d/16pAz3pOhQEZBhvFNMa5KGgZS6iKWpsKX0pg6tQmwFpo/edit?usp=sharing"",""ตรัง!N498"")+IMPORTRANGE(""https://docs.google.com/spreadsheets/d/1Dj4jcHCTV9JXKCaMoheSXS52JE63kDKyG7bPXnFogHk/edit?usp=shar"&amp;"ing"",""นครศรีธรรมราช!N498"")+IMPORTRANGE(""https://docs.google.com/spreadsheets/d/1iodCdmuK2GR3jzUwk8tpccY2JHQQA-87DLOtJP-ooyU/edit?usp=sharing"",""นราธิวาส!N498"")+IMPORTRANGE(""https://docs.google.com/spreadsheets/d/1SDNX3JhDdYRuIOsj0Wh2M-Qa_eaXl0NbWmh"&amp;"AOTbfQAs/edit?usp=sharing"",""ปัตตานี!N498"")+IMPORTRANGE(""https://docs.google.com/spreadsheets/d/16JDLGguT8s5DsGCND1KcwHP_AWR_zDMTqLHPLJUKhaU/edit?usp=sharing"",""พังงา!N498"")+IMPORTRANGE(""https://docs.google.com/spreadsheets/d/17ht0gPKzzT3PObBL1XJkeR"&amp;"mntBXI7wGjpLV7QorqlTk/edit?usp=sharing"",""พัทลุง!N498"")+IMPORTRANGE(""https://docs.google.com/spreadsheets/d/1rd4qoM1q_hsgaolqNGfrim9gbsoLxQsda4-vOz5x_BM/edit?usp=sharing"",""ภูเก็ต!N498"")+IMPORTRANGE(""https://docs.google.com/spreadsheets/d/1woKwKjgoL"&amp;"ssDvPcPeVyezB5izizAn4X1JDrys69n6xI/edit?usp=sharing"",""ยะลา!N498"")+IMPORTRANGE(""https://docs.google.com/spreadsheets/d/1qfrKjzMhm2HJfxQ-qVlJlJQ25Hne1d0khsySbZyGtPA/edit?usp=sharing"",""ระนอง!N498"")+IMPORTRANGE(""https://docs.google.com/spreadsheets/d/"&amp;"1IbSCnFOKpZsnFogBHJnL_isstZVaOMnFiIN0fGTPZZw/edit?usp=sharing"",""สงขลา!N498"")+IMPORTRANGE(""https://docs.google.com/spreadsheets/d/1q9nWasZJ-K8bFGvbE9n0qSRuKGA4Toe3Y89cKCiVtCU/edit?usp=sharing"",""สตูล!N498"")+IMPORTRANGE(""https://docs.google.com/sprea"&amp;"dsheets/d/18T20gbkS_WBjdscyTOV05cvq_JqvqQ17C81mpxf7Ncs/edit?usp=sharing"",""สุราษฎร์ธานี!N498"")"),24100)</f>
        <v>24100</v>
      </c>
      <c r="O498" s="47">
        <f t="shared" ca="1" si="347"/>
        <v>19.419822723609993</v>
      </c>
      <c r="P498" s="47">
        <f t="shared" ca="1" si="348"/>
        <v>19.419822723609993</v>
      </c>
      <c r="Q498" s="47">
        <f ca="1">IFERROR(__xludf.DUMMYFUNCTION("IMPORTRANGE(""https://docs.google.com/spreadsheets/d/1kKUcYdkIfrgTSj8iHHHB2MD2FAtwyyocFgqGQn6ADyI/edit?usp=sharing"",""กระบี่!Q498"")+IMPORTRANGE(""https://docs.google.com/spreadsheets/d/1GwtLaSlNZkLk7iDqcyZz22giiy40b_usZZBXYciEN1U/edit?usp=sharing"",""ชุ"&amp;"มพร!Q498"")+IMPORTRANGE(""https://docs.google.com/spreadsheets/d/16pAz3pOhQEZBhvFNMa5KGgZS6iKWpsKX0pg6tQmwFpo/edit?usp=sharing"",""ตรัง!Q498"")+IMPORTRANGE(""https://docs.google.com/spreadsheets/d/1Dj4jcHCTV9JXKCaMoheSXS52JE63kDKyG7bPXnFogHk/edit?usp=shar"&amp;"ing"",""นครศรีธรรมราช!Q498"")+IMPORTRANGE(""https://docs.google.com/spreadsheets/d/1iodCdmuK2GR3jzUwk8tpccY2JHQQA-87DLOtJP-ooyU/edit?usp=sharing"",""นราธิวาส!Q498"")+IMPORTRANGE(""https://docs.google.com/spreadsheets/d/1SDNX3JhDdYRuIOsj0Wh2M-Qa_eaXl0NbWmh"&amp;"AOTbfQAs/edit?usp=sharing"",""ปัตตานี!Q498"")+IMPORTRANGE(""https://docs.google.com/spreadsheets/d/16JDLGguT8s5DsGCND1KcwHP_AWR_zDMTqLHPLJUKhaU/edit?usp=sharing"",""พังงา!Q498"")+IMPORTRANGE(""https://docs.google.com/spreadsheets/d/17ht0gPKzzT3PObBL1XJkeR"&amp;"mntBXI7wGjpLV7QorqlTk/edit?usp=sharing"",""พัทลุง!Q498"")+IMPORTRANGE(""https://docs.google.com/spreadsheets/d/1rd4qoM1q_hsgaolqNGfrim9gbsoLxQsda4-vOz5x_BM/edit?usp=sharing"",""ภูเก็ต!Q498"")+IMPORTRANGE(""https://docs.google.com/spreadsheets/d/1woKwKjgoL"&amp;"ssDvPcPeVyezB5izizAn4X1JDrys69n6xI/edit?usp=sharing"",""ยะลา!Q498"")+IMPORTRANGE(""https://docs.google.com/spreadsheets/d/1qfrKjzMhm2HJfxQ-qVlJlJQ25Hne1d0khsySbZyGtPA/edit?usp=sharing"",""ระนอง!Q498"")+IMPORTRANGE(""https://docs.google.com/spreadsheets/d/"&amp;"1IbSCnFOKpZsnFogBHJnL_isstZVaOMnFiIN0fGTPZZw/edit?usp=sharing"",""สงขลา!Q498"")+IMPORTRANGE(""https://docs.google.com/spreadsheets/d/1q9nWasZJ-K8bFGvbE9n0qSRuKGA4Toe3Y89cKCiVtCU/edit?usp=sharing"",""สตูล!Q498"")+IMPORTRANGE(""https://docs.google.com/sprea"&amp;"dsheets/d/18T20gbkS_WBjdscyTOV05cvq_JqvqQ17C81mpxf7Ncs/edit?usp=sharing"",""สุราษฎร์ธานี!Q498"")"),2737845)</f>
        <v>2737845</v>
      </c>
      <c r="R498" s="47">
        <f ca="1">IFERROR(__xludf.DUMMYFUNCTION("IMPORTRANGE(""https://docs.google.com/spreadsheets/d/1kKUcYdkIfrgTSj8iHHHB2MD2FAtwyyocFgqGQn6ADyI/edit?usp=sharing"",""กระบี่!R498"")+IMPORTRANGE(""https://docs.google.com/spreadsheets/d/1GwtLaSlNZkLk7iDqcyZz22giiy40b_usZZBXYciEN1U/edit?usp=sharing"",""ชุ"&amp;"มพร!R498"")+IMPORTRANGE(""https://docs.google.com/spreadsheets/d/16pAz3pOhQEZBhvFNMa5KGgZS6iKWpsKX0pg6tQmwFpo/edit?usp=sharing"",""ตรัง!R498"")+IMPORTRANGE(""https://docs.google.com/spreadsheets/d/1Dj4jcHCTV9JXKCaMoheSXS52JE63kDKyG7bPXnFogHk/edit?usp=shar"&amp;"ing"",""นครศรีธรรมราช!R498"")+IMPORTRANGE(""https://docs.google.com/spreadsheets/d/1iodCdmuK2GR3jzUwk8tpccY2JHQQA-87DLOtJP-ooyU/edit?usp=sharing"",""นราธิวาส!R498"")+IMPORTRANGE(""https://docs.google.com/spreadsheets/d/1SDNX3JhDdYRuIOsj0Wh2M-Qa_eaXl0NbWmh"&amp;"AOTbfQAs/edit?usp=sharing"",""ปัตตานี!R498"")+IMPORTRANGE(""https://docs.google.com/spreadsheets/d/16JDLGguT8s5DsGCND1KcwHP_AWR_zDMTqLHPLJUKhaU/edit?usp=sharing"",""พังงา!R498"")+IMPORTRANGE(""https://docs.google.com/spreadsheets/d/17ht0gPKzzT3PObBL1XJkeR"&amp;"mntBXI7wGjpLV7QorqlTk/edit?usp=sharing"",""พัทลุง!R498"")+IMPORTRANGE(""https://docs.google.com/spreadsheets/d/1rd4qoM1q_hsgaolqNGfrim9gbsoLxQsda4-vOz5x_BM/edit?usp=sharing"",""ภูเก็ต!R498"")+IMPORTRANGE(""https://docs.google.com/spreadsheets/d/1woKwKjgoL"&amp;"ssDvPcPeVyezB5izizAn4X1JDrys69n6xI/edit?usp=sharing"",""ยะลา!R498"")+IMPORTRANGE(""https://docs.google.com/spreadsheets/d/1qfrKjzMhm2HJfxQ-qVlJlJQ25Hne1d0khsySbZyGtPA/edit?usp=sharing"",""ระนอง!R498"")+IMPORTRANGE(""https://docs.google.com/spreadsheets/d/"&amp;"1IbSCnFOKpZsnFogBHJnL_isstZVaOMnFiIN0fGTPZZw/edit?usp=sharing"",""สงขลา!R498"")+IMPORTRANGE(""https://docs.google.com/spreadsheets/d/1q9nWasZJ-K8bFGvbE9n0qSRuKGA4Toe3Y89cKCiVtCU/edit?usp=sharing"",""สตูล!R498"")+IMPORTRANGE(""https://docs.google.com/sprea"&amp;"dsheets/d/18T20gbkS_WBjdscyTOV05cvq_JqvqQ17C81mpxf7Ncs/edit?usp=sharing"",""สุราษฎร์ธานี!R498"")"),2737845)</f>
        <v>2737845</v>
      </c>
      <c r="S498" s="47">
        <f ca="1">IFERROR(__xludf.DUMMYFUNCTION("IMPORTRANGE(""https://docs.google.com/spreadsheets/d/1kKUcYdkIfrgTSj8iHHHB2MD2FAtwyyocFgqGQn6ADyI/edit?usp=sharing"",""กระบี่!S498"")+IMPORTRANGE(""https://docs.google.com/spreadsheets/d/1GwtLaSlNZkLk7iDqcyZz22giiy40b_usZZBXYciEN1U/edit?usp=sharing"",""ชุ"&amp;"มพร!S498"")+IMPORTRANGE(""https://docs.google.com/spreadsheets/d/16pAz3pOhQEZBhvFNMa5KGgZS6iKWpsKX0pg6tQmwFpo/edit?usp=sharing"",""ตรัง!S498"")+IMPORTRANGE(""https://docs.google.com/spreadsheets/d/1Dj4jcHCTV9JXKCaMoheSXS52JE63kDKyG7bPXnFogHk/edit?usp=shar"&amp;"ing"",""นครศรีธรรมราช!S498"")+IMPORTRANGE(""https://docs.google.com/spreadsheets/d/1iodCdmuK2GR3jzUwk8tpccY2JHQQA-87DLOtJP-ooyU/edit?usp=sharing"",""นราธิวาส!S498"")+IMPORTRANGE(""https://docs.google.com/spreadsheets/d/1SDNX3JhDdYRuIOsj0Wh2M-Qa_eaXl0NbWmh"&amp;"AOTbfQAs/edit?usp=sharing"",""ปัตตานี!S498"")+IMPORTRANGE(""https://docs.google.com/spreadsheets/d/16JDLGguT8s5DsGCND1KcwHP_AWR_zDMTqLHPLJUKhaU/edit?usp=sharing"",""พังงา!S498"")+IMPORTRANGE(""https://docs.google.com/spreadsheets/d/17ht0gPKzzT3PObBL1XJkeR"&amp;"mntBXI7wGjpLV7QorqlTk/edit?usp=sharing"",""พัทลุง!S498"")+IMPORTRANGE(""https://docs.google.com/spreadsheets/d/1rd4qoM1q_hsgaolqNGfrim9gbsoLxQsda4-vOz5x_BM/edit?usp=sharing"",""ภูเก็ต!S498"")+IMPORTRANGE(""https://docs.google.com/spreadsheets/d/1woKwKjgoL"&amp;"ssDvPcPeVyezB5izizAn4X1JDrys69n6xI/edit?usp=sharing"",""ยะลา!S498"")+IMPORTRANGE(""https://docs.google.com/spreadsheets/d/1qfrKjzMhm2HJfxQ-qVlJlJQ25Hne1d0khsySbZyGtPA/edit?usp=sharing"",""ระนอง!S498"")+IMPORTRANGE(""https://docs.google.com/spreadsheets/d/"&amp;"1IbSCnFOKpZsnFogBHJnL_isstZVaOMnFiIN0fGTPZZw/edit?usp=sharing"",""สงขลา!S498"")+IMPORTRANGE(""https://docs.google.com/spreadsheets/d/1q9nWasZJ-K8bFGvbE9n0qSRuKGA4Toe3Y89cKCiVtCU/edit?usp=sharing"",""สตูล!S498"")+IMPORTRANGE(""https://docs.google.com/sprea"&amp;"dsheets/d/18T20gbkS_WBjdscyTOV05cvq_JqvqQ17C81mpxf7Ncs/edit?usp=sharing"",""สุราษฎร์ธานี!S498"")"),576999.59)</f>
        <v>576999.59</v>
      </c>
      <c r="T498" s="47">
        <f t="shared" ca="1" si="350"/>
        <v>21.074954571935226</v>
      </c>
      <c r="U498" s="47">
        <f t="shared" ca="1" si="351"/>
        <v>21.074954571935226</v>
      </c>
    </row>
    <row r="499" spans="1:21" ht="18.75" x14ac:dyDescent="0.25">
      <c r="A499" s="128"/>
      <c r="B499" s="159"/>
      <c r="C499" s="159"/>
      <c r="D499" s="161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7">
        <f t="shared" ref="L499:N499" ca="1" si="358">L500+L501</f>
        <v>0</v>
      </c>
      <c r="M499" s="47">
        <f t="shared" ca="1" si="358"/>
        <v>0</v>
      </c>
      <c r="N499" s="47">
        <f t="shared" ca="1" si="358"/>
        <v>0</v>
      </c>
      <c r="O499" s="47">
        <f t="shared" ca="1" si="347"/>
        <v>0</v>
      </c>
      <c r="P499" s="47">
        <f t="shared" ca="1" si="348"/>
        <v>0</v>
      </c>
      <c r="Q499" s="47">
        <f t="shared" ref="Q499:S499" ca="1" si="359">Q500+Q501</f>
        <v>0</v>
      </c>
      <c r="R499" s="47">
        <f t="shared" ca="1" si="359"/>
        <v>0</v>
      </c>
      <c r="S499" s="47">
        <f t="shared" ca="1" si="359"/>
        <v>0</v>
      </c>
      <c r="T499" s="47">
        <f t="shared" ca="1" si="350"/>
        <v>0</v>
      </c>
      <c r="U499" s="47">
        <f t="shared" ca="1" si="351"/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9">
        <f ca="1">IFERROR(__xludf.DUMMYFUNCTION("IMPORTRANGE(""https://docs.google.com/spreadsheets/d/1kKUcYdkIfrgTSj8iHHHB2MD2FAtwyyocFgqGQn6ADyI/edit?usp=sharing"",""กระบี่!L500"")+IMPORTRANGE(""https://docs.google.com/spreadsheets/d/1GwtLaSlNZkLk7iDqcyZz22giiy40b_usZZBXYciEN1U/edit?usp=sharing"",""ชุ"&amp;"มพร!L500"")+IMPORTRANGE(""https://docs.google.com/spreadsheets/d/16pAz3pOhQEZBhvFNMa5KGgZS6iKWpsKX0pg6tQmwFpo/edit?usp=sharing"",""ตรัง!L500"")+IMPORTRANGE(""https://docs.google.com/spreadsheets/d/1Dj4jcHCTV9JXKCaMoheSXS52JE63kDKyG7bPXnFogHk/edit?usp=shar"&amp;"ing"",""นครศรีธรรมราช!L500"")+IMPORTRANGE(""https://docs.google.com/spreadsheets/d/1iodCdmuK2GR3jzUwk8tpccY2JHQQA-87DLOtJP-ooyU/edit?usp=sharing"",""นราธิวาส!L500"")+IMPORTRANGE(""https://docs.google.com/spreadsheets/d/1SDNX3JhDdYRuIOsj0Wh2M-Qa_eaXl0NbWmh"&amp;"AOTbfQAs/edit?usp=sharing"",""ปัตตานี!L500"")+IMPORTRANGE(""https://docs.google.com/spreadsheets/d/16JDLGguT8s5DsGCND1KcwHP_AWR_zDMTqLHPLJUKhaU/edit?usp=sharing"",""พังงา!L500"")+IMPORTRANGE(""https://docs.google.com/spreadsheets/d/17ht0gPKzzT3PObBL1XJkeR"&amp;"mntBXI7wGjpLV7QorqlTk/edit?usp=sharing"",""พัทลุง!L500"")+IMPORTRANGE(""https://docs.google.com/spreadsheets/d/1rd4qoM1q_hsgaolqNGfrim9gbsoLxQsda4-vOz5x_BM/edit?usp=sharing"",""ภูเก็ต!L500"")+IMPORTRANGE(""https://docs.google.com/spreadsheets/d/1woKwKjgoL"&amp;"ssDvPcPeVyezB5izizAn4X1JDrys69n6xI/edit?usp=sharing"",""ยะลา!L500"")+IMPORTRANGE(""https://docs.google.com/spreadsheets/d/1qfrKjzMhm2HJfxQ-qVlJlJQ25Hne1d0khsySbZyGtPA/edit?usp=sharing"",""ระนอง!L500"")+IMPORTRANGE(""https://docs.google.com/spreadsheets/d/"&amp;"1IbSCnFOKpZsnFogBHJnL_isstZVaOMnFiIN0fGTPZZw/edit?usp=sharing"",""สงขลา!L500"")+IMPORTRANGE(""https://docs.google.com/spreadsheets/d/1q9nWasZJ-K8bFGvbE9n0qSRuKGA4Toe3Y89cKCiVtCU/edit?usp=sharing"",""สตูล!L500"")+IMPORTRANGE(""https://docs.google.com/sprea"&amp;"dsheets/d/18T20gbkS_WBjdscyTOV05cvq_JqvqQ17C81mpxf7Ncs/edit?usp=sharing"",""สุราษฎร์ธานี!L500"")"),0)</f>
        <v>0</v>
      </c>
      <c r="M500" s="49">
        <f ca="1">IFERROR(__xludf.DUMMYFUNCTION("IMPORTRANGE(""https://docs.google.com/spreadsheets/d/1kKUcYdkIfrgTSj8iHHHB2MD2FAtwyyocFgqGQn6ADyI/edit?usp=sharing"",""กระบี่!M500"")+IMPORTRANGE(""https://docs.google.com/spreadsheets/d/1GwtLaSlNZkLk7iDqcyZz22giiy40b_usZZBXYciEN1U/edit?usp=sharing"",""ชุ"&amp;"มพร!M500"")+IMPORTRANGE(""https://docs.google.com/spreadsheets/d/16pAz3pOhQEZBhvFNMa5KGgZS6iKWpsKX0pg6tQmwFpo/edit?usp=sharing"",""ตรัง!M500"")+IMPORTRANGE(""https://docs.google.com/spreadsheets/d/1Dj4jcHCTV9JXKCaMoheSXS52JE63kDKyG7bPXnFogHk/edit?usp=shar"&amp;"ing"",""นครศรีธรรมราช!M500"")+IMPORTRANGE(""https://docs.google.com/spreadsheets/d/1iodCdmuK2GR3jzUwk8tpccY2JHQQA-87DLOtJP-ooyU/edit?usp=sharing"",""นราธิวาส!M500"")+IMPORTRANGE(""https://docs.google.com/spreadsheets/d/1SDNX3JhDdYRuIOsj0Wh2M-Qa_eaXl0NbWmh"&amp;"AOTbfQAs/edit?usp=sharing"",""ปัตตานี!M500"")+IMPORTRANGE(""https://docs.google.com/spreadsheets/d/16JDLGguT8s5DsGCND1KcwHP_AWR_zDMTqLHPLJUKhaU/edit?usp=sharing"",""พังงา!M500"")+IMPORTRANGE(""https://docs.google.com/spreadsheets/d/17ht0gPKzzT3PObBL1XJkeR"&amp;"mntBXI7wGjpLV7QorqlTk/edit?usp=sharing"",""พัทลุง!M500"")+IMPORTRANGE(""https://docs.google.com/spreadsheets/d/1rd4qoM1q_hsgaolqNGfrim9gbsoLxQsda4-vOz5x_BM/edit?usp=sharing"",""ภูเก็ต!M500"")+IMPORTRANGE(""https://docs.google.com/spreadsheets/d/1woKwKjgoL"&amp;"ssDvPcPeVyezB5izizAn4X1JDrys69n6xI/edit?usp=sharing"",""ยะลา!M500"")+IMPORTRANGE(""https://docs.google.com/spreadsheets/d/1qfrKjzMhm2HJfxQ-qVlJlJQ25Hne1d0khsySbZyGtPA/edit?usp=sharing"",""ระนอง!M500"")+IMPORTRANGE(""https://docs.google.com/spreadsheets/d/"&amp;"1IbSCnFOKpZsnFogBHJnL_isstZVaOMnFiIN0fGTPZZw/edit?usp=sharing"",""สงขลา!M500"")+IMPORTRANGE(""https://docs.google.com/spreadsheets/d/1q9nWasZJ-K8bFGvbE9n0qSRuKGA4Toe3Y89cKCiVtCU/edit?usp=sharing"",""สตูล!M500"")+IMPORTRANGE(""https://docs.google.com/sprea"&amp;"dsheets/d/18T20gbkS_WBjdscyTOV05cvq_JqvqQ17C81mpxf7Ncs/edit?usp=sharing"",""สุราษฎร์ธานี!M500"")"),0)</f>
        <v>0</v>
      </c>
      <c r="N500" s="49">
        <f ca="1">IFERROR(__xludf.DUMMYFUNCTION("IMPORTRANGE(""https://docs.google.com/spreadsheets/d/1kKUcYdkIfrgTSj8iHHHB2MD2FAtwyyocFgqGQn6ADyI/edit?usp=sharing"",""กระบี่!N500"")+IMPORTRANGE(""https://docs.google.com/spreadsheets/d/1GwtLaSlNZkLk7iDqcyZz22giiy40b_usZZBXYciEN1U/edit?usp=sharing"",""ชุ"&amp;"มพร!N500"")+IMPORTRANGE(""https://docs.google.com/spreadsheets/d/16pAz3pOhQEZBhvFNMa5KGgZS6iKWpsKX0pg6tQmwFpo/edit?usp=sharing"",""ตรัง!N500"")+IMPORTRANGE(""https://docs.google.com/spreadsheets/d/1Dj4jcHCTV9JXKCaMoheSXS52JE63kDKyG7bPXnFogHk/edit?usp=shar"&amp;"ing"",""นครศรีธรรมราช!N500"")+IMPORTRANGE(""https://docs.google.com/spreadsheets/d/1iodCdmuK2GR3jzUwk8tpccY2JHQQA-87DLOtJP-ooyU/edit?usp=sharing"",""นราธิวาส!N500"")+IMPORTRANGE(""https://docs.google.com/spreadsheets/d/1SDNX3JhDdYRuIOsj0Wh2M-Qa_eaXl0NbWmh"&amp;"AOTbfQAs/edit?usp=sharing"",""ปัตตานี!N500"")+IMPORTRANGE(""https://docs.google.com/spreadsheets/d/16JDLGguT8s5DsGCND1KcwHP_AWR_zDMTqLHPLJUKhaU/edit?usp=sharing"",""พังงา!N500"")+IMPORTRANGE(""https://docs.google.com/spreadsheets/d/17ht0gPKzzT3PObBL1XJkeR"&amp;"mntBXI7wGjpLV7QorqlTk/edit?usp=sharing"",""พัทลุง!N500"")+IMPORTRANGE(""https://docs.google.com/spreadsheets/d/1rd4qoM1q_hsgaolqNGfrim9gbsoLxQsda4-vOz5x_BM/edit?usp=sharing"",""ภูเก็ต!N500"")+IMPORTRANGE(""https://docs.google.com/spreadsheets/d/1woKwKjgoL"&amp;"ssDvPcPeVyezB5izizAn4X1JDrys69n6xI/edit?usp=sharing"",""ยะลา!N500"")+IMPORTRANGE(""https://docs.google.com/spreadsheets/d/1qfrKjzMhm2HJfxQ-qVlJlJQ25Hne1d0khsySbZyGtPA/edit?usp=sharing"",""ระนอง!N500"")+IMPORTRANGE(""https://docs.google.com/spreadsheets/d/"&amp;"1IbSCnFOKpZsnFogBHJnL_isstZVaOMnFiIN0fGTPZZw/edit?usp=sharing"",""สงขลา!N500"")+IMPORTRANGE(""https://docs.google.com/spreadsheets/d/1q9nWasZJ-K8bFGvbE9n0qSRuKGA4Toe3Y89cKCiVtCU/edit?usp=sharing"",""สตูล!N500"")+IMPORTRANGE(""https://docs.google.com/sprea"&amp;"dsheets/d/18T20gbkS_WBjdscyTOV05cvq_JqvqQ17C81mpxf7Ncs/edit?usp=sharing"",""สุราษฎร์ธานี!N500"")"),0)</f>
        <v>0</v>
      </c>
      <c r="O500" s="49">
        <f t="shared" ca="1" si="347"/>
        <v>0</v>
      </c>
      <c r="P500" s="49">
        <f t="shared" ca="1" si="348"/>
        <v>0</v>
      </c>
      <c r="Q500" s="49">
        <f ca="1">IFERROR(__xludf.DUMMYFUNCTION("IMPORTRANGE(""https://docs.google.com/spreadsheets/d/1kKUcYdkIfrgTSj8iHHHB2MD2FAtwyyocFgqGQn6ADyI/edit?usp=sharing"",""กระบี่!Q500"")+IMPORTRANGE(""https://docs.google.com/spreadsheets/d/1GwtLaSlNZkLk7iDqcyZz22giiy40b_usZZBXYciEN1U/edit?usp=sharing"",""ชุ"&amp;"มพร!Q500"")+IMPORTRANGE(""https://docs.google.com/spreadsheets/d/16pAz3pOhQEZBhvFNMa5KGgZS6iKWpsKX0pg6tQmwFpo/edit?usp=sharing"",""ตรัง!Q500"")+IMPORTRANGE(""https://docs.google.com/spreadsheets/d/1Dj4jcHCTV9JXKCaMoheSXS52JE63kDKyG7bPXnFogHk/edit?usp=shar"&amp;"ing"",""นครศรีธรรมราช!Q500"")+IMPORTRANGE(""https://docs.google.com/spreadsheets/d/1iodCdmuK2GR3jzUwk8tpccY2JHQQA-87DLOtJP-ooyU/edit?usp=sharing"",""นราธิวาส!Q500"")+IMPORTRANGE(""https://docs.google.com/spreadsheets/d/1SDNX3JhDdYRuIOsj0Wh2M-Qa_eaXl0NbWmh"&amp;"AOTbfQAs/edit?usp=sharing"",""ปัตตานี!Q500"")+IMPORTRANGE(""https://docs.google.com/spreadsheets/d/16JDLGguT8s5DsGCND1KcwHP_AWR_zDMTqLHPLJUKhaU/edit?usp=sharing"",""พังงา!Q500"")+IMPORTRANGE(""https://docs.google.com/spreadsheets/d/17ht0gPKzzT3PObBL1XJkeR"&amp;"mntBXI7wGjpLV7QorqlTk/edit?usp=sharing"",""พัทลุง!Q500"")+IMPORTRANGE(""https://docs.google.com/spreadsheets/d/1rd4qoM1q_hsgaolqNGfrim9gbsoLxQsda4-vOz5x_BM/edit?usp=sharing"",""ภูเก็ต!Q500"")+IMPORTRANGE(""https://docs.google.com/spreadsheets/d/1woKwKjgoL"&amp;"ssDvPcPeVyezB5izizAn4X1JDrys69n6xI/edit?usp=sharing"",""ยะลา!Q500"")+IMPORTRANGE(""https://docs.google.com/spreadsheets/d/1qfrKjzMhm2HJfxQ-qVlJlJQ25Hne1d0khsySbZyGtPA/edit?usp=sharing"",""ระนอง!Q500"")+IMPORTRANGE(""https://docs.google.com/spreadsheets/d/"&amp;"1IbSCnFOKpZsnFogBHJnL_isstZVaOMnFiIN0fGTPZZw/edit?usp=sharing"",""สงขลา!Q500"")+IMPORTRANGE(""https://docs.google.com/spreadsheets/d/1q9nWasZJ-K8bFGvbE9n0qSRuKGA4Toe3Y89cKCiVtCU/edit?usp=sharing"",""สตูล!Q500"")+IMPORTRANGE(""https://docs.google.com/sprea"&amp;"dsheets/d/18T20gbkS_WBjdscyTOV05cvq_JqvqQ17C81mpxf7Ncs/edit?usp=sharing"",""สุราษฎร์ธานี!Q500"")"),0)</f>
        <v>0</v>
      </c>
      <c r="R500" s="49">
        <f ca="1">IFERROR(__xludf.DUMMYFUNCTION("IMPORTRANGE(""https://docs.google.com/spreadsheets/d/1kKUcYdkIfrgTSj8iHHHB2MD2FAtwyyocFgqGQn6ADyI/edit?usp=sharing"",""กระบี่!R500"")+IMPORTRANGE(""https://docs.google.com/spreadsheets/d/1GwtLaSlNZkLk7iDqcyZz22giiy40b_usZZBXYciEN1U/edit?usp=sharing"",""ชุ"&amp;"มพร!R500"")+IMPORTRANGE(""https://docs.google.com/spreadsheets/d/16pAz3pOhQEZBhvFNMa5KGgZS6iKWpsKX0pg6tQmwFpo/edit?usp=sharing"",""ตรัง!R500"")+IMPORTRANGE(""https://docs.google.com/spreadsheets/d/1Dj4jcHCTV9JXKCaMoheSXS52JE63kDKyG7bPXnFogHk/edit?usp=shar"&amp;"ing"",""นครศรีธรรมราช!R500"")+IMPORTRANGE(""https://docs.google.com/spreadsheets/d/1iodCdmuK2GR3jzUwk8tpccY2JHQQA-87DLOtJP-ooyU/edit?usp=sharing"",""นราธิวาส!R500"")+IMPORTRANGE(""https://docs.google.com/spreadsheets/d/1SDNX3JhDdYRuIOsj0Wh2M-Qa_eaXl0NbWmh"&amp;"AOTbfQAs/edit?usp=sharing"",""ปัตตานี!R500"")+IMPORTRANGE(""https://docs.google.com/spreadsheets/d/16JDLGguT8s5DsGCND1KcwHP_AWR_zDMTqLHPLJUKhaU/edit?usp=sharing"",""พังงา!R500"")+IMPORTRANGE(""https://docs.google.com/spreadsheets/d/17ht0gPKzzT3PObBL1XJkeR"&amp;"mntBXI7wGjpLV7QorqlTk/edit?usp=sharing"",""พัทลุง!R500"")+IMPORTRANGE(""https://docs.google.com/spreadsheets/d/1rd4qoM1q_hsgaolqNGfrim9gbsoLxQsda4-vOz5x_BM/edit?usp=sharing"",""ภูเก็ต!R500"")+IMPORTRANGE(""https://docs.google.com/spreadsheets/d/1woKwKjgoL"&amp;"ssDvPcPeVyezB5izizAn4X1JDrys69n6xI/edit?usp=sharing"",""ยะลา!R500"")+IMPORTRANGE(""https://docs.google.com/spreadsheets/d/1qfrKjzMhm2HJfxQ-qVlJlJQ25Hne1d0khsySbZyGtPA/edit?usp=sharing"",""ระนอง!R500"")+IMPORTRANGE(""https://docs.google.com/spreadsheets/d/"&amp;"1IbSCnFOKpZsnFogBHJnL_isstZVaOMnFiIN0fGTPZZw/edit?usp=sharing"",""สงขลา!R500"")+IMPORTRANGE(""https://docs.google.com/spreadsheets/d/1q9nWasZJ-K8bFGvbE9n0qSRuKGA4Toe3Y89cKCiVtCU/edit?usp=sharing"",""สตูล!R500"")+IMPORTRANGE(""https://docs.google.com/sprea"&amp;"dsheets/d/18T20gbkS_WBjdscyTOV05cvq_JqvqQ17C81mpxf7Ncs/edit?usp=sharing"",""สุราษฎร์ธานี!R500"")"),0)</f>
        <v>0</v>
      </c>
      <c r="S500" s="49">
        <f ca="1">IFERROR(__xludf.DUMMYFUNCTION("IMPORTRANGE(""https://docs.google.com/spreadsheets/d/1kKUcYdkIfrgTSj8iHHHB2MD2FAtwyyocFgqGQn6ADyI/edit?usp=sharing"",""กระบี่!S500"")+IMPORTRANGE(""https://docs.google.com/spreadsheets/d/1GwtLaSlNZkLk7iDqcyZz22giiy40b_usZZBXYciEN1U/edit?usp=sharing"",""ชุ"&amp;"มพร!S500"")+IMPORTRANGE(""https://docs.google.com/spreadsheets/d/16pAz3pOhQEZBhvFNMa5KGgZS6iKWpsKX0pg6tQmwFpo/edit?usp=sharing"",""ตรัง!S500"")+IMPORTRANGE(""https://docs.google.com/spreadsheets/d/1Dj4jcHCTV9JXKCaMoheSXS52JE63kDKyG7bPXnFogHk/edit?usp=shar"&amp;"ing"",""นครศรีธรรมราช!S500"")+IMPORTRANGE(""https://docs.google.com/spreadsheets/d/1iodCdmuK2GR3jzUwk8tpccY2JHQQA-87DLOtJP-ooyU/edit?usp=sharing"",""นราธิวาส!S500"")+IMPORTRANGE(""https://docs.google.com/spreadsheets/d/1SDNX3JhDdYRuIOsj0Wh2M-Qa_eaXl0NbWmh"&amp;"AOTbfQAs/edit?usp=sharing"",""ปัตตานี!S500"")+IMPORTRANGE(""https://docs.google.com/spreadsheets/d/16JDLGguT8s5DsGCND1KcwHP_AWR_zDMTqLHPLJUKhaU/edit?usp=sharing"",""พังงา!S500"")+IMPORTRANGE(""https://docs.google.com/spreadsheets/d/17ht0gPKzzT3PObBL1XJkeR"&amp;"mntBXI7wGjpLV7QorqlTk/edit?usp=sharing"",""พัทลุง!S500"")+IMPORTRANGE(""https://docs.google.com/spreadsheets/d/1rd4qoM1q_hsgaolqNGfrim9gbsoLxQsda4-vOz5x_BM/edit?usp=sharing"",""ภูเก็ต!S500"")+IMPORTRANGE(""https://docs.google.com/spreadsheets/d/1woKwKjgoL"&amp;"ssDvPcPeVyezB5izizAn4X1JDrys69n6xI/edit?usp=sharing"",""ยะลา!S500"")+IMPORTRANGE(""https://docs.google.com/spreadsheets/d/1qfrKjzMhm2HJfxQ-qVlJlJQ25Hne1d0khsySbZyGtPA/edit?usp=sharing"",""ระนอง!S500"")+IMPORTRANGE(""https://docs.google.com/spreadsheets/d/"&amp;"1IbSCnFOKpZsnFogBHJnL_isstZVaOMnFiIN0fGTPZZw/edit?usp=sharing"",""สงขลา!S500"")+IMPORTRANGE(""https://docs.google.com/spreadsheets/d/1q9nWasZJ-K8bFGvbE9n0qSRuKGA4Toe3Y89cKCiVtCU/edit?usp=sharing"",""สตูล!S500"")+IMPORTRANGE(""https://docs.google.com/sprea"&amp;"dsheets/d/18T20gbkS_WBjdscyTOV05cvq_JqvqQ17C81mpxf7Ncs/edit?usp=sharing"",""สุราษฎร์ธานี!S500"")"),0)</f>
        <v>0</v>
      </c>
      <c r="T500" s="49">
        <f t="shared" ca="1" si="350"/>
        <v>0</v>
      </c>
      <c r="U500" s="49">
        <f t="shared" ca="1" si="351"/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7">
        <f ca="1">IFERROR(__xludf.DUMMYFUNCTION("IMPORTRANGE(""https://docs.google.com/spreadsheets/d/1kKUcYdkIfrgTSj8iHHHB2MD2FAtwyyocFgqGQn6ADyI/edit?usp=sharing"",""กระบี่!L501"")+IMPORTRANGE(""https://docs.google.com/spreadsheets/d/1GwtLaSlNZkLk7iDqcyZz22giiy40b_usZZBXYciEN1U/edit?usp=sharing"",""ชุ"&amp;"มพร!L501"")+IMPORTRANGE(""https://docs.google.com/spreadsheets/d/16pAz3pOhQEZBhvFNMa5KGgZS6iKWpsKX0pg6tQmwFpo/edit?usp=sharing"",""ตรัง!L501"")+IMPORTRANGE(""https://docs.google.com/spreadsheets/d/1Dj4jcHCTV9JXKCaMoheSXS52JE63kDKyG7bPXnFogHk/edit?usp=shar"&amp;"ing"",""นครศรีธรรมราช!L501"")+IMPORTRANGE(""https://docs.google.com/spreadsheets/d/1iodCdmuK2GR3jzUwk8tpccY2JHQQA-87DLOtJP-ooyU/edit?usp=sharing"",""นราธิวาส!L501"")+IMPORTRANGE(""https://docs.google.com/spreadsheets/d/1SDNX3JhDdYRuIOsj0Wh2M-Qa_eaXl0NbWmh"&amp;"AOTbfQAs/edit?usp=sharing"",""ปัตตานี!L501"")+IMPORTRANGE(""https://docs.google.com/spreadsheets/d/16JDLGguT8s5DsGCND1KcwHP_AWR_zDMTqLHPLJUKhaU/edit?usp=sharing"",""พังงา!L501"")+IMPORTRANGE(""https://docs.google.com/spreadsheets/d/17ht0gPKzzT3PObBL1XJkeR"&amp;"mntBXI7wGjpLV7QorqlTk/edit?usp=sharing"",""พัทลุง!L501"")+IMPORTRANGE(""https://docs.google.com/spreadsheets/d/1rd4qoM1q_hsgaolqNGfrim9gbsoLxQsda4-vOz5x_BM/edit?usp=sharing"",""ภูเก็ต!L501"")+IMPORTRANGE(""https://docs.google.com/spreadsheets/d/1woKwKjgoL"&amp;"ssDvPcPeVyezB5izizAn4X1JDrys69n6xI/edit?usp=sharing"",""ยะลา!L501"")+IMPORTRANGE(""https://docs.google.com/spreadsheets/d/1qfrKjzMhm2HJfxQ-qVlJlJQ25Hne1d0khsySbZyGtPA/edit?usp=sharing"",""ระนอง!L501"")+IMPORTRANGE(""https://docs.google.com/spreadsheets/d/"&amp;"1IbSCnFOKpZsnFogBHJnL_isstZVaOMnFiIN0fGTPZZw/edit?usp=sharing"",""สงขลา!L501"")+IMPORTRANGE(""https://docs.google.com/spreadsheets/d/1q9nWasZJ-K8bFGvbE9n0qSRuKGA4Toe3Y89cKCiVtCU/edit?usp=sharing"",""สตูล!L501"")+IMPORTRANGE(""https://docs.google.com/sprea"&amp;"dsheets/d/18T20gbkS_WBjdscyTOV05cvq_JqvqQ17C81mpxf7Ncs/edit?usp=sharing"",""สุราษฎร์ธานี!L501"")"),0)</f>
        <v>0</v>
      </c>
      <c r="M501" s="47">
        <f ca="1">IFERROR(__xludf.DUMMYFUNCTION("IMPORTRANGE(""https://docs.google.com/spreadsheets/d/1kKUcYdkIfrgTSj8iHHHB2MD2FAtwyyocFgqGQn6ADyI/edit?usp=sharing"",""กระบี่!M501"")+IMPORTRANGE(""https://docs.google.com/spreadsheets/d/1GwtLaSlNZkLk7iDqcyZz22giiy40b_usZZBXYciEN1U/edit?usp=sharing"",""ชุ"&amp;"มพร!M501"")+IMPORTRANGE(""https://docs.google.com/spreadsheets/d/16pAz3pOhQEZBhvFNMa5KGgZS6iKWpsKX0pg6tQmwFpo/edit?usp=sharing"",""ตรัง!M501"")+IMPORTRANGE(""https://docs.google.com/spreadsheets/d/1Dj4jcHCTV9JXKCaMoheSXS52JE63kDKyG7bPXnFogHk/edit?usp=shar"&amp;"ing"",""นครศรีธรรมราช!M501"")+IMPORTRANGE(""https://docs.google.com/spreadsheets/d/1iodCdmuK2GR3jzUwk8tpccY2JHQQA-87DLOtJP-ooyU/edit?usp=sharing"",""นราธิวาส!M501"")+IMPORTRANGE(""https://docs.google.com/spreadsheets/d/1SDNX3JhDdYRuIOsj0Wh2M-Qa_eaXl0NbWmh"&amp;"AOTbfQAs/edit?usp=sharing"",""ปัตตานี!M501"")+IMPORTRANGE(""https://docs.google.com/spreadsheets/d/16JDLGguT8s5DsGCND1KcwHP_AWR_zDMTqLHPLJUKhaU/edit?usp=sharing"",""พังงา!M501"")+IMPORTRANGE(""https://docs.google.com/spreadsheets/d/17ht0gPKzzT3PObBL1XJkeR"&amp;"mntBXI7wGjpLV7QorqlTk/edit?usp=sharing"",""พัทลุง!M501"")+IMPORTRANGE(""https://docs.google.com/spreadsheets/d/1rd4qoM1q_hsgaolqNGfrim9gbsoLxQsda4-vOz5x_BM/edit?usp=sharing"",""ภูเก็ต!M501"")+IMPORTRANGE(""https://docs.google.com/spreadsheets/d/1woKwKjgoL"&amp;"ssDvPcPeVyezB5izizAn4X1JDrys69n6xI/edit?usp=sharing"",""ยะลา!M501"")+IMPORTRANGE(""https://docs.google.com/spreadsheets/d/1qfrKjzMhm2HJfxQ-qVlJlJQ25Hne1d0khsySbZyGtPA/edit?usp=sharing"",""ระนอง!M501"")+IMPORTRANGE(""https://docs.google.com/spreadsheets/d/"&amp;"1IbSCnFOKpZsnFogBHJnL_isstZVaOMnFiIN0fGTPZZw/edit?usp=sharing"",""สงขลา!M501"")+IMPORTRANGE(""https://docs.google.com/spreadsheets/d/1q9nWasZJ-K8bFGvbE9n0qSRuKGA4Toe3Y89cKCiVtCU/edit?usp=sharing"",""สตูล!M501"")+IMPORTRANGE(""https://docs.google.com/sprea"&amp;"dsheets/d/18T20gbkS_WBjdscyTOV05cvq_JqvqQ17C81mpxf7Ncs/edit?usp=sharing"",""สุราษฎร์ธานี!M501"")"),0)</f>
        <v>0</v>
      </c>
      <c r="N501" s="47">
        <f ca="1">IFERROR(__xludf.DUMMYFUNCTION("IMPORTRANGE(""https://docs.google.com/spreadsheets/d/1kKUcYdkIfrgTSj8iHHHB2MD2FAtwyyocFgqGQn6ADyI/edit?usp=sharing"",""กระบี่!N501"")+IMPORTRANGE(""https://docs.google.com/spreadsheets/d/1GwtLaSlNZkLk7iDqcyZz22giiy40b_usZZBXYciEN1U/edit?usp=sharing"",""ชุ"&amp;"มพร!N501"")+IMPORTRANGE(""https://docs.google.com/spreadsheets/d/16pAz3pOhQEZBhvFNMa5KGgZS6iKWpsKX0pg6tQmwFpo/edit?usp=sharing"",""ตรัง!N501"")+IMPORTRANGE(""https://docs.google.com/spreadsheets/d/1Dj4jcHCTV9JXKCaMoheSXS52JE63kDKyG7bPXnFogHk/edit?usp=shar"&amp;"ing"",""นครศรีธรรมราช!N501"")+IMPORTRANGE(""https://docs.google.com/spreadsheets/d/1iodCdmuK2GR3jzUwk8tpccY2JHQQA-87DLOtJP-ooyU/edit?usp=sharing"",""นราธิวาส!N501"")+IMPORTRANGE(""https://docs.google.com/spreadsheets/d/1SDNX3JhDdYRuIOsj0Wh2M-Qa_eaXl0NbWmh"&amp;"AOTbfQAs/edit?usp=sharing"",""ปัตตานี!N501"")+IMPORTRANGE(""https://docs.google.com/spreadsheets/d/16JDLGguT8s5DsGCND1KcwHP_AWR_zDMTqLHPLJUKhaU/edit?usp=sharing"",""พังงา!N501"")+IMPORTRANGE(""https://docs.google.com/spreadsheets/d/17ht0gPKzzT3PObBL1XJkeR"&amp;"mntBXI7wGjpLV7QorqlTk/edit?usp=sharing"",""พัทลุง!N501"")+IMPORTRANGE(""https://docs.google.com/spreadsheets/d/1rd4qoM1q_hsgaolqNGfrim9gbsoLxQsda4-vOz5x_BM/edit?usp=sharing"",""ภูเก็ต!N501"")+IMPORTRANGE(""https://docs.google.com/spreadsheets/d/1woKwKjgoL"&amp;"ssDvPcPeVyezB5izizAn4X1JDrys69n6xI/edit?usp=sharing"",""ยะลา!N501"")+IMPORTRANGE(""https://docs.google.com/spreadsheets/d/1qfrKjzMhm2HJfxQ-qVlJlJQ25Hne1d0khsySbZyGtPA/edit?usp=sharing"",""ระนอง!N501"")+IMPORTRANGE(""https://docs.google.com/spreadsheets/d/"&amp;"1IbSCnFOKpZsnFogBHJnL_isstZVaOMnFiIN0fGTPZZw/edit?usp=sharing"",""สงขลา!N501"")+IMPORTRANGE(""https://docs.google.com/spreadsheets/d/1q9nWasZJ-K8bFGvbE9n0qSRuKGA4Toe3Y89cKCiVtCU/edit?usp=sharing"",""สตูล!N501"")+IMPORTRANGE(""https://docs.google.com/sprea"&amp;"dsheets/d/18T20gbkS_WBjdscyTOV05cvq_JqvqQ17C81mpxf7Ncs/edit?usp=sharing"",""สุราษฎร์ธานี!N501"")"),0)</f>
        <v>0</v>
      </c>
      <c r="O501" s="47">
        <f t="shared" ca="1" si="347"/>
        <v>0</v>
      </c>
      <c r="P501" s="47">
        <f t="shared" ca="1" si="348"/>
        <v>0</v>
      </c>
      <c r="Q501" s="47">
        <f ca="1">IFERROR(__xludf.DUMMYFUNCTION("IMPORTRANGE(""https://docs.google.com/spreadsheets/d/1kKUcYdkIfrgTSj8iHHHB2MD2FAtwyyocFgqGQn6ADyI/edit?usp=sharing"",""กระบี่!Q501"")+IMPORTRANGE(""https://docs.google.com/spreadsheets/d/1GwtLaSlNZkLk7iDqcyZz22giiy40b_usZZBXYciEN1U/edit?usp=sharing"",""ชุ"&amp;"มพร!Q501"")+IMPORTRANGE(""https://docs.google.com/spreadsheets/d/16pAz3pOhQEZBhvFNMa5KGgZS6iKWpsKX0pg6tQmwFpo/edit?usp=sharing"",""ตรัง!Q501"")+IMPORTRANGE(""https://docs.google.com/spreadsheets/d/1Dj4jcHCTV9JXKCaMoheSXS52JE63kDKyG7bPXnFogHk/edit?usp=shar"&amp;"ing"",""นครศรีธรรมราช!Q501"")+IMPORTRANGE(""https://docs.google.com/spreadsheets/d/1iodCdmuK2GR3jzUwk8tpccY2JHQQA-87DLOtJP-ooyU/edit?usp=sharing"",""นราธิวาส!Q501"")+IMPORTRANGE(""https://docs.google.com/spreadsheets/d/1SDNX3JhDdYRuIOsj0Wh2M-Qa_eaXl0NbWmh"&amp;"AOTbfQAs/edit?usp=sharing"",""ปัตตานี!Q501"")+IMPORTRANGE(""https://docs.google.com/spreadsheets/d/16JDLGguT8s5DsGCND1KcwHP_AWR_zDMTqLHPLJUKhaU/edit?usp=sharing"",""พังงา!Q501"")+IMPORTRANGE(""https://docs.google.com/spreadsheets/d/17ht0gPKzzT3PObBL1XJkeR"&amp;"mntBXI7wGjpLV7QorqlTk/edit?usp=sharing"",""พัทลุง!Q501"")+IMPORTRANGE(""https://docs.google.com/spreadsheets/d/1rd4qoM1q_hsgaolqNGfrim9gbsoLxQsda4-vOz5x_BM/edit?usp=sharing"",""ภูเก็ต!Q501"")+IMPORTRANGE(""https://docs.google.com/spreadsheets/d/1woKwKjgoL"&amp;"ssDvPcPeVyezB5izizAn4X1JDrys69n6xI/edit?usp=sharing"",""ยะลา!Q501"")+IMPORTRANGE(""https://docs.google.com/spreadsheets/d/1qfrKjzMhm2HJfxQ-qVlJlJQ25Hne1d0khsySbZyGtPA/edit?usp=sharing"",""ระนอง!Q501"")+IMPORTRANGE(""https://docs.google.com/spreadsheets/d/"&amp;"1IbSCnFOKpZsnFogBHJnL_isstZVaOMnFiIN0fGTPZZw/edit?usp=sharing"",""สงขลา!Q501"")+IMPORTRANGE(""https://docs.google.com/spreadsheets/d/1q9nWasZJ-K8bFGvbE9n0qSRuKGA4Toe3Y89cKCiVtCU/edit?usp=sharing"",""สตูล!Q501"")+IMPORTRANGE(""https://docs.google.com/sprea"&amp;"dsheets/d/18T20gbkS_WBjdscyTOV05cvq_JqvqQ17C81mpxf7Ncs/edit?usp=sharing"",""สุราษฎร์ธานี!Q501"")"),0)</f>
        <v>0</v>
      </c>
      <c r="R501" s="47">
        <f ca="1">IFERROR(__xludf.DUMMYFUNCTION("IMPORTRANGE(""https://docs.google.com/spreadsheets/d/1kKUcYdkIfrgTSj8iHHHB2MD2FAtwyyocFgqGQn6ADyI/edit?usp=sharing"",""กระบี่!R501"")+IMPORTRANGE(""https://docs.google.com/spreadsheets/d/1GwtLaSlNZkLk7iDqcyZz22giiy40b_usZZBXYciEN1U/edit?usp=sharing"",""ชุ"&amp;"มพร!R501"")+IMPORTRANGE(""https://docs.google.com/spreadsheets/d/16pAz3pOhQEZBhvFNMa5KGgZS6iKWpsKX0pg6tQmwFpo/edit?usp=sharing"",""ตรัง!R501"")+IMPORTRANGE(""https://docs.google.com/spreadsheets/d/1Dj4jcHCTV9JXKCaMoheSXS52JE63kDKyG7bPXnFogHk/edit?usp=shar"&amp;"ing"",""นครศรีธรรมราช!R501"")+IMPORTRANGE(""https://docs.google.com/spreadsheets/d/1iodCdmuK2GR3jzUwk8tpccY2JHQQA-87DLOtJP-ooyU/edit?usp=sharing"",""นราธิวาส!R501"")+IMPORTRANGE(""https://docs.google.com/spreadsheets/d/1SDNX3JhDdYRuIOsj0Wh2M-Qa_eaXl0NbWmh"&amp;"AOTbfQAs/edit?usp=sharing"",""ปัตตานี!R501"")+IMPORTRANGE(""https://docs.google.com/spreadsheets/d/16JDLGguT8s5DsGCND1KcwHP_AWR_zDMTqLHPLJUKhaU/edit?usp=sharing"",""พังงา!R501"")+IMPORTRANGE(""https://docs.google.com/spreadsheets/d/17ht0gPKzzT3PObBL1XJkeR"&amp;"mntBXI7wGjpLV7QorqlTk/edit?usp=sharing"",""พัทลุง!R501"")+IMPORTRANGE(""https://docs.google.com/spreadsheets/d/1rd4qoM1q_hsgaolqNGfrim9gbsoLxQsda4-vOz5x_BM/edit?usp=sharing"",""ภูเก็ต!R501"")+IMPORTRANGE(""https://docs.google.com/spreadsheets/d/1woKwKjgoL"&amp;"ssDvPcPeVyezB5izizAn4X1JDrys69n6xI/edit?usp=sharing"",""ยะลา!R501"")+IMPORTRANGE(""https://docs.google.com/spreadsheets/d/1qfrKjzMhm2HJfxQ-qVlJlJQ25Hne1d0khsySbZyGtPA/edit?usp=sharing"",""ระนอง!R501"")+IMPORTRANGE(""https://docs.google.com/spreadsheets/d/"&amp;"1IbSCnFOKpZsnFogBHJnL_isstZVaOMnFiIN0fGTPZZw/edit?usp=sharing"",""สงขลา!R501"")+IMPORTRANGE(""https://docs.google.com/spreadsheets/d/1q9nWasZJ-K8bFGvbE9n0qSRuKGA4Toe3Y89cKCiVtCU/edit?usp=sharing"",""สตูล!R501"")+IMPORTRANGE(""https://docs.google.com/sprea"&amp;"dsheets/d/18T20gbkS_WBjdscyTOV05cvq_JqvqQ17C81mpxf7Ncs/edit?usp=sharing"",""สุราษฎร์ธานี!R501"")"),0)</f>
        <v>0</v>
      </c>
      <c r="S501" s="47">
        <f ca="1">IFERROR(__xludf.DUMMYFUNCTION("IMPORTRANGE(""https://docs.google.com/spreadsheets/d/1kKUcYdkIfrgTSj8iHHHB2MD2FAtwyyocFgqGQn6ADyI/edit?usp=sharing"",""กระบี่!S501"")+IMPORTRANGE(""https://docs.google.com/spreadsheets/d/1GwtLaSlNZkLk7iDqcyZz22giiy40b_usZZBXYciEN1U/edit?usp=sharing"",""ชุ"&amp;"มพร!S501"")+IMPORTRANGE(""https://docs.google.com/spreadsheets/d/16pAz3pOhQEZBhvFNMa5KGgZS6iKWpsKX0pg6tQmwFpo/edit?usp=sharing"",""ตรัง!S501"")+IMPORTRANGE(""https://docs.google.com/spreadsheets/d/1Dj4jcHCTV9JXKCaMoheSXS52JE63kDKyG7bPXnFogHk/edit?usp=shar"&amp;"ing"",""นครศรีธรรมราช!S501"")+IMPORTRANGE(""https://docs.google.com/spreadsheets/d/1iodCdmuK2GR3jzUwk8tpccY2JHQQA-87DLOtJP-ooyU/edit?usp=sharing"",""นราธิวาส!S501"")+IMPORTRANGE(""https://docs.google.com/spreadsheets/d/1SDNX3JhDdYRuIOsj0Wh2M-Qa_eaXl0NbWmh"&amp;"AOTbfQAs/edit?usp=sharing"",""ปัตตานี!S501"")+IMPORTRANGE(""https://docs.google.com/spreadsheets/d/16JDLGguT8s5DsGCND1KcwHP_AWR_zDMTqLHPLJUKhaU/edit?usp=sharing"",""พังงา!S501"")+IMPORTRANGE(""https://docs.google.com/spreadsheets/d/17ht0gPKzzT3PObBL1XJkeR"&amp;"mntBXI7wGjpLV7QorqlTk/edit?usp=sharing"",""พัทลุง!S501"")+IMPORTRANGE(""https://docs.google.com/spreadsheets/d/1rd4qoM1q_hsgaolqNGfrim9gbsoLxQsda4-vOz5x_BM/edit?usp=sharing"",""ภูเก็ต!S501"")+IMPORTRANGE(""https://docs.google.com/spreadsheets/d/1woKwKjgoL"&amp;"ssDvPcPeVyezB5izizAn4X1JDrys69n6xI/edit?usp=sharing"",""ยะลา!S501"")+IMPORTRANGE(""https://docs.google.com/spreadsheets/d/1qfrKjzMhm2HJfxQ-qVlJlJQ25Hne1d0khsySbZyGtPA/edit?usp=sharing"",""ระนอง!S501"")+IMPORTRANGE(""https://docs.google.com/spreadsheets/d/"&amp;"1IbSCnFOKpZsnFogBHJnL_isstZVaOMnFiIN0fGTPZZw/edit?usp=sharing"",""สงขลา!S501"")+IMPORTRANGE(""https://docs.google.com/spreadsheets/d/1q9nWasZJ-K8bFGvbE9n0qSRuKGA4Toe3Y89cKCiVtCU/edit?usp=sharing"",""สตูล!S501"")+IMPORTRANGE(""https://docs.google.com/sprea"&amp;"dsheets/d/18T20gbkS_WBjdscyTOV05cvq_JqvqQ17C81mpxf7Ncs/edit?usp=sharing"",""สุราษฎร์ธานี!S501"")"),0)</f>
        <v>0</v>
      </c>
      <c r="T501" s="47">
        <f t="shared" ca="1" si="350"/>
        <v>0</v>
      </c>
      <c r="U501" s="47">
        <f t="shared" ca="1" si="351"/>
        <v>0</v>
      </c>
    </row>
    <row r="502" spans="1:21" ht="19.5" x14ac:dyDescent="0.3">
      <c r="A502" s="138"/>
      <c r="B502" s="139"/>
      <c r="C502" s="188" t="s">
        <v>18</v>
      </c>
      <c r="D502" s="325" t="s">
        <v>38</v>
      </c>
      <c r="E502" s="141"/>
      <c r="F502" s="141"/>
      <c r="G502" s="142"/>
      <c r="H502" s="189"/>
      <c r="I502" s="135"/>
      <c r="J502" s="135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52">
        <f ca="1">IFERROR(__xludf.DUMMYFUNCTION("IMPORTRANGE(""https://docs.google.com/spreadsheets/d/1kKUcYdkIfrgTSj8iHHHB2MD2FAtwyyocFgqGQn6ADyI/edit?usp=sharing"",""กระบี่!I503"")+IMPORTRANGE(""https://docs.google.com/spreadsheets/d/1GwtLaSlNZkLk7iDqcyZz22giiy40b_usZZBXYciEN1U/edit?usp=sharing"",""ชุ"&amp;"มพร!I503"")+IMPORTRANGE(""https://docs.google.com/spreadsheets/d/16pAz3pOhQEZBhvFNMa5KGgZS6iKWpsKX0pg6tQmwFpo/edit?usp=sharing"",""ตรัง!I503"")+IMPORTRANGE(""https://docs.google.com/spreadsheets/d/1Dj4jcHCTV9JXKCaMoheSXS52JE63kDKyG7bPXnFogHk/edit?usp=shar"&amp;"ing"",""นครศรีธรรมราช!I503"")+IMPORTRANGE(""https://docs.google.com/spreadsheets/d/1iodCdmuK2GR3jzUwk8tpccY2JHQQA-87DLOtJP-ooyU/edit?usp=sharing"",""นราธิวาส!I503"")+IMPORTRANGE(""https://docs.google.com/spreadsheets/d/1SDNX3JhDdYRuIOsj0Wh2M-Qa_eaXl0NbWmh"&amp;"AOTbfQAs/edit?usp=sharing"",""ปัตตานี!I503"")+IMPORTRANGE(""https://docs.google.com/spreadsheets/d/16JDLGguT8s5DsGCND1KcwHP_AWR_zDMTqLHPLJUKhaU/edit?usp=sharing"",""พังงา!I503"")+IMPORTRANGE(""https://docs.google.com/spreadsheets/d/17ht0gPKzzT3PObBL1XJkeR"&amp;"mntBXI7wGjpLV7QorqlTk/edit?usp=sharing"",""พัทลุง!I503"")+IMPORTRANGE(""https://docs.google.com/spreadsheets/d/1rd4qoM1q_hsgaolqNGfrim9gbsoLxQsda4-vOz5x_BM/edit?usp=sharing"",""ภูเก็ต!I503"")+IMPORTRANGE(""https://docs.google.com/spreadsheets/d/1woKwKjgoL"&amp;"ssDvPcPeVyezB5izizAn4X1JDrys69n6xI/edit?usp=sharing"",""ยะลา!I503"")+IMPORTRANGE(""https://docs.google.com/spreadsheets/d/1qfrKjzMhm2HJfxQ-qVlJlJQ25Hne1d0khsySbZyGtPA/edit?usp=sharing"",""ระนอง!I503"")+IMPORTRANGE(""https://docs.google.com/spreadsheets/d/"&amp;"1IbSCnFOKpZsnFogBHJnL_isstZVaOMnFiIN0fGTPZZw/edit?usp=sharing"",""สงขลา!I503"")+IMPORTRANGE(""https://docs.google.com/spreadsheets/d/1q9nWasZJ-K8bFGvbE9n0qSRuKGA4Toe3Y89cKCiVtCU/edit?usp=sharing"",""สตูล!I503"")+IMPORTRANGE(""https://docs.google.com/sprea"&amp;"dsheets/d/18T20gbkS_WBjdscyTOV05cvq_JqvqQ17C81mpxf7Ncs/edit?usp=sharing"",""สุราษฎร์ธานี!I503"")"),210)</f>
        <v>210</v>
      </c>
      <c r="J503" s="152">
        <f ca="1">IFERROR(__xludf.DUMMYFUNCTION("IMPORTRANGE(""https://docs.google.com/spreadsheets/d/1kKUcYdkIfrgTSj8iHHHB2MD2FAtwyyocFgqGQn6ADyI/edit?usp=sharing"",""กระบี่!J503"")+IMPORTRANGE(""https://docs.google.com/spreadsheets/d/1GwtLaSlNZkLk7iDqcyZz22giiy40b_usZZBXYciEN1U/edit?usp=sharing"",""ชุ"&amp;"มพร!J503"")+IMPORTRANGE(""https://docs.google.com/spreadsheets/d/16pAz3pOhQEZBhvFNMa5KGgZS6iKWpsKX0pg6tQmwFpo/edit?usp=sharing"",""ตรัง!J503"")+IMPORTRANGE(""https://docs.google.com/spreadsheets/d/1Dj4jcHCTV9JXKCaMoheSXS52JE63kDKyG7bPXnFogHk/edit?usp=shar"&amp;"ing"",""นครศรีธรรมราช!J503"")+IMPORTRANGE(""https://docs.google.com/spreadsheets/d/1iodCdmuK2GR3jzUwk8tpccY2JHQQA-87DLOtJP-ooyU/edit?usp=sharing"",""นราธิวาส!J503"")+IMPORTRANGE(""https://docs.google.com/spreadsheets/d/1SDNX3JhDdYRuIOsj0Wh2M-Qa_eaXl0NbWmh"&amp;"AOTbfQAs/edit?usp=sharing"",""ปัตตานี!J503"")+IMPORTRANGE(""https://docs.google.com/spreadsheets/d/16JDLGguT8s5DsGCND1KcwHP_AWR_zDMTqLHPLJUKhaU/edit?usp=sharing"",""พังงา!J503"")+IMPORTRANGE(""https://docs.google.com/spreadsheets/d/17ht0gPKzzT3PObBL1XJkeR"&amp;"mntBXI7wGjpLV7QorqlTk/edit?usp=sharing"",""พัทลุง!J503"")+IMPORTRANGE(""https://docs.google.com/spreadsheets/d/1rd4qoM1q_hsgaolqNGfrim9gbsoLxQsda4-vOz5x_BM/edit?usp=sharing"",""ภูเก็ต!J503"")+IMPORTRANGE(""https://docs.google.com/spreadsheets/d/1woKwKjgoL"&amp;"ssDvPcPeVyezB5izizAn4X1JDrys69n6xI/edit?usp=sharing"",""ยะลา!J503"")+IMPORTRANGE(""https://docs.google.com/spreadsheets/d/1qfrKjzMhm2HJfxQ-qVlJlJQ25Hne1d0khsySbZyGtPA/edit?usp=sharing"",""ระนอง!J503"")+IMPORTRANGE(""https://docs.google.com/spreadsheets/d/"&amp;"1IbSCnFOKpZsnFogBHJnL_isstZVaOMnFiIN0fGTPZZw/edit?usp=sharing"",""สงขลา!J503"")+IMPORTRANGE(""https://docs.google.com/spreadsheets/d/1q9nWasZJ-K8bFGvbE9n0qSRuKGA4Toe3Y89cKCiVtCU/edit?usp=sharing"",""สตูล!J503"")+IMPORTRANGE(""https://docs.google.com/sprea"&amp;"dsheets/d/18T20gbkS_WBjdscyTOV05cvq_JqvqQ17C81mpxf7Ncs/edit?usp=sharing"",""สุราษฎร์ธานี!J503"")"),0)</f>
        <v>0</v>
      </c>
      <c r="K503" s="132">
        <f t="shared" ref="K503:K509" ca="1" si="360">IF(I503&gt;0,J503*100/I503,0)</f>
        <v>0</v>
      </c>
      <c r="L503" s="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kKUcYdkIfrgTSj8iHHHB2MD2FAtwyyocFgqGQn6ADyI/edit?usp=sharing"",""กระบี่!I504"")+IMPORTRANGE(""https://docs.google.com/spreadsheets/d/1GwtLaSlNZkLk7iDqcyZz22giiy40b_usZZBXYciEN1U/edit?usp=sharing"",""ชุ"&amp;"มพร!I504"")+IMPORTRANGE(""https://docs.google.com/spreadsheets/d/16pAz3pOhQEZBhvFNMa5KGgZS6iKWpsKX0pg6tQmwFpo/edit?usp=sharing"",""ตรัง!I504"")+IMPORTRANGE(""https://docs.google.com/spreadsheets/d/1Dj4jcHCTV9JXKCaMoheSXS52JE63kDKyG7bPXnFogHk/edit?usp=shar"&amp;"ing"",""นครศรีธรรมราช!I504"")+IMPORTRANGE(""https://docs.google.com/spreadsheets/d/1iodCdmuK2GR3jzUwk8tpccY2JHQQA-87DLOtJP-ooyU/edit?usp=sharing"",""นราธิวาส!I504"")+IMPORTRANGE(""https://docs.google.com/spreadsheets/d/1SDNX3JhDdYRuIOsj0Wh2M-Qa_eaXl0NbWmh"&amp;"AOTbfQAs/edit?usp=sharing"",""ปัตตานี!I504"")+IMPORTRANGE(""https://docs.google.com/spreadsheets/d/16JDLGguT8s5DsGCND1KcwHP_AWR_zDMTqLHPLJUKhaU/edit?usp=sharing"",""พังงา!I504"")+IMPORTRANGE(""https://docs.google.com/spreadsheets/d/17ht0gPKzzT3PObBL1XJkeR"&amp;"mntBXI7wGjpLV7QorqlTk/edit?usp=sharing"",""พัทลุง!I504"")+IMPORTRANGE(""https://docs.google.com/spreadsheets/d/1rd4qoM1q_hsgaolqNGfrim9gbsoLxQsda4-vOz5x_BM/edit?usp=sharing"",""ภูเก็ต!I504"")+IMPORTRANGE(""https://docs.google.com/spreadsheets/d/1woKwKjgoL"&amp;"ssDvPcPeVyezB5izizAn4X1JDrys69n6xI/edit?usp=sharing"",""ยะลา!I504"")+IMPORTRANGE(""https://docs.google.com/spreadsheets/d/1qfrKjzMhm2HJfxQ-qVlJlJQ25Hne1d0khsySbZyGtPA/edit?usp=sharing"",""ระนอง!I504"")+IMPORTRANGE(""https://docs.google.com/spreadsheets/d/"&amp;"1IbSCnFOKpZsnFogBHJnL_isstZVaOMnFiIN0fGTPZZw/edit?usp=sharing"",""สงขลา!I504"")+IMPORTRANGE(""https://docs.google.com/spreadsheets/d/1q9nWasZJ-K8bFGvbE9n0qSRuKGA4Toe3Y89cKCiVtCU/edit?usp=sharing"",""สตูล!I504"")+IMPORTRANGE(""https://docs.google.com/sprea"&amp;"dsheets/d/18T20gbkS_WBjdscyTOV05cvq_JqvqQ17C81mpxf7Ncs/edit?usp=sharing"",""สุราษฎร์ธานี!I504"")"),0)</f>
        <v>0</v>
      </c>
      <c r="J504" s="167">
        <f ca="1">IFERROR(__xludf.DUMMYFUNCTION("IMPORTRANGE(""https://docs.google.com/spreadsheets/d/1kKUcYdkIfrgTSj8iHHHB2MD2FAtwyyocFgqGQn6ADyI/edit?usp=sharing"",""กระบี่!J504"")+IMPORTRANGE(""https://docs.google.com/spreadsheets/d/1GwtLaSlNZkLk7iDqcyZz22giiy40b_usZZBXYciEN1U/edit?usp=sharing"",""ชุ"&amp;"มพร!J504"")+IMPORTRANGE(""https://docs.google.com/spreadsheets/d/16pAz3pOhQEZBhvFNMa5KGgZS6iKWpsKX0pg6tQmwFpo/edit?usp=sharing"",""ตรัง!J504"")+IMPORTRANGE(""https://docs.google.com/spreadsheets/d/1Dj4jcHCTV9JXKCaMoheSXS52JE63kDKyG7bPXnFogHk/edit?usp=shar"&amp;"ing"",""นครศรีธรรมราช!J504"")+IMPORTRANGE(""https://docs.google.com/spreadsheets/d/1iodCdmuK2GR3jzUwk8tpccY2JHQQA-87DLOtJP-ooyU/edit?usp=sharing"",""นราธิวาส!J504"")+IMPORTRANGE(""https://docs.google.com/spreadsheets/d/1SDNX3JhDdYRuIOsj0Wh2M-Qa_eaXl0NbWmh"&amp;"AOTbfQAs/edit?usp=sharing"",""ปัตตานี!J504"")+IMPORTRANGE(""https://docs.google.com/spreadsheets/d/16JDLGguT8s5DsGCND1KcwHP_AWR_zDMTqLHPLJUKhaU/edit?usp=sharing"",""พังงา!J504"")+IMPORTRANGE(""https://docs.google.com/spreadsheets/d/17ht0gPKzzT3PObBL1XJkeR"&amp;"mntBXI7wGjpLV7QorqlTk/edit?usp=sharing"",""พัทลุง!J504"")+IMPORTRANGE(""https://docs.google.com/spreadsheets/d/1rd4qoM1q_hsgaolqNGfrim9gbsoLxQsda4-vOz5x_BM/edit?usp=sharing"",""ภูเก็ต!J504"")+IMPORTRANGE(""https://docs.google.com/spreadsheets/d/1woKwKjgoL"&amp;"ssDvPcPeVyezB5izizAn4X1JDrys69n6xI/edit?usp=sharing"",""ยะลา!J504"")+IMPORTRANGE(""https://docs.google.com/spreadsheets/d/1qfrKjzMhm2HJfxQ-qVlJlJQ25Hne1d0khsySbZyGtPA/edit?usp=sharing"",""ระนอง!J504"")+IMPORTRANGE(""https://docs.google.com/spreadsheets/d/"&amp;"1IbSCnFOKpZsnFogBHJnL_isstZVaOMnFiIN0fGTPZZw/edit?usp=sharing"",""สงขลา!J504"")+IMPORTRANGE(""https://docs.google.com/spreadsheets/d/1q9nWasZJ-K8bFGvbE9n0qSRuKGA4Toe3Y89cKCiVtCU/edit?usp=sharing"",""สตูล!J504"")+IMPORTRANGE(""https://docs.google.com/sprea"&amp;"dsheets/d/18T20gbkS_WBjdscyTOV05cvq_JqvqQ17C81mpxf7Ncs/edit?usp=sharing"",""สุราษฎร์ธานี!J504"")"),110)</f>
        <v>110</v>
      </c>
      <c r="K504" s="47">
        <f t="shared" ca="1" si="360"/>
        <v>0</v>
      </c>
      <c r="L504" s="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kKUcYdkIfrgTSj8iHHHB2MD2FAtwyyocFgqGQn6ADyI/edit?usp=sharing"",""กระบี่!I505"")+IMPORTRANGE(""https://docs.google.com/spreadsheets/d/1GwtLaSlNZkLk7iDqcyZz22giiy40b_usZZBXYciEN1U/edit?usp=sharing"",""ชุ"&amp;"มพร!I505"")+IMPORTRANGE(""https://docs.google.com/spreadsheets/d/16pAz3pOhQEZBhvFNMa5KGgZS6iKWpsKX0pg6tQmwFpo/edit?usp=sharing"",""ตรัง!I505"")+IMPORTRANGE(""https://docs.google.com/spreadsheets/d/1Dj4jcHCTV9JXKCaMoheSXS52JE63kDKyG7bPXnFogHk/edit?usp=shar"&amp;"ing"",""นครศรีธรรมราช!I505"")+IMPORTRANGE(""https://docs.google.com/spreadsheets/d/1iodCdmuK2GR3jzUwk8tpccY2JHQQA-87DLOtJP-ooyU/edit?usp=sharing"",""นราธิวาส!I505"")+IMPORTRANGE(""https://docs.google.com/spreadsheets/d/1SDNX3JhDdYRuIOsj0Wh2M-Qa_eaXl0NbWmh"&amp;"AOTbfQAs/edit?usp=sharing"",""ปัตตานี!I505"")+IMPORTRANGE(""https://docs.google.com/spreadsheets/d/16JDLGguT8s5DsGCND1KcwHP_AWR_zDMTqLHPLJUKhaU/edit?usp=sharing"",""พังงา!I505"")+IMPORTRANGE(""https://docs.google.com/spreadsheets/d/17ht0gPKzzT3PObBL1XJkeR"&amp;"mntBXI7wGjpLV7QorqlTk/edit?usp=sharing"",""พัทลุง!I505"")+IMPORTRANGE(""https://docs.google.com/spreadsheets/d/1rd4qoM1q_hsgaolqNGfrim9gbsoLxQsda4-vOz5x_BM/edit?usp=sharing"",""ภูเก็ต!I505"")+IMPORTRANGE(""https://docs.google.com/spreadsheets/d/1woKwKjgoL"&amp;"ssDvPcPeVyezB5izizAn4X1JDrys69n6xI/edit?usp=sharing"",""ยะลา!I505"")+IMPORTRANGE(""https://docs.google.com/spreadsheets/d/1qfrKjzMhm2HJfxQ-qVlJlJQ25Hne1d0khsySbZyGtPA/edit?usp=sharing"",""ระนอง!I505"")+IMPORTRANGE(""https://docs.google.com/spreadsheets/d/"&amp;"1IbSCnFOKpZsnFogBHJnL_isstZVaOMnFiIN0fGTPZZw/edit?usp=sharing"",""สงขลา!I505"")+IMPORTRANGE(""https://docs.google.com/spreadsheets/d/1q9nWasZJ-K8bFGvbE9n0qSRuKGA4Toe3Y89cKCiVtCU/edit?usp=sharing"",""สตูล!I505"")+IMPORTRANGE(""https://docs.google.com/sprea"&amp;"dsheets/d/18T20gbkS_WBjdscyTOV05cvq_JqvqQ17C81mpxf7Ncs/edit?usp=sharing"",""สุราษฎร์ธานี!I505"")"),0)</f>
        <v>0</v>
      </c>
      <c r="J505" s="167">
        <f ca="1">IFERROR(__xludf.DUMMYFUNCTION("IMPORTRANGE(""https://docs.google.com/spreadsheets/d/1kKUcYdkIfrgTSj8iHHHB2MD2FAtwyyocFgqGQn6ADyI/edit?usp=sharing"",""กระบี่!J505"")+IMPORTRANGE(""https://docs.google.com/spreadsheets/d/1GwtLaSlNZkLk7iDqcyZz22giiy40b_usZZBXYciEN1U/edit?usp=sharing"",""ชุ"&amp;"มพร!J505"")+IMPORTRANGE(""https://docs.google.com/spreadsheets/d/16pAz3pOhQEZBhvFNMa5KGgZS6iKWpsKX0pg6tQmwFpo/edit?usp=sharing"",""ตรัง!J505"")+IMPORTRANGE(""https://docs.google.com/spreadsheets/d/1Dj4jcHCTV9JXKCaMoheSXS52JE63kDKyG7bPXnFogHk/edit?usp=shar"&amp;"ing"",""นครศรีธรรมราช!J505"")+IMPORTRANGE(""https://docs.google.com/spreadsheets/d/1iodCdmuK2GR3jzUwk8tpccY2JHQQA-87DLOtJP-ooyU/edit?usp=sharing"",""นราธิวาส!J505"")+IMPORTRANGE(""https://docs.google.com/spreadsheets/d/1SDNX3JhDdYRuIOsj0Wh2M-Qa_eaXl0NbWmh"&amp;"AOTbfQAs/edit?usp=sharing"",""ปัตตานี!J505"")+IMPORTRANGE(""https://docs.google.com/spreadsheets/d/16JDLGguT8s5DsGCND1KcwHP_AWR_zDMTqLHPLJUKhaU/edit?usp=sharing"",""พังงา!J505"")+IMPORTRANGE(""https://docs.google.com/spreadsheets/d/17ht0gPKzzT3PObBL1XJkeR"&amp;"mntBXI7wGjpLV7QorqlTk/edit?usp=sharing"",""พัทลุง!J505"")+IMPORTRANGE(""https://docs.google.com/spreadsheets/d/1rd4qoM1q_hsgaolqNGfrim9gbsoLxQsda4-vOz5x_BM/edit?usp=sharing"",""ภูเก็ต!J505"")+IMPORTRANGE(""https://docs.google.com/spreadsheets/d/1woKwKjgoL"&amp;"ssDvPcPeVyezB5izizAn4X1JDrys69n6xI/edit?usp=sharing"",""ยะลา!J505"")+IMPORTRANGE(""https://docs.google.com/spreadsheets/d/1qfrKjzMhm2HJfxQ-qVlJlJQ25Hne1d0khsySbZyGtPA/edit?usp=sharing"",""ระนอง!J505"")+IMPORTRANGE(""https://docs.google.com/spreadsheets/d/"&amp;"1IbSCnFOKpZsnFogBHJnL_isstZVaOMnFiIN0fGTPZZw/edit?usp=sharing"",""สงขลา!J505"")+IMPORTRANGE(""https://docs.google.com/spreadsheets/d/1q9nWasZJ-K8bFGvbE9n0qSRuKGA4Toe3Y89cKCiVtCU/edit?usp=sharing"",""สตูล!J505"")+IMPORTRANGE(""https://docs.google.com/sprea"&amp;"dsheets/d/18T20gbkS_WBjdscyTOV05cvq_JqvqQ17C81mpxf7Ncs/edit?usp=sharing"",""สุราษฎร์ธานี!J505"")"),50)</f>
        <v>50</v>
      </c>
      <c r="K505" s="47">
        <f t="shared" ca="1" si="360"/>
        <v>0</v>
      </c>
      <c r="L505" s="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kKUcYdkIfrgTSj8iHHHB2MD2FAtwyyocFgqGQn6ADyI/edit?usp=sharing"",""กระบี่!I506"")+IMPORTRANGE(""https://docs.google.com/spreadsheets/d/1GwtLaSlNZkLk7iDqcyZz22giiy40b_usZZBXYciEN1U/edit?usp=sharing"",""ชุ"&amp;"มพร!I506"")+IMPORTRANGE(""https://docs.google.com/spreadsheets/d/16pAz3pOhQEZBhvFNMa5KGgZS6iKWpsKX0pg6tQmwFpo/edit?usp=sharing"",""ตรัง!I506"")+IMPORTRANGE(""https://docs.google.com/spreadsheets/d/1Dj4jcHCTV9JXKCaMoheSXS52JE63kDKyG7bPXnFogHk/edit?usp=shar"&amp;"ing"",""นครศรีธรรมราช!I506"")+IMPORTRANGE(""https://docs.google.com/spreadsheets/d/1iodCdmuK2GR3jzUwk8tpccY2JHQQA-87DLOtJP-ooyU/edit?usp=sharing"",""นราธิวาส!I506"")+IMPORTRANGE(""https://docs.google.com/spreadsheets/d/1SDNX3JhDdYRuIOsj0Wh2M-Qa_eaXl0NbWmh"&amp;"AOTbfQAs/edit?usp=sharing"",""ปัตตานี!I506"")+IMPORTRANGE(""https://docs.google.com/spreadsheets/d/16JDLGguT8s5DsGCND1KcwHP_AWR_zDMTqLHPLJUKhaU/edit?usp=sharing"",""พังงา!I506"")+IMPORTRANGE(""https://docs.google.com/spreadsheets/d/17ht0gPKzzT3PObBL1XJkeR"&amp;"mntBXI7wGjpLV7QorqlTk/edit?usp=sharing"",""พัทลุง!I506"")+IMPORTRANGE(""https://docs.google.com/spreadsheets/d/1rd4qoM1q_hsgaolqNGfrim9gbsoLxQsda4-vOz5x_BM/edit?usp=sharing"",""ภูเก็ต!I506"")+IMPORTRANGE(""https://docs.google.com/spreadsheets/d/1woKwKjgoL"&amp;"ssDvPcPeVyezB5izizAn4X1JDrys69n6xI/edit?usp=sharing"",""ยะลา!I506"")+IMPORTRANGE(""https://docs.google.com/spreadsheets/d/1qfrKjzMhm2HJfxQ-qVlJlJQ25Hne1d0khsySbZyGtPA/edit?usp=sharing"",""ระนอง!I506"")+IMPORTRANGE(""https://docs.google.com/spreadsheets/d/"&amp;"1IbSCnFOKpZsnFogBHJnL_isstZVaOMnFiIN0fGTPZZw/edit?usp=sharing"",""สงขลา!I506"")+IMPORTRANGE(""https://docs.google.com/spreadsheets/d/1q9nWasZJ-K8bFGvbE9n0qSRuKGA4Toe3Y89cKCiVtCU/edit?usp=sharing"",""สตูล!I506"")+IMPORTRANGE(""https://docs.google.com/sprea"&amp;"dsheets/d/18T20gbkS_WBjdscyTOV05cvq_JqvqQ17C81mpxf7Ncs/edit?usp=sharing"",""สุราษฎร์ธานี!I506"")"),0)</f>
        <v>0</v>
      </c>
      <c r="J506" s="167">
        <f ca="1">IFERROR(__xludf.DUMMYFUNCTION("IMPORTRANGE(""https://docs.google.com/spreadsheets/d/1kKUcYdkIfrgTSj8iHHHB2MD2FAtwyyocFgqGQn6ADyI/edit?usp=sharing"",""กระบี่!J506"")+IMPORTRANGE(""https://docs.google.com/spreadsheets/d/1GwtLaSlNZkLk7iDqcyZz22giiy40b_usZZBXYciEN1U/edit?usp=sharing"",""ชุ"&amp;"มพร!J506"")+IMPORTRANGE(""https://docs.google.com/spreadsheets/d/16pAz3pOhQEZBhvFNMa5KGgZS6iKWpsKX0pg6tQmwFpo/edit?usp=sharing"",""ตรัง!J506"")+IMPORTRANGE(""https://docs.google.com/spreadsheets/d/1Dj4jcHCTV9JXKCaMoheSXS52JE63kDKyG7bPXnFogHk/edit?usp=shar"&amp;"ing"",""นครศรีธรรมราช!J506"")+IMPORTRANGE(""https://docs.google.com/spreadsheets/d/1iodCdmuK2GR3jzUwk8tpccY2JHQQA-87DLOtJP-ooyU/edit?usp=sharing"",""นราธิวาส!J506"")+IMPORTRANGE(""https://docs.google.com/spreadsheets/d/1SDNX3JhDdYRuIOsj0Wh2M-Qa_eaXl0NbWmh"&amp;"AOTbfQAs/edit?usp=sharing"",""ปัตตานี!J506"")+IMPORTRANGE(""https://docs.google.com/spreadsheets/d/16JDLGguT8s5DsGCND1KcwHP_AWR_zDMTqLHPLJUKhaU/edit?usp=sharing"",""พังงา!J506"")+IMPORTRANGE(""https://docs.google.com/spreadsheets/d/17ht0gPKzzT3PObBL1XJkeR"&amp;"mntBXI7wGjpLV7QorqlTk/edit?usp=sharing"",""พัทลุง!J506"")+IMPORTRANGE(""https://docs.google.com/spreadsheets/d/1rd4qoM1q_hsgaolqNGfrim9gbsoLxQsda4-vOz5x_BM/edit?usp=sharing"",""ภูเก็ต!J506"")+IMPORTRANGE(""https://docs.google.com/spreadsheets/d/1woKwKjgoL"&amp;"ssDvPcPeVyezB5izizAn4X1JDrys69n6xI/edit?usp=sharing"",""ยะลา!J506"")+IMPORTRANGE(""https://docs.google.com/spreadsheets/d/1qfrKjzMhm2HJfxQ-qVlJlJQ25Hne1d0khsySbZyGtPA/edit?usp=sharing"",""ระนอง!J506"")+IMPORTRANGE(""https://docs.google.com/spreadsheets/d/"&amp;"1IbSCnFOKpZsnFogBHJnL_isstZVaOMnFiIN0fGTPZZw/edit?usp=sharing"",""สงขลา!J506"")+IMPORTRANGE(""https://docs.google.com/spreadsheets/d/1q9nWasZJ-K8bFGvbE9n0qSRuKGA4Toe3Y89cKCiVtCU/edit?usp=sharing"",""สตูล!J506"")+IMPORTRANGE(""https://docs.google.com/sprea"&amp;"dsheets/d/18T20gbkS_WBjdscyTOV05cvq_JqvqQ17C81mpxf7Ncs/edit?usp=sharing"",""สุราษฎร์ธานี!J506"")"),50)</f>
        <v>50</v>
      </c>
      <c r="K506" s="47">
        <f t="shared" ca="1" si="360"/>
        <v>0</v>
      </c>
      <c r="L506" s="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kKUcYdkIfrgTSj8iHHHB2MD2FAtwyyocFgqGQn6ADyI/edit?usp=sharing"",""กระบี่!I507"")+IMPORTRANGE(""https://docs.google.com/spreadsheets/d/1GwtLaSlNZkLk7iDqcyZz22giiy40b_usZZBXYciEN1U/edit?usp=sharing"",""ชุ"&amp;"มพร!I507"")+IMPORTRANGE(""https://docs.google.com/spreadsheets/d/16pAz3pOhQEZBhvFNMa5KGgZS6iKWpsKX0pg6tQmwFpo/edit?usp=sharing"",""ตรัง!I507"")+IMPORTRANGE(""https://docs.google.com/spreadsheets/d/1Dj4jcHCTV9JXKCaMoheSXS52JE63kDKyG7bPXnFogHk/edit?usp=shar"&amp;"ing"",""นครศรีธรรมราช!I507"")+IMPORTRANGE(""https://docs.google.com/spreadsheets/d/1iodCdmuK2GR3jzUwk8tpccY2JHQQA-87DLOtJP-ooyU/edit?usp=sharing"",""นราธิวาส!I507"")+IMPORTRANGE(""https://docs.google.com/spreadsheets/d/1SDNX3JhDdYRuIOsj0Wh2M-Qa_eaXl0NbWmh"&amp;"AOTbfQAs/edit?usp=sharing"",""ปัตตานี!I507"")+IMPORTRANGE(""https://docs.google.com/spreadsheets/d/16JDLGguT8s5DsGCND1KcwHP_AWR_zDMTqLHPLJUKhaU/edit?usp=sharing"",""พังงา!I507"")+IMPORTRANGE(""https://docs.google.com/spreadsheets/d/17ht0gPKzzT3PObBL1XJkeR"&amp;"mntBXI7wGjpLV7QorqlTk/edit?usp=sharing"",""พัทลุง!I507"")+IMPORTRANGE(""https://docs.google.com/spreadsheets/d/1rd4qoM1q_hsgaolqNGfrim9gbsoLxQsda4-vOz5x_BM/edit?usp=sharing"",""ภูเก็ต!I507"")+IMPORTRANGE(""https://docs.google.com/spreadsheets/d/1woKwKjgoL"&amp;"ssDvPcPeVyezB5izizAn4X1JDrys69n6xI/edit?usp=sharing"",""ยะลา!I507"")+IMPORTRANGE(""https://docs.google.com/spreadsheets/d/1qfrKjzMhm2HJfxQ-qVlJlJQ25Hne1d0khsySbZyGtPA/edit?usp=sharing"",""ระนอง!I507"")+IMPORTRANGE(""https://docs.google.com/spreadsheets/d/"&amp;"1IbSCnFOKpZsnFogBHJnL_isstZVaOMnFiIN0fGTPZZw/edit?usp=sharing"",""สงขลา!I507"")+IMPORTRANGE(""https://docs.google.com/spreadsheets/d/1q9nWasZJ-K8bFGvbE9n0qSRuKGA4Toe3Y89cKCiVtCU/edit?usp=sharing"",""สตูล!I507"")+IMPORTRANGE(""https://docs.google.com/sprea"&amp;"dsheets/d/18T20gbkS_WBjdscyTOV05cvq_JqvqQ17C81mpxf7Ncs/edit?usp=sharing"",""สุราษฎร์ธานี!I507"")"),0)</f>
        <v>0</v>
      </c>
      <c r="J507" s="167">
        <f ca="1">IFERROR(__xludf.DUMMYFUNCTION("IMPORTRANGE(""https://docs.google.com/spreadsheets/d/1kKUcYdkIfrgTSj8iHHHB2MD2FAtwyyocFgqGQn6ADyI/edit?usp=sharing"",""กระบี่!J507"")+IMPORTRANGE(""https://docs.google.com/spreadsheets/d/1GwtLaSlNZkLk7iDqcyZz22giiy40b_usZZBXYciEN1U/edit?usp=sharing"",""ชุ"&amp;"มพร!J507"")+IMPORTRANGE(""https://docs.google.com/spreadsheets/d/16pAz3pOhQEZBhvFNMa5KGgZS6iKWpsKX0pg6tQmwFpo/edit?usp=sharing"",""ตรัง!J507"")+IMPORTRANGE(""https://docs.google.com/spreadsheets/d/1Dj4jcHCTV9JXKCaMoheSXS52JE63kDKyG7bPXnFogHk/edit?usp=shar"&amp;"ing"",""นครศรีธรรมราช!J507"")+IMPORTRANGE(""https://docs.google.com/spreadsheets/d/1iodCdmuK2GR3jzUwk8tpccY2JHQQA-87DLOtJP-ooyU/edit?usp=sharing"",""นราธิวาส!J507"")+IMPORTRANGE(""https://docs.google.com/spreadsheets/d/1SDNX3JhDdYRuIOsj0Wh2M-Qa_eaXl0NbWmh"&amp;"AOTbfQAs/edit?usp=sharing"",""ปัตตานี!J507"")+IMPORTRANGE(""https://docs.google.com/spreadsheets/d/16JDLGguT8s5DsGCND1KcwHP_AWR_zDMTqLHPLJUKhaU/edit?usp=sharing"",""พังงา!J507"")+IMPORTRANGE(""https://docs.google.com/spreadsheets/d/17ht0gPKzzT3PObBL1XJkeR"&amp;"mntBXI7wGjpLV7QorqlTk/edit?usp=sharing"",""พัทลุง!J507"")+IMPORTRANGE(""https://docs.google.com/spreadsheets/d/1rd4qoM1q_hsgaolqNGfrim9gbsoLxQsda4-vOz5x_BM/edit?usp=sharing"",""ภูเก็ต!J507"")+IMPORTRANGE(""https://docs.google.com/spreadsheets/d/1woKwKjgoL"&amp;"ssDvPcPeVyezB5izizAn4X1JDrys69n6xI/edit?usp=sharing"",""ยะลา!J507"")+IMPORTRANGE(""https://docs.google.com/spreadsheets/d/1qfrKjzMhm2HJfxQ-qVlJlJQ25Hne1d0khsySbZyGtPA/edit?usp=sharing"",""ระนอง!J507"")+IMPORTRANGE(""https://docs.google.com/spreadsheets/d/"&amp;"1IbSCnFOKpZsnFogBHJnL_isstZVaOMnFiIN0fGTPZZw/edit?usp=sharing"",""สงขลา!J507"")+IMPORTRANGE(""https://docs.google.com/spreadsheets/d/1q9nWasZJ-K8bFGvbE9n0qSRuKGA4Toe3Y89cKCiVtCU/edit?usp=sharing"",""สตูล!J507"")+IMPORTRANGE(""https://docs.google.com/sprea"&amp;"dsheets/d/18T20gbkS_WBjdscyTOV05cvq_JqvqQ17C81mpxf7Ncs/edit?usp=sharing"",""สุราษฎร์ธานี!J507"")"),10)</f>
        <v>10</v>
      </c>
      <c r="K507" s="47">
        <f t="shared" ca="1" si="360"/>
        <v>0</v>
      </c>
      <c r="L507" s="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 t="shared" si="360"/>
        <v>0</v>
      </c>
      <c r="L508" s="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kKUcYdkIfrgTSj8iHHHB2MD2FAtwyyocFgqGQn6ADyI/edit?usp=sharing"",""กระบี่!I509"")+IMPORTRANGE(""https://docs.google.com/spreadsheets/d/1GwtLaSlNZkLk7iDqcyZz22giiy40b_usZZBXYciEN1U/edit?usp=sharing"",""ชุ"&amp;"มพร!I509"")+IMPORTRANGE(""https://docs.google.com/spreadsheets/d/16pAz3pOhQEZBhvFNMa5KGgZS6iKWpsKX0pg6tQmwFpo/edit?usp=sharing"",""ตรัง!I509"")+IMPORTRANGE(""https://docs.google.com/spreadsheets/d/1Dj4jcHCTV9JXKCaMoheSXS52JE63kDKyG7bPXnFogHk/edit?usp=shar"&amp;"ing"",""นครศรีธรรมราช!I509"")+IMPORTRANGE(""https://docs.google.com/spreadsheets/d/1iodCdmuK2GR3jzUwk8tpccY2JHQQA-87DLOtJP-ooyU/edit?usp=sharing"",""นราธิวาส!I509"")+IMPORTRANGE(""https://docs.google.com/spreadsheets/d/1SDNX3JhDdYRuIOsj0Wh2M-Qa_eaXl0NbWmh"&amp;"AOTbfQAs/edit?usp=sharing"",""ปัตตานี!I509"")+IMPORTRANGE(""https://docs.google.com/spreadsheets/d/16JDLGguT8s5DsGCND1KcwHP_AWR_zDMTqLHPLJUKhaU/edit?usp=sharing"",""พังงา!I509"")+IMPORTRANGE(""https://docs.google.com/spreadsheets/d/17ht0gPKzzT3PObBL1XJkeR"&amp;"mntBXI7wGjpLV7QorqlTk/edit?usp=sharing"",""พัทลุง!I509"")+IMPORTRANGE(""https://docs.google.com/spreadsheets/d/1rd4qoM1q_hsgaolqNGfrim9gbsoLxQsda4-vOz5x_BM/edit?usp=sharing"",""ภูเก็ต!I509"")+IMPORTRANGE(""https://docs.google.com/spreadsheets/d/1woKwKjgoL"&amp;"ssDvPcPeVyezB5izizAn4X1JDrys69n6xI/edit?usp=sharing"",""ยะลา!I509"")+IMPORTRANGE(""https://docs.google.com/spreadsheets/d/1qfrKjzMhm2HJfxQ-qVlJlJQ25Hne1d0khsySbZyGtPA/edit?usp=sharing"",""ระนอง!I509"")+IMPORTRANGE(""https://docs.google.com/spreadsheets/d/"&amp;"1IbSCnFOKpZsnFogBHJnL_isstZVaOMnFiIN0fGTPZZw/edit?usp=sharing"",""สงขลา!I509"")+IMPORTRANGE(""https://docs.google.com/spreadsheets/d/1q9nWasZJ-K8bFGvbE9n0qSRuKGA4Toe3Y89cKCiVtCU/edit?usp=sharing"",""สตูล!I509"")+IMPORTRANGE(""https://docs.google.com/sprea"&amp;"dsheets/d/18T20gbkS_WBjdscyTOV05cvq_JqvqQ17C81mpxf7Ncs/edit?usp=sharing"",""สุราษฎร์ธานี!I509"")"),0)</f>
        <v>0</v>
      </c>
      <c r="J509" s="355">
        <f ca="1">IFERROR(__xludf.DUMMYFUNCTION("IMPORTRANGE(""https://docs.google.com/spreadsheets/d/1kKUcYdkIfrgTSj8iHHHB2MD2FAtwyyocFgqGQn6ADyI/edit?usp=sharing"",""กระบี่!J509"")+IMPORTRANGE(""https://docs.google.com/spreadsheets/d/1GwtLaSlNZkLk7iDqcyZz22giiy40b_usZZBXYciEN1U/edit?usp=sharing"",""ชุ"&amp;"มพร!J509"")+IMPORTRANGE(""https://docs.google.com/spreadsheets/d/16pAz3pOhQEZBhvFNMa5KGgZS6iKWpsKX0pg6tQmwFpo/edit?usp=sharing"",""ตรัง!J509"")+IMPORTRANGE(""https://docs.google.com/spreadsheets/d/1Dj4jcHCTV9JXKCaMoheSXS52JE63kDKyG7bPXnFogHk/edit?usp=shar"&amp;"ing"",""นครศรีธรรมราช!J509"")+IMPORTRANGE(""https://docs.google.com/spreadsheets/d/1iodCdmuK2GR3jzUwk8tpccY2JHQQA-87DLOtJP-ooyU/edit?usp=sharing"",""นราธิวาส!J509"")+IMPORTRANGE(""https://docs.google.com/spreadsheets/d/1SDNX3JhDdYRuIOsj0Wh2M-Qa_eaXl0NbWmh"&amp;"AOTbfQAs/edit?usp=sharing"",""ปัตตานี!J509"")+IMPORTRANGE(""https://docs.google.com/spreadsheets/d/16JDLGguT8s5DsGCND1KcwHP_AWR_zDMTqLHPLJUKhaU/edit?usp=sharing"",""พังงา!J509"")+IMPORTRANGE(""https://docs.google.com/spreadsheets/d/17ht0gPKzzT3PObBL1XJkeR"&amp;"mntBXI7wGjpLV7QorqlTk/edit?usp=sharing"",""พัทลุง!J509"")+IMPORTRANGE(""https://docs.google.com/spreadsheets/d/1rd4qoM1q_hsgaolqNGfrim9gbsoLxQsda4-vOz5x_BM/edit?usp=sharing"",""ภูเก็ต!J509"")+IMPORTRANGE(""https://docs.google.com/spreadsheets/d/1woKwKjgoL"&amp;"ssDvPcPeVyezB5izizAn4X1JDrys69n6xI/edit?usp=sharing"",""ยะลา!J509"")+IMPORTRANGE(""https://docs.google.com/spreadsheets/d/1qfrKjzMhm2HJfxQ-qVlJlJQ25Hne1d0khsySbZyGtPA/edit?usp=sharing"",""ระนอง!J509"")+IMPORTRANGE(""https://docs.google.com/spreadsheets/d/"&amp;"1IbSCnFOKpZsnFogBHJnL_isstZVaOMnFiIN0fGTPZZw/edit?usp=sharing"",""สงขลา!J509"")+IMPORTRANGE(""https://docs.google.com/spreadsheets/d/1q9nWasZJ-K8bFGvbE9n0qSRuKGA4Toe3Y89cKCiVtCU/edit?usp=sharing"",""สตูล!J509"")+IMPORTRANGE(""https://docs.google.com/sprea"&amp;"dsheets/d/18T20gbkS_WBjdscyTOV05cvq_JqvqQ17C81mpxf7Ncs/edit?usp=sharing"",""สุราษฎร์ธานี!J509"")"),0)</f>
        <v>0</v>
      </c>
      <c r="K509" s="111">
        <f t="shared" ca="1" si="360"/>
        <v>0</v>
      </c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356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360"/>
      <c r="M510" s="360"/>
      <c r="N510" s="360"/>
      <c r="O510" s="360"/>
      <c r="P510" s="361"/>
      <c r="Q510" s="360"/>
      <c r="R510" s="360"/>
      <c r="S510" s="360"/>
      <c r="T510" s="362"/>
      <c r="U510" s="362"/>
    </row>
    <row r="511" spans="1:21" ht="19.5" x14ac:dyDescent="0.3">
      <c r="A511" s="363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368"/>
      <c r="M511" s="368"/>
      <c r="N511" s="368"/>
      <c r="O511" s="368"/>
      <c r="P511" s="368"/>
      <c r="Q511" s="368"/>
      <c r="R511" s="368"/>
      <c r="S511" s="368"/>
      <c r="T511" s="369"/>
      <c r="U511" s="369"/>
    </row>
    <row r="512" spans="1:21" ht="19.5" x14ac:dyDescent="0.3">
      <c r="A512" s="370"/>
      <c r="B512" s="371" t="s">
        <v>207</v>
      </c>
      <c r="C512" s="372"/>
      <c r="D512" s="373"/>
      <c r="E512" s="373"/>
      <c r="F512" s="373"/>
      <c r="G512" s="374"/>
      <c r="H512" s="375" t="s">
        <v>61</v>
      </c>
      <c r="I512" s="376">
        <f t="shared" ref="I512:J512" ca="1" si="361">I524</f>
        <v>1</v>
      </c>
      <c r="J512" s="376">
        <f t="shared" ca="1" si="361"/>
        <v>0</v>
      </c>
      <c r="K512" s="377">
        <f ca="1">IF(I512&gt;0,J512*100/I512,0)</f>
        <v>0</v>
      </c>
      <c r="L512" s="378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x14ac:dyDescent="0.3">
      <c r="A513" s="128"/>
      <c r="B513" s="41"/>
      <c r="C513" s="129" t="s">
        <v>18</v>
      </c>
      <c r="D513" s="130" t="s">
        <v>19</v>
      </c>
      <c r="E513" s="41"/>
      <c r="F513" s="41"/>
      <c r="G513" s="43"/>
      <c r="H513" s="131" t="s">
        <v>14</v>
      </c>
      <c r="I513" s="45"/>
      <c r="J513" s="45"/>
      <c r="K513" s="46"/>
      <c r="L513" s="132">
        <f t="shared" ref="L513:N513" ca="1" si="362">L514+L515</f>
        <v>33423500</v>
      </c>
      <c r="M513" s="132">
        <f t="shared" ca="1" si="362"/>
        <v>33423500</v>
      </c>
      <c r="N513" s="132">
        <f t="shared" ca="1" si="362"/>
        <v>0</v>
      </c>
      <c r="O513" s="132">
        <f t="shared" ref="O513:O521" ca="1" si="363">IF(L513&gt;0,N513*100/L513,0)</f>
        <v>0</v>
      </c>
      <c r="P513" s="132">
        <f t="shared" ref="P513:P521" ca="1" si="364">IF(M513&gt;0,N513*100/M513,0)</f>
        <v>0</v>
      </c>
      <c r="Q513" s="132">
        <f t="shared" ref="Q513:S513" ca="1" si="365">Q514+Q515</f>
        <v>0</v>
      </c>
      <c r="R513" s="132">
        <f t="shared" ca="1" si="365"/>
        <v>0</v>
      </c>
      <c r="S513" s="132">
        <f t="shared" ca="1" si="365"/>
        <v>0</v>
      </c>
      <c r="T513" s="132">
        <f t="shared" ref="T513:T521" ca="1" si="366">IF(Q513&gt;0,S513*100/Q513,0)</f>
        <v>0</v>
      </c>
      <c r="U513" s="132">
        <f t="shared" ref="U513:U521" ca="1" si="367"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48" t="s">
        <v>20</v>
      </c>
      <c r="F514" s="41"/>
      <c r="G514" s="43"/>
      <c r="H514" s="133" t="s">
        <v>14</v>
      </c>
      <c r="I514" s="45"/>
      <c r="J514" s="45"/>
      <c r="K514" s="46"/>
      <c r="L514" s="47">
        <f t="shared" ref="L514:N514" ca="1" si="368">L517+L520</f>
        <v>0</v>
      </c>
      <c r="M514" s="47">
        <f t="shared" ca="1" si="368"/>
        <v>0</v>
      </c>
      <c r="N514" s="47">
        <f t="shared" ca="1" si="368"/>
        <v>0</v>
      </c>
      <c r="O514" s="47">
        <f t="shared" ca="1" si="363"/>
        <v>0</v>
      </c>
      <c r="P514" s="47">
        <f t="shared" ca="1" si="364"/>
        <v>0</v>
      </c>
      <c r="Q514" s="47">
        <f t="shared" ref="Q514:S514" ca="1" si="369">Q517+Q520</f>
        <v>0</v>
      </c>
      <c r="R514" s="47">
        <f t="shared" ca="1" si="369"/>
        <v>0</v>
      </c>
      <c r="S514" s="47">
        <f t="shared" ca="1" si="369"/>
        <v>0</v>
      </c>
      <c r="T514" s="49">
        <f t="shared" ca="1" si="366"/>
        <v>0</v>
      </c>
      <c r="U514" s="49">
        <f t="shared" ca="1" si="367"/>
        <v>0</v>
      </c>
    </row>
    <row r="515" spans="1:21" ht="18.75" hidden="1" x14ac:dyDescent="0.25">
      <c r="A515" s="128"/>
      <c r="B515" s="41"/>
      <c r="C515" s="41"/>
      <c r="D515" s="41"/>
      <c r="E515" s="48" t="s">
        <v>21</v>
      </c>
      <c r="F515" s="41"/>
      <c r="G515" s="43"/>
      <c r="H515" s="133" t="s">
        <v>14</v>
      </c>
      <c r="I515" s="45"/>
      <c r="J515" s="45"/>
      <c r="K515" s="46"/>
      <c r="L515" s="47">
        <f t="shared" ref="L515:N515" ca="1" si="370">L518+L521</f>
        <v>33423500</v>
      </c>
      <c r="M515" s="47">
        <f t="shared" ca="1" si="370"/>
        <v>33423500</v>
      </c>
      <c r="N515" s="47">
        <f t="shared" ca="1" si="370"/>
        <v>0</v>
      </c>
      <c r="O515" s="47">
        <f t="shared" ca="1" si="363"/>
        <v>0</v>
      </c>
      <c r="P515" s="47">
        <f t="shared" ca="1" si="364"/>
        <v>0</v>
      </c>
      <c r="Q515" s="47">
        <f t="shared" ref="Q515:S515" ca="1" si="371">Q518+Q521</f>
        <v>0</v>
      </c>
      <c r="R515" s="47">
        <f t="shared" ca="1" si="371"/>
        <v>0</v>
      </c>
      <c r="S515" s="47">
        <f t="shared" ca="1" si="371"/>
        <v>0</v>
      </c>
      <c r="T515" s="47">
        <f t="shared" ca="1" si="366"/>
        <v>0</v>
      </c>
      <c r="U515" s="47">
        <f t="shared" ca="1" si="367"/>
        <v>0</v>
      </c>
    </row>
    <row r="516" spans="1:21" ht="18.75" x14ac:dyDescent="0.25">
      <c r="A516" s="128"/>
      <c r="B516" s="41"/>
      <c r="C516" s="41"/>
      <c r="D516" s="42" t="s">
        <v>22</v>
      </c>
      <c r="E516" s="41"/>
      <c r="F516" s="41"/>
      <c r="G516" s="43"/>
      <c r="H516" s="134" t="s">
        <v>14</v>
      </c>
      <c r="I516" s="135"/>
      <c r="J516" s="135"/>
      <c r="K516" s="136"/>
      <c r="L516" s="47">
        <f t="shared" ref="L516:N516" ca="1" si="372">L517+L518</f>
        <v>0</v>
      </c>
      <c r="M516" s="47">
        <f t="shared" ca="1" si="372"/>
        <v>0</v>
      </c>
      <c r="N516" s="47">
        <f t="shared" ca="1" si="372"/>
        <v>0</v>
      </c>
      <c r="O516" s="47">
        <f t="shared" ca="1" si="363"/>
        <v>0</v>
      </c>
      <c r="P516" s="47">
        <f t="shared" ca="1" si="364"/>
        <v>0</v>
      </c>
      <c r="Q516" s="47">
        <f t="shared" ref="Q516:S516" ca="1" si="373">Q517+Q518</f>
        <v>0</v>
      </c>
      <c r="R516" s="47">
        <f t="shared" ca="1" si="373"/>
        <v>0</v>
      </c>
      <c r="S516" s="47">
        <f t="shared" ca="1" si="373"/>
        <v>0</v>
      </c>
      <c r="T516" s="47">
        <f t="shared" ca="1" si="366"/>
        <v>0</v>
      </c>
      <c r="U516" s="47">
        <f t="shared" ca="1" si="367"/>
        <v>0</v>
      </c>
    </row>
    <row r="517" spans="1:21" ht="18.75" hidden="1" x14ac:dyDescent="0.25">
      <c r="A517" s="128"/>
      <c r="B517" s="41"/>
      <c r="C517" s="41"/>
      <c r="D517" s="41"/>
      <c r="E517" s="48" t="s">
        <v>36</v>
      </c>
      <c r="F517" s="41"/>
      <c r="G517" s="43"/>
      <c r="H517" s="134" t="s">
        <v>14</v>
      </c>
      <c r="I517" s="135"/>
      <c r="J517" s="135"/>
      <c r="K517" s="136"/>
      <c r="L517" s="47">
        <f ca="1">IFERROR(__xludf.DUMMYFUNCTION("IMPORTRANGE(""https://docs.google.com/spreadsheets/d/1kKUcYdkIfrgTSj8iHHHB2MD2FAtwyyocFgqGQn6ADyI/edit?usp=sharing"",""กระบี่!L517"")+IMPORTRANGE(""https://docs.google.com/spreadsheets/d/1GwtLaSlNZkLk7iDqcyZz22giiy40b_usZZBXYciEN1U/edit?usp=sharing"",""ชุ"&amp;"มพร!L517"")+IMPORTRANGE(""https://docs.google.com/spreadsheets/d/16pAz3pOhQEZBhvFNMa5KGgZS6iKWpsKX0pg6tQmwFpo/edit?usp=sharing"",""ตรัง!L517"")+IMPORTRANGE(""https://docs.google.com/spreadsheets/d/1Dj4jcHCTV9JXKCaMoheSXS52JE63kDKyG7bPXnFogHk/edit?usp=shar"&amp;"ing"",""นครศรีธรรมราช!L517"")+IMPORTRANGE(""https://docs.google.com/spreadsheets/d/1iodCdmuK2GR3jzUwk8tpccY2JHQQA-87DLOtJP-ooyU/edit?usp=sharing"",""นราธิวาส!L517"")+IMPORTRANGE(""https://docs.google.com/spreadsheets/d/1SDNX3JhDdYRuIOsj0Wh2M-Qa_eaXl0NbWmh"&amp;"AOTbfQAs/edit?usp=sharing"",""ปัตตานี!L517"")+IMPORTRANGE(""https://docs.google.com/spreadsheets/d/16JDLGguT8s5DsGCND1KcwHP_AWR_zDMTqLHPLJUKhaU/edit?usp=sharing"",""พังงา!L517"")+IMPORTRANGE(""https://docs.google.com/spreadsheets/d/17ht0gPKzzT3PObBL1XJkeR"&amp;"mntBXI7wGjpLV7QorqlTk/edit?usp=sharing"",""พัทลุง!L517"")+IMPORTRANGE(""https://docs.google.com/spreadsheets/d/1rd4qoM1q_hsgaolqNGfrim9gbsoLxQsda4-vOz5x_BM/edit?usp=sharing"",""ภูเก็ต!L517"")+IMPORTRANGE(""https://docs.google.com/spreadsheets/d/1woKwKjgoL"&amp;"ssDvPcPeVyezB5izizAn4X1JDrys69n6xI/edit?usp=sharing"",""ยะลา!L517"")+IMPORTRANGE(""https://docs.google.com/spreadsheets/d/1qfrKjzMhm2HJfxQ-qVlJlJQ25Hne1d0khsySbZyGtPA/edit?usp=sharing"",""ระนอง!L517"")+IMPORTRANGE(""https://docs.google.com/spreadsheets/d/"&amp;"1IbSCnFOKpZsnFogBHJnL_isstZVaOMnFiIN0fGTPZZw/edit?usp=sharing"",""สงขลา!L517"")+IMPORTRANGE(""https://docs.google.com/spreadsheets/d/1q9nWasZJ-K8bFGvbE9n0qSRuKGA4Toe3Y89cKCiVtCU/edit?usp=sharing"",""สตูล!L517"")+IMPORTRANGE(""https://docs.google.com/sprea"&amp;"dsheets/d/18T20gbkS_WBjdscyTOV05cvq_JqvqQ17C81mpxf7Ncs/edit?usp=sharing"",""สุราษฎร์ธานี!L517"")"),0)</f>
        <v>0</v>
      </c>
      <c r="M517" s="47">
        <f ca="1">IFERROR(__xludf.DUMMYFUNCTION("IMPORTRANGE(""https://docs.google.com/spreadsheets/d/1kKUcYdkIfrgTSj8iHHHB2MD2FAtwyyocFgqGQn6ADyI/edit?usp=sharing"",""กระบี่!M517"")+IMPORTRANGE(""https://docs.google.com/spreadsheets/d/1GwtLaSlNZkLk7iDqcyZz22giiy40b_usZZBXYciEN1U/edit?usp=sharing"",""ชุ"&amp;"มพร!M517"")+IMPORTRANGE(""https://docs.google.com/spreadsheets/d/16pAz3pOhQEZBhvFNMa5KGgZS6iKWpsKX0pg6tQmwFpo/edit?usp=sharing"",""ตรัง!M517"")+IMPORTRANGE(""https://docs.google.com/spreadsheets/d/1Dj4jcHCTV9JXKCaMoheSXS52JE63kDKyG7bPXnFogHk/edit?usp=shar"&amp;"ing"",""นครศรีธรรมราช!M517"")+IMPORTRANGE(""https://docs.google.com/spreadsheets/d/1iodCdmuK2GR3jzUwk8tpccY2JHQQA-87DLOtJP-ooyU/edit?usp=sharing"",""นราธิวาส!M517"")+IMPORTRANGE(""https://docs.google.com/spreadsheets/d/1SDNX3JhDdYRuIOsj0Wh2M-Qa_eaXl0NbWmh"&amp;"AOTbfQAs/edit?usp=sharing"",""ปัตตานี!M517"")+IMPORTRANGE(""https://docs.google.com/spreadsheets/d/16JDLGguT8s5DsGCND1KcwHP_AWR_zDMTqLHPLJUKhaU/edit?usp=sharing"",""พังงา!M517"")+IMPORTRANGE(""https://docs.google.com/spreadsheets/d/17ht0gPKzzT3PObBL1XJkeR"&amp;"mntBXI7wGjpLV7QorqlTk/edit?usp=sharing"",""พัทลุง!M517"")+IMPORTRANGE(""https://docs.google.com/spreadsheets/d/1rd4qoM1q_hsgaolqNGfrim9gbsoLxQsda4-vOz5x_BM/edit?usp=sharing"",""ภูเก็ต!M517"")+IMPORTRANGE(""https://docs.google.com/spreadsheets/d/1woKwKjgoL"&amp;"ssDvPcPeVyezB5izizAn4X1JDrys69n6xI/edit?usp=sharing"",""ยะลา!M517"")+IMPORTRANGE(""https://docs.google.com/spreadsheets/d/1qfrKjzMhm2HJfxQ-qVlJlJQ25Hne1d0khsySbZyGtPA/edit?usp=sharing"",""ระนอง!M517"")+IMPORTRANGE(""https://docs.google.com/spreadsheets/d/"&amp;"1IbSCnFOKpZsnFogBHJnL_isstZVaOMnFiIN0fGTPZZw/edit?usp=sharing"",""สงขลา!M517"")+IMPORTRANGE(""https://docs.google.com/spreadsheets/d/1q9nWasZJ-K8bFGvbE9n0qSRuKGA4Toe3Y89cKCiVtCU/edit?usp=sharing"",""สตูล!M517"")+IMPORTRANGE(""https://docs.google.com/sprea"&amp;"dsheets/d/18T20gbkS_WBjdscyTOV05cvq_JqvqQ17C81mpxf7Ncs/edit?usp=sharing"",""สุราษฎร์ธานี!M517"")"),0)</f>
        <v>0</v>
      </c>
      <c r="N517" s="47">
        <f ca="1">IFERROR(__xludf.DUMMYFUNCTION("IMPORTRANGE(""https://docs.google.com/spreadsheets/d/1kKUcYdkIfrgTSj8iHHHB2MD2FAtwyyocFgqGQn6ADyI/edit?usp=sharing"",""กระบี่!N517"")+IMPORTRANGE(""https://docs.google.com/spreadsheets/d/1GwtLaSlNZkLk7iDqcyZz22giiy40b_usZZBXYciEN1U/edit?usp=sharing"",""ชุ"&amp;"มพร!N517"")+IMPORTRANGE(""https://docs.google.com/spreadsheets/d/16pAz3pOhQEZBhvFNMa5KGgZS6iKWpsKX0pg6tQmwFpo/edit?usp=sharing"",""ตรัง!N517"")+IMPORTRANGE(""https://docs.google.com/spreadsheets/d/1Dj4jcHCTV9JXKCaMoheSXS52JE63kDKyG7bPXnFogHk/edit?usp=shar"&amp;"ing"",""นครศรีธรรมราช!N517"")+IMPORTRANGE(""https://docs.google.com/spreadsheets/d/1iodCdmuK2GR3jzUwk8tpccY2JHQQA-87DLOtJP-ooyU/edit?usp=sharing"",""นราธิวาส!N517"")+IMPORTRANGE(""https://docs.google.com/spreadsheets/d/1SDNX3JhDdYRuIOsj0Wh2M-Qa_eaXl0NbWmh"&amp;"AOTbfQAs/edit?usp=sharing"",""ปัตตานี!N517"")+IMPORTRANGE(""https://docs.google.com/spreadsheets/d/16JDLGguT8s5DsGCND1KcwHP_AWR_zDMTqLHPLJUKhaU/edit?usp=sharing"",""พังงา!N517"")+IMPORTRANGE(""https://docs.google.com/spreadsheets/d/17ht0gPKzzT3PObBL1XJkeR"&amp;"mntBXI7wGjpLV7QorqlTk/edit?usp=sharing"",""พัทลุง!N517"")+IMPORTRANGE(""https://docs.google.com/spreadsheets/d/1rd4qoM1q_hsgaolqNGfrim9gbsoLxQsda4-vOz5x_BM/edit?usp=sharing"",""ภูเก็ต!N517"")+IMPORTRANGE(""https://docs.google.com/spreadsheets/d/1woKwKjgoL"&amp;"ssDvPcPeVyezB5izizAn4X1JDrys69n6xI/edit?usp=sharing"",""ยะลา!N517"")+IMPORTRANGE(""https://docs.google.com/spreadsheets/d/1qfrKjzMhm2HJfxQ-qVlJlJQ25Hne1d0khsySbZyGtPA/edit?usp=sharing"",""ระนอง!N517"")+IMPORTRANGE(""https://docs.google.com/spreadsheets/d/"&amp;"1IbSCnFOKpZsnFogBHJnL_isstZVaOMnFiIN0fGTPZZw/edit?usp=sharing"",""สงขลา!N517"")+IMPORTRANGE(""https://docs.google.com/spreadsheets/d/1q9nWasZJ-K8bFGvbE9n0qSRuKGA4Toe3Y89cKCiVtCU/edit?usp=sharing"",""สตูล!N517"")+IMPORTRANGE(""https://docs.google.com/sprea"&amp;"dsheets/d/18T20gbkS_WBjdscyTOV05cvq_JqvqQ17C81mpxf7Ncs/edit?usp=sharing"",""สุราษฎร์ธานี!N517"")"),0)</f>
        <v>0</v>
      </c>
      <c r="O517" s="47">
        <f t="shared" ca="1" si="363"/>
        <v>0</v>
      </c>
      <c r="P517" s="47">
        <f t="shared" ca="1" si="364"/>
        <v>0</v>
      </c>
      <c r="Q517" s="47">
        <f ca="1">IFERROR(__xludf.DUMMYFUNCTION("IMPORTRANGE(""https://docs.google.com/spreadsheets/d/1kKUcYdkIfrgTSj8iHHHB2MD2FAtwyyocFgqGQn6ADyI/edit?usp=sharing"",""กระบี่!Q517"")+IMPORTRANGE(""https://docs.google.com/spreadsheets/d/1GwtLaSlNZkLk7iDqcyZz22giiy40b_usZZBXYciEN1U/edit?usp=sharing"",""ชุ"&amp;"มพร!Q517"")+IMPORTRANGE(""https://docs.google.com/spreadsheets/d/16pAz3pOhQEZBhvFNMa5KGgZS6iKWpsKX0pg6tQmwFpo/edit?usp=sharing"",""ตรัง!Q517"")+IMPORTRANGE(""https://docs.google.com/spreadsheets/d/1Dj4jcHCTV9JXKCaMoheSXS52JE63kDKyG7bPXnFogHk/edit?usp=shar"&amp;"ing"",""นครศรีธรรมราช!Q517"")+IMPORTRANGE(""https://docs.google.com/spreadsheets/d/1iodCdmuK2GR3jzUwk8tpccY2JHQQA-87DLOtJP-ooyU/edit?usp=sharing"",""นราธิวาส!Q517"")+IMPORTRANGE(""https://docs.google.com/spreadsheets/d/1SDNX3JhDdYRuIOsj0Wh2M-Qa_eaXl0NbWmh"&amp;"AOTbfQAs/edit?usp=sharing"",""ปัตตานี!Q517"")+IMPORTRANGE(""https://docs.google.com/spreadsheets/d/16JDLGguT8s5DsGCND1KcwHP_AWR_zDMTqLHPLJUKhaU/edit?usp=sharing"",""พังงา!Q517"")+IMPORTRANGE(""https://docs.google.com/spreadsheets/d/17ht0gPKzzT3PObBL1XJkeR"&amp;"mntBXI7wGjpLV7QorqlTk/edit?usp=sharing"",""พัทลุง!Q517"")+IMPORTRANGE(""https://docs.google.com/spreadsheets/d/1rd4qoM1q_hsgaolqNGfrim9gbsoLxQsda4-vOz5x_BM/edit?usp=sharing"",""ภูเก็ต!Q517"")+IMPORTRANGE(""https://docs.google.com/spreadsheets/d/1woKwKjgoL"&amp;"ssDvPcPeVyezB5izizAn4X1JDrys69n6xI/edit?usp=sharing"",""ยะลา!Q517"")+IMPORTRANGE(""https://docs.google.com/spreadsheets/d/1qfrKjzMhm2HJfxQ-qVlJlJQ25Hne1d0khsySbZyGtPA/edit?usp=sharing"",""ระนอง!Q517"")+IMPORTRANGE(""https://docs.google.com/spreadsheets/d/"&amp;"1IbSCnFOKpZsnFogBHJnL_isstZVaOMnFiIN0fGTPZZw/edit?usp=sharing"",""สงขลา!Q517"")+IMPORTRANGE(""https://docs.google.com/spreadsheets/d/1q9nWasZJ-K8bFGvbE9n0qSRuKGA4Toe3Y89cKCiVtCU/edit?usp=sharing"",""สตูล!Q517"")+IMPORTRANGE(""https://docs.google.com/sprea"&amp;"dsheets/d/18T20gbkS_WBjdscyTOV05cvq_JqvqQ17C81mpxf7Ncs/edit?usp=sharing"",""สุราษฎร์ธานี!Q517"")"),0)</f>
        <v>0</v>
      </c>
      <c r="R517" s="47">
        <f ca="1">IFERROR(__xludf.DUMMYFUNCTION("IMPORTRANGE(""https://docs.google.com/spreadsheets/d/1kKUcYdkIfrgTSj8iHHHB2MD2FAtwyyocFgqGQn6ADyI/edit?usp=sharing"",""กระบี่!R517"")+IMPORTRANGE(""https://docs.google.com/spreadsheets/d/1GwtLaSlNZkLk7iDqcyZz22giiy40b_usZZBXYciEN1U/edit?usp=sharing"",""ชุ"&amp;"มพร!R517"")+IMPORTRANGE(""https://docs.google.com/spreadsheets/d/16pAz3pOhQEZBhvFNMa5KGgZS6iKWpsKX0pg6tQmwFpo/edit?usp=sharing"",""ตรัง!R517"")+IMPORTRANGE(""https://docs.google.com/spreadsheets/d/1Dj4jcHCTV9JXKCaMoheSXS52JE63kDKyG7bPXnFogHk/edit?usp=shar"&amp;"ing"",""นครศรีธรรมราช!R517"")+IMPORTRANGE(""https://docs.google.com/spreadsheets/d/1iodCdmuK2GR3jzUwk8tpccY2JHQQA-87DLOtJP-ooyU/edit?usp=sharing"",""นราธิวาส!R517"")+IMPORTRANGE(""https://docs.google.com/spreadsheets/d/1SDNX3JhDdYRuIOsj0Wh2M-Qa_eaXl0NbWmh"&amp;"AOTbfQAs/edit?usp=sharing"",""ปัตตานี!R517"")+IMPORTRANGE(""https://docs.google.com/spreadsheets/d/16JDLGguT8s5DsGCND1KcwHP_AWR_zDMTqLHPLJUKhaU/edit?usp=sharing"",""พังงา!R517"")+IMPORTRANGE(""https://docs.google.com/spreadsheets/d/17ht0gPKzzT3PObBL1XJkeR"&amp;"mntBXI7wGjpLV7QorqlTk/edit?usp=sharing"",""พัทลุง!R517"")+IMPORTRANGE(""https://docs.google.com/spreadsheets/d/1rd4qoM1q_hsgaolqNGfrim9gbsoLxQsda4-vOz5x_BM/edit?usp=sharing"",""ภูเก็ต!R517"")+IMPORTRANGE(""https://docs.google.com/spreadsheets/d/1woKwKjgoL"&amp;"ssDvPcPeVyezB5izizAn4X1JDrys69n6xI/edit?usp=sharing"",""ยะลา!R517"")+IMPORTRANGE(""https://docs.google.com/spreadsheets/d/1qfrKjzMhm2HJfxQ-qVlJlJQ25Hne1d0khsySbZyGtPA/edit?usp=sharing"",""ระนอง!R517"")+IMPORTRANGE(""https://docs.google.com/spreadsheets/d/"&amp;"1IbSCnFOKpZsnFogBHJnL_isstZVaOMnFiIN0fGTPZZw/edit?usp=sharing"",""สงขลา!R517"")+IMPORTRANGE(""https://docs.google.com/spreadsheets/d/1q9nWasZJ-K8bFGvbE9n0qSRuKGA4Toe3Y89cKCiVtCU/edit?usp=sharing"",""สตูล!R517"")+IMPORTRANGE(""https://docs.google.com/sprea"&amp;"dsheets/d/18T20gbkS_WBjdscyTOV05cvq_JqvqQ17C81mpxf7Ncs/edit?usp=sharing"",""สุราษฎร์ธานี!R517"")"),0)</f>
        <v>0</v>
      </c>
      <c r="S517" s="47">
        <f ca="1">IFERROR(__xludf.DUMMYFUNCTION("IMPORTRANGE(""https://docs.google.com/spreadsheets/d/1kKUcYdkIfrgTSj8iHHHB2MD2FAtwyyocFgqGQn6ADyI/edit?usp=sharing"",""กระบี่!S517"")+IMPORTRANGE(""https://docs.google.com/spreadsheets/d/1GwtLaSlNZkLk7iDqcyZz22giiy40b_usZZBXYciEN1U/edit?usp=sharing"",""ชุ"&amp;"มพร!S517"")+IMPORTRANGE(""https://docs.google.com/spreadsheets/d/16pAz3pOhQEZBhvFNMa5KGgZS6iKWpsKX0pg6tQmwFpo/edit?usp=sharing"",""ตรัง!S517"")+IMPORTRANGE(""https://docs.google.com/spreadsheets/d/1Dj4jcHCTV9JXKCaMoheSXS52JE63kDKyG7bPXnFogHk/edit?usp=shar"&amp;"ing"",""นครศรีธรรมราช!S517"")+IMPORTRANGE(""https://docs.google.com/spreadsheets/d/1iodCdmuK2GR3jzUwk8tpccY2JHQQA-87DLOtJP-ooyU/edit?usp=sharing"",""นราธิวาส!S517"")+IMPORTRANGE(""https://docs.google.com/spreadsheets/d/1SDNX3JhDdYRuIOsj0Wh2M-Qa_eaXl0NbWmh"&amp;"AOTbfQAs/edit?usp=sharing"",""ปัตตานี!S517"")+IMPORTRANGE(""https://docs.google.com/spreadsheets/d/16JDLGguT8s5DsGCND1KcwHP_AWR_zDMTqLHPLJUKhaU/edit?usp=sharing"",""พังงา!S517"")+IMPORTRANGE(""https://docs.google.com/spreadsheets/d/17ht0gPKzzT3PObBL1XJkeR"&amp;"mntBXI7wGjpLV7QorqlTk/edit?usp=sharing"",""พัทลุง!S517"")+IMPORTRANGE(""https://docs.google.com/spreadsheets/d/1rd4qoM1q_hsgaolqNGfrim9gbsoLxQsda4-vOz5x_BM/edit?usp=sharing"",""ภูเก็ต!S517"")+IMPORTRANGE(""https://docs.google.com/spreadsheets/d/1woKwKjgoL"&amp;"ssDvPcPeVyezB5izizAn4X1JDrys69n6xI/edit?usp=sharing"",""ยะลา!S517"")+IMPORTRANGE(""https://docs.google.com/spreadsheets/d/1qfrKjzMhm2HJfxQ-qVlJlJQ25Hne1d0khsySbZyGtPA/edit?usp=sharing"",""ระนอง!S517"")+IMPORTRANGE(""https://docs.google.com/spreadsheets/d/"&amp;"1IbSCnFOKpZsnFogBHJnL_isstZVaOMnFiIN0fGTPZZw/edit?usp=sharing"",""สงขลา!S517"")+IMPORTRANGE(""https://docs.google.com/spreadsheets/d/1q9nWasZJ-K8bFGvbE9n0qSRuKGA4Toe3Y89cKCiVtCU/edit?usp=sharing"",""สตูล!S517"")+IMPORTRANGE(""https://docs.google.com/sprea"&amp;"dsheets/d/18T20gbkS_WBjdscyTOV05cvq_JqvqQ17C81mpxf7Ncs/edit?usp=sharing"",""สุราษฎร์ธานี!S517"")"),0)</f>
        <v>0</v>
      </c>
      <c r="T517" s="49">
        <f t="shared" ca="1" si="366"/>
        <v>0</v>
      </c>
      <c r="U517" s="49">
        <f t="shared" ca="1" si="367"/>
        <v>0</v>
      </c>
    </row>
    <row r="518" spans="1:21" ht="18.75" hidden="1" x14ac:dyDescent="0.25">
      <c r="A518" s="128"/>
      <c r="B518" s="41"/>
      <c r="C518" s="41"/>
      <c r="D518" s="41"/>
      <c r="E518" s="48" t="s">
        <v>37</v>
      </c>
      <c r="F518" s="41"/>
      <c r="G518" s="43"/>
      <c r="H518" s="134" t="s">
        <v>14</v>
      </c>
      <c r="I518" s="135"/>
      <c r="J518" s="135"/>
      <c r="K518" s="136"/>
      <c r="L518" s="47">
        <f ca="1">IFERROR(__xludf.DUMMYFUNCTION("IMPORTRANGE(""https://docs.google.com/spreadsheets/d/1kKUcYdkIfrgTSj8iHHHB2MD2FAtwyyocFgqGQn6ADyI/edit?usp=sharing"",""กระบี่!L518"")+IMPORTRANGE(""https://docs.google.com/spreadsheets/d/1GwtLaSlNZkLk7iDqcyZz22giiy40b_usZZBXYciEN1U/edit?usp=sharing"",""ชุ"&amp;"มพร!L518"")+IMPORTRANGE(""https://docs.google.com/spreadsheets/d/16pAz3pOhQEZBhvFNMa5KGgZS6iKWpsKX0pg6tQmwFpo/edit?usp=sharing"",""ตรัง!L518"")+IMPORTRANGE(""https://docs.google.com/spreadsheets/d/1Dj4jcHCTV9JXKCaMoheSXS52JE63kDKyG7bPXnFogHk/edit?usp=shar"&amp;"ing"",""นครศรีธรรมราช!L518"")+IMPORTRANGE(""https://docs.google.com/spreadsheets/d/1iodCdmuK2GR3jzUwk8tpccY2JHQQA-87DLOtJP-ooyU/edit?usp=sharing"",""นราธิวาส!L518"")+IMPORTRANGE(""https://docs.google.com/spreadsheets/d/1SDNX3JhDdYRuIOsj0Wh2M-Qa_eaXl0NbWmh"&amp;"AOTbfQAs/edit?usp=sharing"",""ปัตตานี!L518"")+IMPORTRANGE(""https://docs.google.com/spreadsheets/d/16JDLGguT8s5DsGCND1KcwHP_AWR_zDMTqLHPLJUKhaU/edit?usp=sharing"",""พังงา!L518"")+IMPORTRANGE(""https://docs.google.com/spreadsheets/d/17ht0gPKzzT3PObBL1XJkeR"&amp;"mntBXI7wGjpLV7QorqlTk/edit?usp=sharing"",""พัทลุง!L518"")+IMPORTRANGE(""https://docs.google.com/spreadsheets/d/1rd4qoM1q_hsgaolqNGfrim9gbsoLxQsda4-vOz5x_BM/edit?usp=sharing"",""ภูเก็ต!L518"")+IMPORTRANGE(""https://docs.google.com/spreadsheets/d/1woKwKjgoL"&amp;"ssDvPcPeVyezB5izizAn4X1JDrys69n6xI/edit?usp=sharing"",""ยะลา!L518"")+IMPORTRANGE(""https://docs.google.com/spreadsheets/d/1qfrKjzMhm2HJfxQ-qVlJlJQ25Hne1d0khsySbZyGtPA/edit?usp=sharing"",""ระนอง!L518"")+IMPORTRANGE(""https://docs.google.com/spreadsheets/d/"&amp;"1IbSCnFOKpZsnFogBHJnL_isstZVaOMnFiIN0fGTPZZw/edit?usp=sharing"",""สงขลา!L518"")+IMPORTRANGE(""https://docs.google.com/spreadsheets/d/1q9nWasZJ-K8bFGvbE9n0qSRuKGA4Toe3Y89cKCiVtCU/edit?usp=sharing"",""สตูล!L518"")+IMPORTRANGE(""https://docs.google.com/sprea"&amp;"dsheets/d/18T20gbkS_WBjdscyTOV05cvq_JqvqQ17C81mpxf7Ncs/edit?usp=sharing"",""สุราษฎร์ธานี!L518"")"),0)</f>
        <v>0</v>
      </c>
      <c r="M518" s="47">
        <f ca="1">IFERROR(__xludf.DUMMYFUNCTION("IMPORTRANGE(""https://docs.google.com/spreadsheets/d/1kKUcYdkIfrgTSj8iHHHB2MD2FAtwyyocFgqGQn6ADyI/edit?usp=sharing"",""กระบี่!M518"")+IMPORTRANGE(""https://docs.google.com/spreadsheets/d/1GwtLaSlNZkLk7iDqcyZz22giiy40b_usZZBXYciEN1U/edit?usp=sharing"",""ชุ"&amp;"มพร!M518"")+IMPORTRANGE(""https://docs.google.com/spreadsheets/d/16pAz3pOhQEZBhvFNMa5KGgZS6iKWpsKX0pg6tQmwFpo/edit?usp=sharing"",""ตรัง!M518"")+IMPORTRANGE(""https://docs.google.com/spreadsheets/d/1Dj4jcHCTV9JXKCaMoheSXS52JE63kDKyG7bPXnFogHk/edit?usp=shar"&amp;"ing"",""นครศรีธรรมราช!M518"")+IMPORTRANGE(""https://docs.google.com/spreadsheets/d/1iodCdmuK2GR3jzUwk8tpccY2JHQQA-87DLOtJP-ooyU/edit?usp=sharing"",""นราธิวาส!M518"")+IMPORTRANGE(""https://docs.google.com/spreadsheets/d/1SDNX3JhDdYRuIOsj0Wh2M-Qa_eaXl0NbWmh"&amp;"AOTbfQAs/edit?usp=sharing"",""ปัตตานี!M518"")+IMPORTRANGE(""https://docs.google.com/spreadsheets/d/16JDLGguT8s5DsGCND1KcwHP_AWR_zDMTqLHPLJUKhaU/edit?usp=sharing"",""พังงา!M518"")+IMPORTRANGE(""https://docs.google.com/spreadsheets/d/17ht0gPKzzT3PObBL1XJkeR"&amp;"mntBXI7wGjpLV7QorqlTk/edit?usp=sharing"",""พัทลุง!M518"")+IMPORTRANGE(""https://docs.google.com/spreadsheets/d/1rd4qoM1q_hsgaolqNGfrim9gbsoLxQsda4-vOz5x_BM/edit?usp=sharing"",""ภูเก็ต!M518"")+IMPORTRANGE(""https://docs.google.com/spreadsheets/d/1woKwKjgoL"&amp;"ssDvPcPeVyezB5izizAn4X1JDrys69n6xI/edit?usp=sharing"",""ยะลา!M518"")+IMPORTRANGE(""https://docs.google.com/spreadsheets/d/1qfrKjzMhm2HJfxQ-qVlJlJQ25Hne1d0khsySbZyGtPA/edit?usp=sharing"",""ระนอง!M518"")+IMPORTRANGE(""https://docs.google.com/spreadsheets/d/"&amp;"1IbSCnFOKpZsnFogBHJnL_isstZVaOMnFiIN0fGTPZZw/edit?usp=sharing"",""สงขลา!M518"")+IMPORTRANGE(""https://docs.google.com/spreadsheets/d/1q9nWasZJ-K8bFGvbE9n0qSRuKGA4Toe3Y89cKCiVtCU/edit?usp=sharing"",""สตูล!M518"")+IMPORTRANGE(""https://docs.google.com/sprea"&amp;"dsheets/d/18T20gbkS_WBjdscyTOV05cvq_JqvqQ17C81mpxf7Ncs/edit?usp=sharing"",""สุราษฎร์ธานี!M518"")"),0)</f>
        <v>0</v>
      </c>
      <c r="N518" s="47">
        <f ca="1">IFERROR(__xludf.DUMMYFUNCTION("IMPORTRANGE(""https://docs.google.com/spreadsheets/d/1kKUcYdkIfrgTSj8iHHHB2MD2FAtwyyocFgqGQn6ADyI/edit?usp=sharing"",""กระบี่!N518"")+IMPORTRANGE(""https://docs.google.com/spreadsheets/d/1GwtLaSlNZkLk7iDqcyZz22giiy40b_usZZBXYciEN1U/edit?usp=sharing"",""ชุ"&amp;"มพร!N518"")+IMPORTRANGE(""https://docs.google.com/spreadsheets/d/16pAz3pOhQEZBhvFNMa5KGgZS6iKWpsKX0pg6tQmwFpo/edit?usp=sharing"",""ตรัง!N518"")+IMPORTRANGE(""https://docs.google.com/spreadsheets/d/1Dj4jcHCTV9JXKCaMoheSXS52JE63kDKyG7bPXnFogHk/edit?usp=shar"&amp;"ing"",""นครศรีธรรมราช!N518"")+IMPORTRANGE(""https://docs.google.com/spreadsheets/d/1iodCdmuK2GR3jzUwk8tpccY2JHQQA-87DLOtJP-ooyU/edit?usp=sharing"",""นราธิวาส!N518"")+IMPORTRANGE(""https://docs.google.com/spreadsheets/d/1SDNX3JhDdYRuIOsj0Wh2M-Qa_eaXl0NbWmh"&amp;"AOTbfQAs/edit?usp=sharing"",""ปัตตานี!N518"")+IMPORTRANGE(""https://docs.google.com/spreadsheets/d/16JDLGguT8s5DsGCND1KcwHP_AWR_zDMTqLHPLJUKhaU/edit?usp=sharing"",""พังงา!N518"")+IMPORTRANGE(""https://docs.google.com/spreadsheets/d/17ht0gPKzzT3PObBL1XJkeR"&amp;"mntBXI7wGjpLV7QorqlTk/edit?usp=sharing"",""พัทลุง!N518"")+IMPORTRANGE(""https://docs.google.com/spreadsheets/d/1rd4qoM1q_hsgaolqNGfrim9gbsoLxQsda4-vOz5x_BM/edit?usp=sharing"",""ภูเก็ต!N518"")+IMPORTRANGE(""https://docs.google.com/spreadsheets/d/1woKwKjgoL"&amp;"ssDvPcPeVyezB5izizAn4X1JDrys69n6xI/edit?usp=sharing"",""ยะลา!N518"")+IMPORTRANGE(""https://docs.google.com/spreadsheets/d/1qfrKjzMhm2HJfxQ-qVlJlJQ25Hne1d0khsySbZyGtPA/edit?usp=sharing"",""ระนอง!N518"")+IMPORTRANGE(""https://docs.google.com/spreadsheets/d/"&amp;"1IbSCnFOKpZsnFogBHJnL_isstZVaOMnFiIN0fGTPZZw/edit?usp=sharing"",""สงขลา!N518"")+IMPORTRANGE(""https://docs.google.com/spreadsheets/d/1q9nWasZJ-K8bFGvbE9n0qSRuKGA4Toe3Y89cKCiVtCU/edit?usp=sharing"",""สตูล!N518"")+IMPORTRANGE(""https://docs.google.com/sprea"&amp;"dsheets/d/18T20gbkS_WBjdscyTOV05cvq_JqvqQ17C81mpxf7Ncs/edit?usp=sharing"",""สุราษฎร์ธานี!N518"")"),0)</f>
        <v>0</v>
      </c>
      <c r="O518" s="47">
        <f t="shared" ca="1" si="363"/>
        <v>0</v>
      </c>
      <c r="P518" s="47">
        <f t="shared" ca="1" si="364"/>
        <v>0</v>
      </c>
      <c r="Q518" s="47">
        <f ca="1">IFERROR(__xludf.DUMMYFUNCTION("IMPORTRANGE(""https://docs.google.com/spreadsheets/d/1kKUcYdkIfrgTSj8iHHHB2MD2FAtwyyocFgqGQn6ADyI/edit?usp=sharing"",""กระบี่!Q518"")+IMPORTRANGE(""https://docs.google.com/spreadsheets/d/1GwtLaSlNZkLk7iDqcyZz22giiy40b_usZZBXYciEN1U/edit?usp=sharing"",""ชุ"&amp;"มพร!Q518"")+IMPORTRANGE(""https://docs.google.com/spreadsheets/d/16pAz3pOhQEZBhvFNMa5KGgZS6iKWpsKX0pg6tQmwFpo/edit?usp=sharing"",""ตรัง!Q518"")+IMPORTRANGE(""https://docs.google.com/spreadsheets/d/1Dj4jcHCTV9JXKCaMoheSXS52JE63kDKyG7bPXnFogHk/edit?usp=shar"&amp;"ing"",""นครศรีธรรมราช!Q518"")+IMPORTRANGE(""https://docs.google.com/spreadsheets/d/1iodCdmuK2GR3jzUwk8tpccY2JHQQA-87DLOtJP-ooyU/edit?usp=sharing"",""นราธิวาส!Q518"")+IMPORTRANGE(""https://docs.google.com/spreadsheets/d/1SDNX3JhDdYRuIOsj0Wh2M-Qa_eaXl0NbWmh"&amp;"AOTbfQAs/edit?usp=sharing"",""ปัตตานี!Q518"")+IMPORTRANGE(""https://docs.google.com/spreadsheets/d/16JDLGguT8s5DsGCND1KcwHP_AWR_zDMTqLHPLJUKhaU/edit?usp=sharing"",""พังงา!Q518"")+IMPORTRANGE(""https://docs.google.com/spreadsheets/d/17ht0gPKzzT3PObBL1XJkeR"&amp;"mntBXI7wGjpLV7QorqlTk/edit?usp=sharing"",""พัทลุง!Q518"")+IMPORTRANGE(""https://docs.google.com/spreadsheets/d/1rd4qoM1q_hsgaolqNGfrim9gbsoLxQsda4-vOz5x_BM/edit?usp=sharing"",""ภูเก็ต!Q518"")+IMPORTRANGE(""https://docs.google.com/spreadsheets/d/1woKwKjgoL"&amp;"ssDvPcPeVyezB5izizAn4X1JDrys69n6xI/edit?usp=sharing"",""ยะลา!Q518"")+IMPORTRANGE(""https://docs.google.com/spreadsheets/d/1qfrKjzMhm2HJfxQ-qVlJlJQ25Hne1d0khsySbZyGtPA/edit?usp=sharing"",""ระนอง!Q518"")+IMPORTRANGE(""https://docs.google.com/spreadsheets/d/"&amp;"1IbSCnFOKpZsnFogBHJnL_isstZVaOMnFiIN0fGTPZZw/edit?usp=sharing"",""สงขลา!Q518"")+IMPORTRANGE(""https://docs.google.com/spreadsheets/d/1q9nWasZJ-K8bFGvbE9n0qSRuKGA4Toe3Y89cKCiVtCU/edit?usp=sharing"",""สตูล!Q518"")+IMPORTRANGE(""https://docs.google.com/sprea"&amp;"dsheets/d/18T20gbkS_WBjdscyTOV05cvq_JqvqQ17C81mpxf7Ncs/edit?usp=sharing"",""สุราษฎร์ธานี!Q518"")"),0)</f>
        <v>0</v>
      </c>
      <c r="R518" s="47">
        <f ca="1">IFERROR(__xludf.DUMMYFUNCTION("IMPORTRANGE(""https://docs.google.com/spreadsheets/d/1kKUcYdkIfrgTSj8iHHHB2MD2FAtwyyocFgqGQn6ADyI/edit?usp=sharing"",""กระบี่!R518"")+IMPORTRANGE(""https://docs.google.com/spreadsheets/d/1GwtLaSlNZkLk7iDqcyZz22giiy40b_usZZBXYciEN1U/edit?usp=sharing"",""ชุ"&amp;"มพร!R518"")+IMPORTRANGE(""https://docs.google.com/spreadsheets/d/16pAz3pOhQEZBhvFNMa5KGgZS6iKWpsKX0pg6tQmwFpo/edit?usp=sharing"",""ตรัง!R518"")+IMPORTRANGE(""https://docs.google.com/spreadsheets/d/1Dj4jcHCTV9JXKCaMoheSXS52JE63kDKyG7bPXnFogHk/edit?usp=shar"&amp;"ing"",""นครศรีธรรมราช!R518"")+IMPORTRANGE(""https://docs.google.com/spreadsheets/d/1iodCdmuK2GR3jzUwk8tpccY2JHQQA-87DLOtJP-ooyU/edit?usp=sharing"",""นราธิวาส!R518"")+IMPORTRANGE(""https://docs.google.com/spreadsheets/d/1SDNX3JhDdYRuIOsj0Wh2M-Qa_eaXl0NbWmh"&amp;"AOTbfQAs/edit?usp=sharing"",""ปัตตานี!R518"")+IMPORTRANGE(""https://docs.google.com/spreadsheets/d/16JDLGguT8s5DsGCND1KcwHP_AWR_zDMTqLHPLJUKhaU/edit?usp=sharing"",""พังงา!R518"")+IMPORTRANGE(""https://docs.google.com/spreadsheets/d/17ht0gPKzzT3PObBL1XJkeR"&amp;"mntBXI7wGjpLV7QorqlTk/edit?usp=sharing"",""พัทลุง!R518"")+IMPORTRANGE(""https://docs.google.com/spreadsheets/d/1rd4qoM1q_hsgaolqNGfrim9gbsoLxQsda4-vOz5x_BM/edit?usp=sharing"",""ภูเก็ต!R518"")+IMPORTRANGE(""https://docs.google.com/spreadsheets/d/1woKwKjgoL"&amp;"ssDvPcPeVyezB5izizAn4X1JDrys69n6xI/edit?usp=sharing"",""ยะลา!R518"")+IMPORTRANGE(""https://docs.google.com/spreadsheets/d/1qfrKjzMhm2HJfxQ-qVlJlJQ25Hne1d0khsySbZyGtPA/edit?usp=sharing"",""ระนอง!R518"")+IMPORTRANGE(""https://docs.google.com/spreadsheets/d/"&amp;"1IbSCnFOKpZsnFogBHJnL_isstZVaOMnFiIN0fGTPZZw/edit?usp=sharing"",""สงขลา!R518"")+IMPORTRANGE(""https://docs.google.com/spreadsheets/d/1q9nWasZJ-K8bFGvbE9n0qSRuKGA4Toe3Y89cKCiVtCU/edit?usp=sharing"",""สตูล!R518"")+IMPORTRANGE(""https://docs.google.com/sprea"&amp;"dsheets/d/18T20gbkS_WBjdscyTOV05cvq_JqvqQ17C81mpxf7Ncs/edit?usp=sharing"",""สุราษฎร์ธานี!R518"")"),0)</f>
        <v>0</v>
      </c>
      <c r="S518" s="47">
        <f ca="1">IFERROR(__xludf.DUMMYFUNCTION("IMPORTRANGE(""https://docs.google.com/spreadsheets/d/1kKUcYdkIfrgTSj8iHHHB2MD2FAtwyyocFgqGQn6ADyI/edit?usp=sharing"",""กระบี่!S518"")+IMPORTRANGE(""https://docs.google.com/spreadsheets/d/1GwtLaSlNZkLk7iDqcyZz22giiy40b_usZZBXYciEN1U/edit?usp=sharing"",""ชุ"&amp;"มพร!S518"")+IMPORTRANGE(""https://docs.google.com/spreadsheets/d/16pAz3pOhQEZBhvFNMa5KGgZS6iKWpsKX0pg6tQmwFpo/edit?usp=sharing"",""ตรัง!S518"")+IMPORTRANGE(""https://docs.google.com/spreadsheets/d/1Dj4jcHCTV9JXKCaMoheSXS52JE63kDKyG7bPXnFogHk/edit?usp=shar"&amp;"ing"",""นครศรีธรรมราช!S518"")+IMPORTRANGE(""https://docs.google.com/spreadsheets/d/1iodCdmuK2GR3jzUwk8tpccY2JHQQA-87DLOtJP-ooyU/edit?usp=sharing"",""นราธิวาส!S518"")+IMPORTRANGE(""https://docs.google.com/spreadsheets/d/1SDNX3JhDdYRuIOsj0Wh2M-Qa_eaXl0NbWmh"&amp;"AOTbfQAs/edit?usp=sharing"",""ปัตตานี!S518"")+IMPORTRANGE(""https://docs.google.com/spreadsheets/d/16JDLGguT8s5DsGCND1KcwHP_AWR_zDMTqLHPLJUKhaU/edit?usp=sharing"",""พังงา!S518"")+IMPORTRANGE(""https://docs.google.com/spreadsheets/d/17ht0gPKzzT3PObBL1XJkeR"&amp;"mntBXI7wGjpLV7QorqlTk/edit?usp=sharing"",""พัทลุง!S518"")+IMPORTRANGE(""https://docs.google.com/spreadsheets/d/1rd4qoM1q_hsgaolqNGfrim9gbsoLxQsda4-vOz5x_BM/edit?usp=sharing"",""ภูเก็ต!S518"")+IMPORTRANGE(""https://docs.google.com/spreadsheets/d/1woKwKjgoL"&amp;"ssDvPcPeVyezB5izizAn4X1JDrys69n6xI/edit?usp=sharing"",""ยะลา!S518"")+IMPORTRANGE(""https://docs.google.com/spreadsheets/d/1qfrKjzMhm2HJfxQ-qVlJlJQ25Hne1d0khsySbZyGtPA/edit?usp=sharing"",""ระนอง!S518"")+IMPORTRANGE(""https://docs.google.com/spreadsheets/d/"&amp;"1IbSCnFOKpZsnFogBHJnL_isstZVaOMnFiIN0fGTPZZw/edit?usp=sharing"",""สงขลา!S518"")+IMPORTRANGE(""https://docs.google.com/spreadsheets/d/1q9nWasZJ-K8bFGvbE9n0qSRuKGA4Toe3Y89cKCiVtCU/edit?usp=sharing"",""สตูล!S518"")+IMPORTRANGE(""https://docs.google.com/sprea"&amp;"dsheets/d/18T20gbkS_WBjdscyTOV05cvq_JqvqQ17C81mpxf7Ncs/edit?usp=sharing"",""สุราษฎร์ธานี!S518"")"),0)</f>
        <v>0</v>
      </c>
      <c r="T518" s="47">
        <f t="shared" ca="1" si="366"/>
        <v>0</v>
      </c>
      <c r="U518" s="47">
        <f t="shared" ca="1" si="367"/>
        <v>0</v>
      </c>
    </row>
    <row r="519" spans="1:21" ht="18.75" x14ac:dyDescent="0.25">
      <c r="A519" s="128"/>
      <c r="B519" s="41"/>
      <c r="C519" s="41"/>
      <c r="D519" s="42" t="s">
        <v>23</v>
      </c>
      <c r="E519" s="41"/>
      <c r="F519" s="41"/>
      <c r="G519" s="43"/>
      <c r="H519" s="137" t="s">
        <v>14</v>
      </c>
      <c r="I519" s="135"/>
      <c r="J519" s="135"/>
      <c r="K519" s="136"/>
      <c r="L519" s="47">
        <f t="shared" ref="L519:N519" ca="1" si="374">L520+L521</f>
        <v>33423500</v>
      </c>
      <c r="M519" s="47">
        <f t="shared" ca="1" si="374"/>
        <v>33423500</v>
      </c>
      <c r="N519" s="47">
        <f t="shared" ca="1" si="374"/>
        <v>0</v>
      </c>
      <c r="O519" s="47">
        <f t="shared" ca="1" si="363"/>
        <v>0</v>
      </c>
      <c r="P519" s="47">
        <f t="shared" ca="1" si="364"/>
        <v>0</v>
      </c>
      <c r="Q519" s="47">
        <f t="shared" ref="Q519:S519" ca="1" si="375">Q520+Q521</f>
        <v>0</v>
      </c>
      <c r="R519" s="47">
        <f t="shared" ca="1" si="375"/>
        <v>0</v>
      </c>
      <c r="S519" s="47">
        <f t="shared" ca="1" si="375"/>
        <v>0</v>
      </c>
      <c r="T519" s="47">
        <f t="shared" ca="1" si="366"/>
        <v>0</v>
      </c>
      <c r="U519" s="47">
        <f t="shared" ca="1" si="367"/>
        <v>0</v>
      </c>
    </row>
    <row r="520" spans="1:21" ht="18.75" hidden="1" x14ac:dyDescent="0.25">
      <c r="A520" s="128"/>
      <c r="B520" s="41"/>
      <c r="C520" s="41"/>
      <c r="D520" s="41"/>
      <c r="E520" s="48" t="s">
        <v>20</v>
      </c>
      <c r="F520" s="41"/>
      <c r="G520" s="43"/>
      <c r="H520" s="134" t="s">
        <v>14</v>
      </c>
      <c r="I520" s="135"/>
      <c r="J520" s="135"/>
      <c r="K520" s="136"/>
      <c r="L520" s="47">
        <f ca="1">IFERROR(__xludf.DUMMYFUNCTION("IMPORTRANGE(""https://docs.google.com/spreadsheets/d/1kKUcYdkIfrgTSj8iHHHB2MD2FAtwyyocFgqGQn6ADyI/edit?usp=sharing"",""กระบี่!L520"")+IMPORTRANGE(""https://docs.google.com/spreadsheets/d/1GwtLaSlNZkLk7iDqcyZz22giiy40b_usZZBXYciEN1U/edit?usp=sharing"",""ชุ"&amp;"มพร!L520"")+IMPORTRANGE(""https://docs.google.com/spreadsheets/d/16pAz3pOhQEZBhvFNMa5KGgZS6iKWpsKX0pg6tQmwFpo/edit?usp=sharing"",""ตรัง!L520"")+IMPORTRANGE(""https://docs.google.com/spreadsheets/d/1Dj4jcHCTV9JXKCaMoheSXS52JE63kDKyG7bPXnFogHk/edit?usp=shar"&amp;"ing"",""นครศรีธรรมราช!L520"")+IMPORTRANGE(""https://docs.google.com/spreadsheets/d/1iodCdmuK2GR3jzUwk8tpccY2JHQQA-87DLOtJP-ooyU/edit?usp=sharing"",""นราธิวาส!L520"")+IMPORTRANGE(""https://docs.google.com/spreadsheets/d/1SDNX3JhDdYRuIOsj0Wh2M-Qa_eaXl0NbWmh"&amp;"AOTbfQAs/edit?usp=sharing"",""ปัตตานี!L520"")+IMPORTRANGE(""https://docs.google.com/spreadsheets/d/16JDLGguT8s5DsGCND1KcwHP_AWR_zDMTqLHPLJUKhaU/edit?usp=sharing"",""พังงา!L520"")+IMPORTRANGE(""https://docs.google.com/spreadsheets/d/17ht0gPKzzT3PObBL1XJkeR"&amp;"mntBXI7wGjpLV7QorqlTk/edit?usp=sharing"",""พัทลุง!L520"")+IMPORTRANGE(""https://docs.google.com/spreadsheets/d/1rd4qoM1q_hsgaolqNGfrim9gbsoLxQsda4-vOz5x_BM/edit?usp=sharing"",""ภูเก็ต!L520"")+IMPORTRANGE(""https://docs.google.com/spreadsheets/d/1woKwKjgoL"&amp;"ssDvPcPeVyezB5izizAn4X1JDrys69n6xI/edit?usp=sharing"",""ยะลา!L520"")+IMPORTRANGE(""https://docs.google.com/spreadsheets/d/1qfrKjzMhm2HJfxQ-qVlJlJQ25Hne1d0khsySbZyGtPA/edit?usp=sharing"",""ระนอง!L520"")+IMPORTRANGE(""https://docs.google.com/spreadsheets/d/"&amp;"1IbSCnFOKpZsnFogBHJnL_isstZVaOMnFiIN0fGTPZZw/edit?usp=sharing"",""สงขลา!L520"")+IMPORTRANGE(""https://docs.google.com/spreadsheets/d/1q9nWasZJ-K8bFGvbE9n0qSRuKGA4Toe3Y89cKCiVtCU/edit?usp=sharing"",""สตูล!L520"")+IMPORTRANGE(""https://docs.google.com/sprea"&amp;"dsheets/d/18T20gbkS_WBjdscyTOV05cvq_JqvqQ17C81mpxf7Ncs/edit?usp=sharing"",""สุราษฎร์ธานี!L520"")"),0)</f>
        <v>0</v>
      </c>
      <c r="M520" s="47">
        <f ca="1">IFERROR(__xludf.DUMMYFUNCTION("IMPORTRANGE(""https://docs.google.com/spreadsheets/d/1kKUcYdkIfrgTSj8iHHHB2MD2FAtwyyocFgqGQn6ADyI/edit?usp=sharing"",""กระบี่!M520"")+IMPORTRANGE(""https://docs.google.com/spreadsheets/d/1GwtLaSlNZkLk7iDqcyZz22giiy40b_usZZBXYciEN1U/edit?usp=sharing"",""ชุ"&amp;"มพร!M520"")+IMPORTRANGE(""https://docs.google.com/spreadsheets/d/16pAz3pOhQEZBhvFNMa5KGgZS6iKWpsKX0pg6tQmwFpo/edit?usp=sharing"",""ตรัง!M520"")+IMPORTRANGE(""https://docs.google.com/spreadsheets/d/1Dj4jcHCTV9JXKCaMoheSXS52JE63kDKyG7bPXnFogHk/edit?usp=shar"&amp;"ing"",""นครศรีธรรมราช!M520"")+IMPORTRANGE(""https://docs.google.com/spreadsheets/d/1iodCdmuK2GR3jzUwk8tpccY2JHQQA-87DLOtJP-ooyU/edit?usp=sharing"",""นราธิวาส!M520"")+IMPORTRANGE(""https://docs.google.com/spreadsheets/d/1SDNX3JhDdYRuIOsj0Wh2M-Qa_eaXl0NbWmh"&amp;"AOTbfQAs/edit?usp=sharing"",""ปัตตานี!M520"")+IMPORTRANGE(""https://docs.google.com/spreadsheets/d/16JDLGguT8s5DsGCND1KcwHP_AWR_zDMTqLHPLJUKhaU/edit?usp=sharing"",""พังงา!M520"")+IMPORTRANGE(""https://docs.google.com/spreadsheets/d/17ht0gPKzzT3PObBL1XJkeR"&amp;"mntBXI7wGjpLV7QorqlTk/edit?usp=sharing"",""พัทลุง!M520"")+IMPORTRANGE(""https://docs.google.com/spreadsheets/d/1rd4qoM1q_hsgaolqNGfrim9gbsoLxQsda4-vOz5x_BM/edit?usp=sharing"",""ภูเก็ต!M520"")+IMPORTRANGE(""https://docs.google.com/spreadsheets/d/1woKwKjgoL"&amp;"ssDvPcPeVyezB5izizAn4X1JDrys69n6xI/edit?usp=sharing"",""ยะลา!M520"")+IMPORTRANGE(""https://docs.google.com/spreadsheets/d/1qfrKjzMhm2HJfxQ-qVlJlJQ25Hne1d0khsySbZyGtPA/edit?usp=sharing"",""ระนอง!M520"")+IMPORTRANGE(""https://docs.google.com/spreadsheets/d/"&amp;"1IbSCnFOKpZsnFogBHJnL_isstZVaOMnFiIN0fGTPZZw/edit?usp=sharing"",""สงขลา!M520"")+IMPORTRANGE(""https://docs.google.com/spreadsheets/d/1q9nWasZJ-K8bFGvbE9n0qSRuKGA4Toe3Y89cKCiVtCU/edit?usp=sharing"",""สตูล!M520"")+IMPORTRANGE(""https://docs.google.com/sprea"&amp;"dsheets/d/18T20gbkS_WBjdscyTOV05cvq_JqvqQ17C81mpxf7Ncs/edit?usp=sharing"",""สุราษฎร์ธานี!M520"")"),0)</f>
        <v>0</v>
      </c>
      <c r="N520" s="47">
        <f ca="1">IFERROR(__xludf.DUMMYFUNCTION("IMPORTRANGE(""https://docs.google.com/spreadsheets/d/1kKUcYdkIfrgTSj8iHHHB2MD2FAtwyyocFgqGQn6ADyI/edit?usp=sharing"",""กระบี่!N520"")+IMPORTRANGE(""https://docs.google.com/spreadsheets/d/1GwtLaSlNZkLk7iDqcyZz22giiy40b_usZZBXYciEN1U/edit?usp=sharing"",""ชุ"&amp;"มพร!N520"")+IMPORTRANGE(""https://docs.google.com/spreadsheets/d/16pAz3pOhQEZBhvFNMa5KGgZS6iKWpsKX0pg6tQmwFpo/edit?usp=sharing"",""ตรัง!N520"")+IMPORTRANGE(""https://docs.google.com/spreadsheets/d/1Dj4jcHCTV9JXKCaMoheSXS52JE63kDKyG7bPXnFogHk/edit?usp=shar"&amp;"ing"",""นครศรีธรรมราช!N520"")+IMPORTRANGE(""https://docs.google.com/spreadsheets/d/1iodCdmuK2GR3jzUwk8tpccY2JHQQA-87DLOtJP-ooyU/edit?usp=sharing"",""นราธิวาส!N520"")+IMPORTRANGE(""https://docs.google.com/spreadsheets/d/1SDNX3JhDdYRuIOsj0Wh2M-Qa_eaXl0NbWmh"&amp;"AOTbfQAs/edit?usp=sharing"",""ปัตตานี!N520"")+IMPORTRANGE(""https://docs.google.com/spreadsheets/d/16JDLGguT8s5DsGCND1KcwHP_AWR_zDMTqLHPLJUKhaU/edit?usp=sharing"",""พังงา!N520"")+IMPORTRANGE(""https://docs.google.com/spreadsheets/d/17ht0gPKzzT3PObBL1XJkeR"&amp;"mntBXI7wGjpLV7QorqlTk/edit?usp=sharing"",""พัทลุง!N520"")+IMPORTRANGE(""https://docs.google.com/spreadsheets/d/1rd4qoM1q_hsgaolqNGfrim9gbsoLxQsda4-vOz5x_BM/edit?usp=sharing"",""ภูเก็ต!N520"")+IMPORTRANGE(""https://docs.google.com/spreadsheets/d/1woKwKjgoL"&amp;"ssDvPcPeVyezB5izizAn4X1JDrys69n6xI/edit?usp=sharing"",""ยะลา!N520"")+IMPORTRANGE(""https://docs.google.com/spreadsheets/d/1qfrKjzMhm2HJfxQ-qVlJlJQ25Hne1d0khsySbZyGtPA/edit?usp=sharing"",""ระนอง!N520"")+IMPORTRANGE(""https://docs.google.com/spreadsheets/d/"&amp;"1IbSCnFOKpZsnFogBHJnL_isstZVaOMnFiIN0fGTPZZw/edit?usp=sharing"",""สงขลา!N520"")+IMPORTRANGE(""https://docs.google.com/spreadsheets/d/1q9nWasZJ-K8bFGvbE9n0qSRuKGA4Toe3Y89cKCiVtCU/edit?usp=sharing"",""สตูล!N520"")+IMPORTRANGE(""https://docs.google.com/sprea"&amp;"dsheets/d/18T20gbkS_WBjdscyTOV05cvq_JqvqQ17C81mpxf7Ncs/edit?usp=sharing"",""สุราษฎร์ธานี!N520"")"),0)</f>
        <v>0</v>
      </c>
      <c r="O520" s="47">
        <f t="shared" ca="1" si="363"/>
        <v>0</v>
      </c>
      <c r="P520" s="47">
        <f t="shared" ca="1" si="364"/>
        <v>0</v>
      </c>
      <c r="Q520" s="47">
        <f ca="1">IFERROR(__xludf.DUMMYFUNCTION("IMPORTRANGE(""https://docs.google.com/spreadsheets/d/1kKUcYdkIfrgTSj8iHHHB2MD2FAtwyyocFgqGQn6ADyI/edit?usp=sharing"",""กระบี่!Q520"")+IMPORTRANGE(""https://docs.google.com/spreadsheets/d/1GwtLaSlNZkLk7iDqcyZz22giiy40b_usZZBXYciEN1U/edit?usp=sharing"",""ชุ"&amp;"มพร!Q520"")+IMPORTRANGE(""https://docs.google.com/spreadsheets/d/16pAz3pOhQEZBhvFNMa5KGgZS6iKWpsKX0pg6tQmwFpo/edit?usp=sharing"",""ตรัง!Q520"")+IMPORTRANGE(""https://docs.google.com/spreadsheets/d/1Dj4jcHCTV9JXKCaMoheSXS52JE63kDKyG7bPXnFogHk/edit?usp=shar"&amp;"ing"",""นครศรีธรรมราช!Q520"")+IMPORTRANGE(""https://docs.google.com/spreadsheets/d/1iodCdmuK2GR3jzUwk8tpccY2JHQQA-87DLOtJP-ooyU/edit?usp=sharing"",""นราธิวาส!Q520"")+IMPORTRANGE(""https://docs.google.com/spreadsheets/d/1SDNX3JhDdYRuIOsj0Wh2M-Qa_eaXl0NbWmh"&amp;"AOTbfQAs/edit?usp=sharing"",""ปัตตานี!Q520"")+IMPORTRANGE(""https://docs.google.com/spreadsheets/d/16JDLGguT8s5DsGCND1KcwHP_AWR_zDMTqLHPLJUKhaU/edit?usp=sharing"",""พังงา!Q520"")+IMPORTRANGE(""https://docs.google.com/spreadsheets/d/17ht0gPKzzT3PObBL1XJkeR"&amp;"mntBXI7wGjpLV7QorqlTk/edit?usp=sharing"",""พัทลุง!Q520"")+IMPORTRANGE(""https://docs.google.com/spreadsheets/d/1rd4qoM1q_hsgaolqNGfrim9gbsoLxQsda4-vOz5x_BM/edit?usp=sharing"",""ภูเก็ต!Q520"")+IMPORTRANGE(""https://docs.google.com/spreadsheets/d/1woKwKjgoL"&amp;"ssDvPcPeVyezB5izizAn4X1JDrys69n6xI/edit?usp=sharing"",""ยะลา!Q520"")+IMPORTRANGE(""https://docs.google.com/spreadsheets/d/1qfrKjzMhm2HJfxQ-qVlJlJQ25Hne1d0khsySbZyGtPA/edit?usp=sharing"",""ระนอง!Q520"")+IMPORTRANGE(""https://docs.google.com/spreadsheets/d/"&amp;"1IbSCnFOKpZsnFogBHJnL_isstZVaOMnFiIN0fGTPZZw/edit?usp=sharing"",""สงขลา!Q520"")+IMPORTRANGE(""https://docs.google.com/spreadsheets/d/1q9nWasZJ-K8bFGvbE9n0qSRuKGA4Toe3Y89cKCiVtCU/edit?usp=sharing"",""สตูล!Q520"")+IMPORTRANGE(""https://docs.google.com/sprea"&amp;"dsheets/d/18T20gbkS_WBjdscyTOV05cvq_JqvqQ17C81mpxf7Ncs/edit?usp=sharing"",""สุราษฎร์ธานี!Q520"")"),0)</f>
        <v>0</v>
      </c>
      <c r="R520" s="47">
        <f ca="1">IFERROR(__xludf.DUMMYFUNCTION("IMPORTRANGE(""https://docs.google.com/spreadsheets/d/1kKUcYdkIfrgTSj8iHHHB2MD2FAtwyyocFgqGQn6ADyI/edit?usp=sharing"",""กระบี่!R520"")+IMPORTRANGE(""https://docs.google.com/spreadsheets/d/1GwtLaSlNZkLk7iDqcyZz22giiy40b_usZZBXYciEN1U/edit?usp=sharing"",""ชุ"&amp;"มพร!R520"")+IMPORTRANGE(""https://docs.google.com/spreadsheets/d/16pAz3pOhQEZBhvFNMa5KGgZS6iKWpsKX0pg6tQmwFpo/edit?usp=sharing"",""ตรัง!R520"")+IMPORTRANGE(""https://docs.google.com/spreadsheets/d/1Dj4jcHCTV9JXKCaMoheSXS52JE63kDKyG7bPXnFogHk/edit?usp=shar"&amp;"ing"",""นครศรีธรรมราช!R520"")+IMPORTRANGE(""https://docs.google.com/spreadsheets/d/1iodCdmuK2GR3jzUwk8tpccY2JHQQA-87DLOtJP-ooyU/edit?usp=sharing"",""นราธิวาส!R520"")+IMPORTRANGE(""https://docs.google.com/spreadsheets/d/1SDNX3JhDdYRuIOsj0Wh2M-Qa_eaXl0NbWmh"&amp;"AOTbfQAs/edit?usp=sharing"",""ปัตตานี!R520"")+IMPORTRANGE(""https://docs.google.com/spreadsheets/d/16JDLGguT8s5DsGCND1KcwHP_AWR_zDMTqLHPLJUKhaU/edit?usp=sharing"",""พังงา!R520"")+IMPORTRANGE(""https://docs.google.com/spreadsheets/d/17ht0gPKzzT3PObBL1XJkeR"&amp;"mntBXI7wGjpLV7QorqlTk/edit?usp=sharing"",""พัทลุง!R520"")+IMPORTRANGE(""https://docs.google.com/spreadsheets/d/1rd4qoM1q_hsgaolqNGfrim9gbsoLxQsda4-vOz5x_BM/edit?usp=sharing"",""ภูเก็ต!R520"")+IMPORTRANGE(""https://docs.google.com/spreadsheets/d/1woKwKjgoL"&amp;"ssDvPcPeVyezB5izizAn4X1JDrys69n6xI/edit?usp=sharing"",""ยะลา!R520"")+IMPORTRANGE(""https://docs.google.com/spreadsheets/d/1qfrKjzMhm2HJfxQ-qVlJlJQ25Hne1d0khsySbZyGtPA/edit?usp=sharing"",""ระนอง!R520"")+IMPORTRANGE(""https://docs.google.com/spreadsheets/d/"&amp;"1IbSCnFOKpZsnFogBHJnL_isstZVaOMnFiIN0fGTPZZw/edit?usp=sharing"",""สงขลา!R520"")+IMPORTRANGE(""https://docs.google.com/spreadsheets/d/1q9nWasZJ-K8bFGvbE9n0qSRuKGA4Toe3Y89cKCiVtCU/edit?usp=sharing"",""สตูล!R520"")+IMPORTRANGE(""https://docs.google.com/sprea"&amp;"dsheets/d/18T20gbkS_WBjdscyTOV05cvq_JqvqQ17C81mpxf7Ncs/edit?usp=sharing"",""สุราษฎร์ธานี!R520"")"),0)</f>
        <v>0</v>
      </c>
      <c r="S520" s="47">
        <f ca="1">IFERROR(__xludf.DUMMYFUNCTION("IMPORTRANGE(""https://docs.google.com/spreadsheets/d/1kKUcYdkIfrgTSj8iHHHB2MD2FAtwyyocFgqGQn6ADyI/edit?usp=sharing"",""กระบี่!S520"")+IMPORTRANGE(""https://docs.google.com/spreadsheets/d/1GwtLaSlNZkLk7iDqcyZz22giiy40b_usZZBXYciEN1U/edit?usp=sharing"",""ชุ"&amp;"มพร!S520"")+IMPORTRANGE(""https://docs.google.com/spreadsheets/d/16pAz3pOhQEZBhvFNMa5KGgZS6iKWpsKX0pg6tQmwFpo/edit?usp=sharing"",""ตรัง!S520"")+IMPORTRANGE(""https://docs.google.com/spreadsheets/d/1Dj4jcHCTV9JXKCaMoheSXS52JE63kDKyG7bPXnFogHk/edit?usp=shar"&amp;"ing"",""นครศรีธรรมราช!S520"")+IMPORTRANGE(""https://docs.google.com/spreadsheets/d/1iodCdmuK2GR3jzUwk8tpccY2JHQQA-87DLOtJP-ooyU/edit?usp=sharing"",""นราธิวาส!S520"")+IMPORTRANGE(""https://docs.google.com/spreadsheets/d/1SDNX3JhDdYRuIOsj0Wh2M-Qa_eaXl0NbWmh"&amp;"AOTbfQAs/edit?usp=sharing"",""ปัตตานี!S520"")+IMPORTRANGE(""https://docs.google.com/spreadsheets/d/16JDLGguT8s5DsGCND1KcwHP_AWR_zDMTqLHPLJUKhaU/edit?usp=sharing"",""พังงา!S520"")+IMPORTRANGE(""https://docs.google.com/spreadsheets/d/17ht0gPKzzT3PObBL1XJkeR"&amp;"mntBXI7wGjpLV7QorqlTk/edit?usp=sharing"",""พัทลุง!S520"")+IMPORTRANGE(""https://docs.google.com/spreadsheets/d/1rd4qoM1q_hsgaolqNGfrim9gbsoLxQsda4-vOz5x_BM/edit?usp=sharing"",""ภูเก็ต!S520"")+IMPORTRANGE(""https://docs.google.com/spreadsheets/d/1woKwKjgoL"&amp;"ssDvPcPeVyezB5izizAn4X1JDrys69n6xI/edit?usp=sharing"",""ยะลา!S520"")+IMPORTRANGE(""https://docs.google.com/spreadsheets/d/1qfrKjzMhm2HJfxQ-qVlJlJQ25Hne1d0khsySbZyGtPA/edit?usp=sharing"",""ระนอง!S520"")+IMPORTRANGE(""https://docs.google.com/spreadsheets/d/"&amp;"1IbSCnFOKpZsnFogBHJnL_isstZVaOMnFiIN0fGTPZZw/edit?usp=sharing"",""สงขลา!S520"")+IMPORTRANGE(""https://docs.google.com/spreadsheets/d/1q9nWasZJ-K8bFGvbE9n0qSRuKGA4Toe3Y89cKCiVtCU/edit?usp=sharing"",""สตูล!S520"")+IMPORTRANGE(""https://docs.google.com/sprea"&amp;"dsheets/d/18T20gbkS_WBjdscyTOV05cvq_JqvqQ17C81mpxf7Ncs/edit?usp=sharing"",""สุราษฎร์ธานี!S520"")"),0)</f>
        <v>0</v>
      </c>
      <c r="T520" s="49">
        <f t="shared" ca="1" si="366"/>
        <v>0</v>
      </c>
      <c r="U520" s="49">
        <f t="shared" ca="1" si="367"/>
        <v>0</v>
      </c>
    </row>
    <row r="521" spans="1:21" ht="18.75" hidden="1" x14ac:dyDescent="0.25">
      <c r="A521" s="128"/>
      <c r="B521" s="41"/>
      <c r="C521" s="41"/>
      <c r="D521" s="41"/>
      <c r="E521" s="48" t="s">
        <v>21</v>
      </c>
      <c r="F521" s="41"/>
      <c r="G521" s="43"/>
      <c r="H521" s="137" t="s">
        <v>14</v>
      </c>
      <c r="I521" s="135"/>
      <c r="J521" s="135"/>
      <c r="K521" s="136"/>
      <c r="L521" s="47">
        <f ca="1">IFERROR(__xludf.DUMMYFUNCTION("IMPORTRANGE(""https://docs.google.com/spreadsheets/d/1kKUcYdkIfrgTSj8iHHHB2MD2FAtwyyocFgqGQn6ADyI/edit?usp=sharing"",""กระบี่!L521"")+IMPORTRANGE(""https://docs.google.com/spreadsheets/d/1GwtLaSlNZkLk7iDqcyZz22giiy40b_usZZBXYciEN1U/edit?usp=sharing"",""ชุ"&amp;"มพร!L521"")+IMPORTRANGE(""https://docs.google.com/spreadsheets/d/16pAz3pOhQEZBhvFNMa5KGgZS6iKWpsKX0pg6tQmwFpo/edit?usp=sharing"",""ตรัง!L521"")+IMPORTRANGE(""https://docs.google.com/spreadsheets/d/1Dj4jcHCTV9JXKCaMoheSXS52JE63kDKyG7bPXnFogHk/edit?usp=shar"&amp;"ing"",""นครศรีธรรมราช!L521"")+IMPORTRANGE(""https://docs.google.com/spreadsheets/d/1iodCdmuK2GR3jzUwk8tpccY2JHQQA-87DLOtJP-ooyU/edit?usp=sharing"",""นราธิวาส!L521"")+IMPORTRANGE(""https://docs.google.com/spreadsheets/d/1SDNX3JhDdYRuIOsj0Wh2M-Qa_eaXl0NbWmh"&amp;"AOTbfQAs/edit?usp=sharing"",""ปัตตานี!L521"")+IMPORTRANGE(""https://docs.google.com/spreadsheets/d/16JDLGguT8s5DsGCND1KcwHP_AWR_zDMTqLHPLJUKhaU/edit?usp=sharing"",""พังงา!L521"")+IMPORTRANGE(""https://docs.google.com/spreadsheets/d/17ht0gPKzzT3PObBL1XJkeR"&amp;"mntBXI7wGjpLV7QorqlTk/edit?usp=sharing"",""พัทลุง!L521"")+IMPORTRANGE(""https://docs.google.com/spreadsheets/d/1rd4qoM1q_hsgaolqNGfrim9gbsoLxQsda4-vOz5x_BM/edit?usp=sharing"",""ภูเก็ต!L521"")+IMPORTRANGE(""https://docs.google.com/spreadsheets/d/1woKwKjgoL"&amp;"ssDvPcPeVyezB5izizAn4X1JDrys69n6xI/edit?usp=sharing"",""ยะลา!L521"")+IMPORTRANGE(""https://docs.google.com/spreadsheets/d/1qfrKjzMhm2HJfxQ-qVlJlJQ25Hne1d0khsySbZyGtPA/edit?usp=sharing"",""ระนอง!L521"")+IMPORTRANGE(""https://docs.google.com/spreadsheets/d/"&amp;"1IbSCnFOKpZsnFogBHJnL_isstZVaOMnFiIN0fGTPZZw/edit?usp=sharing"",""สงขลา!L521"")+IMPORTRANGE(""https://docs.google.com/spreadsheets/d/1q9nWasZJ-K8bFGvbE9n0qSRuKGA4Toe3Y89cKCiVtCU/edit?usp=sharing"",""สตูล!L521"")+IMPORTRANGE(""https://docs.google.com/sprea"&amp;"dsheets/d/18T20gbkS_WBjdscyTOV05cvq_JqvqQ17C81mpxf7Ncs/edit?usp=sharing"",""สุราษฎร์ธานี!L521"")"),33423500)</f>
        <v>33423500</v>
      </c>
      <c r="M521" s="47">
        <f ca="1">IFERROR(__xludf.DUMMYFUNCTION("IMPORTRANGE(""https://docs.google.com/spreadsheets/d/1kKUcYdkIfrgTSj8iHHHB2MD2FAtwyyocFgqGQn6ADyI/edit?usp=sharing"",""กระบี่!M521"")+IMPORTRANGE(""https://docs.google.com/spreadsheets/d/1GwtLaSlNZkLk7iDqcyZz22giiy40b_usZZBXYciEN1U/edit?usp=sharing"",""ชุ"&amp;"มพร!M521"")+IMPORTRANGE(""https://docs.google.com/spreadsheets/d/16pAz3pOhQEZBhvFNMa5KGgZS6iKWpsKX0pg6tQmwFpo/edit?usp=sharing"",""ตรัง!M521"")+IMPORTRANGE(""https://docs.google.com/spreadsheets/d/1Dj4jcHCTV9JXKCaMoheSXS52JE63kDKyG7bPXnFogHk/edit?usp=shar"&amp;"ing"",""นครศรีธรรมราช!M521"")+IMPORTRANGE(""https://docs.google.com/spreadsheets/d/1iodCdmuK2GR3jzUwk8tpccY2JHQQA-87DLOtJP-ooyU/edit?usp=sharing"",""นราธิวาส!M521"")+IMPORTRANGE(""https://docs.google.com/spreadsheets/d/1SDNX3JhDdYRuIOsj0Wh2M-Qa_eaXl0NbWmh"&amp;"AOTbfQAs/edit?usp=sharing"",""ปัตตานี!M521"")+IMPORTRANGE(""https://docs.google.com/spreadsheets/d/16JDLGguT8s5DsGCND1KcwHP_AWR_zDMTqLHPLJUKhaU/edit?usp=sharing"",""พังงา!M521"")+IMPORTRANGE(""https://docs.google.com/spreadsheets/d/17ht0gPKzzT3PObBL1XJkeR"&amp;"mntBXI7wGjpLV7QorqlTk/edit?usp=sharing"",""พัทลุง!M521"")+IMPORTRANGE(""https://docs.google.com/spreadsheets/d/1rd4qoM1q_hsgaolqNGfrim9gbsoLxQsda4-vOz5x_BM/edit?usp=sharing"",""ภูเก็ต!M521"")+IMPORTRANGE(""https://docs.google.com/spreadsheets/d/1woKwKjgoL"&amp;"ssDvPcPeVyezB5izizAn4X1JDrys69n6xI/edit?usp=sharing"",""ยะลา!M521"")+IMPORTRANGE(""https://docs.google.com/spreadsheets/d/1qfrKjzMhm2HJfxQ-qVlJlJQ25Hne1d0khsySbZyGtPA/edit?usp=sharing"",""ระนอง!M521"")+IMPORTRANGE(""https://docs.google.com/spreadsheets/d/"&amp;"1IbSCnFOKpZsnFogBHJnL_isstZVaOMnFiIN0fGTPZZw/edit?usp=sharing"",""สงขลา!M521"")+IMPORTRANGE(""https://docs.google.com/spreadsheets/d/1q9nWasZJ-K8bFGvbE9n0qSRuKGA4Toe3Y89cKCiVtCU/edit?usp=sharing"",""สตูล!M521"")+IMPORTRANGE(""https://docs.google.com/sprea"&amp;"dsheets/d/18T20gbkS_WBjdscyTOV05cvq_JqvqQ17C81mpxf7Ncs/edit?usp=sharing"",""สุราษฎร์ธานี!M521"")"),33423500)</f>
        <v>33423500</v>
      </c>
      <c r="N521" s="47">
        <f ca="1">IFERROR(__xludf.DUMMYFUNCTION("IMPORTRANGE(""https://docs.google.com/spreadsheets/d/1kKUcYdkIfrgTSj8iHHHB2MD2FAtwyyocFgqGQn6ADyI/edit?usp=sharing"",""กระบี่!N521"")+IMPORTRANGE(""https://docs.google.com/spreadsheets/d/1GwtLaSlNZkLk7iDqcyZz22giiy40b_usZZBXYciEN1U/edit?usp=sharing"",""ชุ"&amp;"มพร!N521"")+IMPORTRANGE(""https://docs.google.com/spreadsheets/d/16pAz3pOhQEZBhvFNMa5KGgZS6iKWpsKX0pg6tQmwFpo/edit?usp=sharing"",""ตรัง!N521"")+IMPORTRANGE(""https://docs.google.com/spreadsheets/d/1Dj4jcHCTV9JXKCaMoheSXS52JE63kDKyG7bPXnFogHk/edit?usp=shar"&amp;"ing"",""นครศรีธรรมราช!N521"")+IMPORTRANGE(""https://docs.google.com/spreadsheets/d/1iodCdmuK2GR3jzUwk8tpccY2JHQQA-87DLOtJP-ooyU/edit?usp=sharing"",""นราธิวาส!N521"")+IMPORTRANGE(""https://docs.google.com/spreadsheets/d/1SDNX3JhDdYRuIOsj0Wh2M-Qa_eaXl0NbWmh"&amp;"AOTbfQAs/edit?usp=sharing"",""ปัตตานี!N521"")+IMPORTRANGE(""https://docs.google.com/spreadsheets/d/16JDLGguT8s5DsGCND1KcwHP_AWR_zDMTqLHPLJUKhaU/edit?usp=sharing"",""พังงา!N521"")+IMPORTRANGE(""https://docs.google.com/spreadsheets/d/17ht0gPKzzT3PObBL1XJkeR"&amp;"mntBXI7wGjpLV7QorqlTk/edit?usp=sharing"",""พัทลุง!N521"")+IMPORTRANGE(""https://docs.google.com/spreadsheets/d/1rd4qoM1q_hsgaolqNGfrim9gbsoLxQsda4-vOz5x_BM/edit?usp=sharing"",""ภูเก็ต!N521"")+IMPORTRANGE(""https://docs.google.com/spreadsheets/d/1woKwKjgoL"&amp;"ssDvPcPeVyezB5izizAn4X1JDrys69n6xI/edit?usp=sharing"",""ยะลา!N521"")+IMPORTRANGE(""https://docs.google.com/spreadsheets/d/1qfrKjzMhm2HJfxQ-qVlJlJQ25Hne1d0khsySbZyGtPA/edit?usp=sharing"",""ระนอง!N521"")+IMPORTRANGE(""https://docs.google.com/spreadsheets/d/"&amp;"1IbSCnFOKpZsnFogBHJnL_isstZVaOMnFiIN0fGTPZZw/edit?usp=sharing"",""สงขลา!N521"")+IMPORTRANGE(""https://docs.google.com/spreadsheets/d/1q9nWasZJ-K8bFGvbE9n0qSRuKGA4Toe3Y89cKCiVtCU/edit?usp=sharing"",""สตูล!N521"")+IMPORTRANGE(""https://docs.google.com/sprea"&amp;"dsheets/d/18T20gbkS_WBjdscyTOV05cvq_JqvqQ17C81mpxf7Ncs/edit?usp=sharing"",""สุราษฎร์ธานี!N521"")"),0)</f>
        <v>0</v>
      </c>
      <c r="O521" s="47">
        <f t="shared" ca="1" si="363"/>
        <v>0</v>
      </c>
      <c r="P521" s="47">
        <f t="shared" ca="1" si="364"/>
        <v>0</v>
      </c>
      <c r="Q521" s="47">
        <f ca="1">IFERROR(__xludf.DUMMYFUNCTION("IMPORTRANGE(""https://docs.google.com/spreadsheets/d/1kKUcYdkIfrgTSj8iHHHB2MD2FAtwyyocFgqGQn6ADyI/edit?usp=sharing"",""กระบี่!Q521"")+IMPORTRANGE(""https://docs.google.com/spreadsheets/d/1GwtLaSlNZkLk7iDqcyZz22giiy40b_usZZBXYciEN1U/edit?usp=sharing"",""ชุ"&amp;"มพร!Q521"")+IMPORTRANGE(""https://docs.google.com/spreadsheets/d/16pAz3pOhQEZBhvFNMa5KGgZS6iKWpsKX0pg6tQmwFpo/edit?usp=sharing"",""ตรัง!Q521"")+IMPORTRANGE(""https://docs.google.com/spreadsheets/d/1Dj4jcHCTV9JXKCaMoheSXS52JE63kDKyG7bPXnFogHk/edit?usp=shar"&amp;"ing"",""นครศรีธรรมราช!Q521"")+IMPORTRANGE(""https://docs.google.com/spreadsheets/d/1iodCdmuK2GR3jzUwk8tpccY2JHQQA-87DLOtJP-ooyU/edit?usp=sharing"",""นราธิวาส!Q521"")+IMPORTRANGE(""https://docs.google.com/spreadsheets/d/1SDNX3JhDdYRuIOsj0Wh2M-Qa_eaXl0NbWmh"&amp;"AOTbfQAs/edit?usp=sharing"",""ปัตตานี!Q521"")+IMPORTRANGE(""https://docs.google.com/spreadsheets/d/16JDLGguT8s5DsGCND1KcwHP_AWR_zDMTqLHPLJUKhaU/edit?usp=sharing"",""พังงา!Q521"")+IMPORTRANGE(""https://docs.google.com/spreadsheets/d/17ht0gPKzzT3PObBL1XJkeR"&amp;"mntBXI7wGjpLV7QorqlTk/edit?usp=sharing"",""พัทลุง!Q521"")+IMPORTRANGE(""https://docs.google.com/spreadsheets/d/1rd4qoM1q_hsgaolqNGfrim9gbsoLxQsda4-vOz5x_BM/edit?usp=sharing"",""ภูเก็ต!Q521"")+IMPORTRANGE(""https://docs.google.com/spreadsheets/d/1woKwKjgoL"&amp;"ssDvPcPeVyezB5izizAn4X1JDrys69n6xI/edit?usp=sharing"",""ยะลา!Q521"")+IMPORTRANGE(""https://docs.google.com/spreadsheets/d/1qfrKjzMhm2HJfxQ-qVlJlJQ25Hne1d0khsySbZyGtPA/edit?usp=sharing"",""ระนอง!Q521"")+IMPORTRANGE(""https://docs.google.com/spreadsheets/d/"&amp;"1IbSCnFOKpZsnFogBHJnL_isstZVaOMnFiIN0fGTPZZw/edit?usp=sharing"",""สงขลา!Q521"")+IMPORTRANGE(""https://docs.google.com/spreadsheets/d/1q9nWasZJ-K8bFGvbE9n0qSRuKGA4Toe3Y89cKCiVtCU/edit?usp=sharing"",""สตูล!Q521"")+IMPORTRANGE(""https://docs.google.com/sprea"&amp;"dsheets/d/18T20gbkS_WBjdscyTOV05cvq_JqvqQ17C81mpxf7Ncs/edit?usp=sharing"",""สุราษฎร์ธานี!Q521"")"),0)</f>
        <v>0</v>
      </c>
      <c r="R521" s="47">
        <f ca="1">IFERROR(__xludf.DUMMYFUNCTION("IMPORTRANGE(""https://docs.google.com/spreadsheets/d/1kKUcYdkIfrgTSj8iHHHB2MD2FAtwyyocFgqGQn6ADyI/edit?usp=sharing"",""กระบี่!R521"")+IMPORTRANGE(""https://docs.google.com/spreadsheets/d/1GwtLaSlNZkLk7iDqcyZz22giiy40b_usZZBXYciEN1U/edit?usp=sharing"",""ชุ"&amp;"มพร!R521"")+IMPORTRANGE(""https://docs.google.com/spreadsheets/d/16pAz3pOhQEZBhvFNMa5KGgZS6iKWpsKX0pg6tQmwFpo/edit?usp=sharing"",""ตรัง!R521"")+IMPORTRANGE(""https://docs.google.com/spreadsheets/d/1Dj4jcHCTV9JXKCaMoheSXS52JE63kDKyG7bPXnFogHk/edit?usp=shar"&amp;"ing"",""นครศรีธรรมราช!R521"")+IMPORTRANGE(""https://docs.google.com/spreadsheets/d/1iodCdmuK2GR3jzUwk8tpccY2JHQQA-87DLOtJP-ooyU/edit?usp=sharing"",""นราธิวาส!R521"")+IMPORTRANGE(""https://docs.google.com/spreadsheets/d/1SDNX3JhDdYRuIOsj0Wh2M-Qa_eaXl0NbWmh"&amp;"AOTbfQAs/edit?usp=sharing"",""ปัตตานี!R521"")+IMPORTRANGE(""https://docs.google.com/spreadsheets/d/16JDLGguT8s5DsGCND1KcwHP_AWR_zDMTqLHPLJUKhaU/edit?usp=sharing"",""พังงา!R521"")+IMPORTRANGE(""https://docs.google.com/spreadsheets/d/17ht0gPKzzT3PObBL1XJkeR"&amp;"mntBXI7wGjpLV7QorqlTk/edit?usp=sharing"",""พัทลุง!R521"")+IMPORTRANGE(""https://docs.google.com/spreadsheets/d/1rd4qoM1q_hsgaolqNGfrim9gbsoLxQsda4-vOz5x_BM/edit?usp=sharing"",""ภูเก็ต!R521"")+IMPORTRANGE(""https://docs.google.com/spreadsheets/d/1woKwKjgoL"&amp;"ssDvPcPeVyezB5izizAn4X1JDrys69n6xI/edit?usp=sharing"",""ยะลา!R521"")+IMPORTRANGE(""https://docs.google.com/spreadsheets/d/1qfrKjzMhm2HJfxQ-qVlJlJQ25Hne1d0khsySbZyGtPA/edit?usp=sharing"",""ระนอง!R521"")+IMPORTRANGE(""https://docs.google.com/spreadsheets/d/"&amp;"1IbSCnFOKpZsnFogBHJnL_isstZVaOMnFiIN0fGTPZZw/edit?usp=sharing"",""สงขลา!R521"")+IMPORTRANGE(""https://docs.google.com/spreadsheets/d/1q9nWasZJ-K8bFGvbE9n0qSRuKGA4Toe3Y89cKCiVtCU/edit?usp=sharing"",""สตูล!R521"")+IMPORTRANGE(""https://docs.google.com/sprea"&amp;"dsheets/d/18T20gbkS_WBjdscyTOV05cvq_JqvqQ17C81mpxf7Ncs/edit?usp=sharing"",""สุราษฎร์ธานี!R521"")"),0)</f>
        <v>0</v>
      </c>
      <c r="S521" s="47">
        <f ca="1">IFERROR(__xludf.DUMMYFUNCTION("IMPORTRANGE(""https://docs.google.com/spreadsheets/d/1kKUcYdkIfrgTSj8iHHHB2MD2FAtwyyocFgqGQn6ADyI/edit?usp=sharing"",""กระบี่!S521"")+IMPORTRANGE(""https://docs.google.com/spreadsheets/d/1GwtLaSlNZkLk7iDqcyZz22giiy40b_usZZBXYciEN1U/edit?usp=sharing"",""ชุ"&amp;"มพร!S521"")+IMPORTRANGE(""https://docs.google.com/spreadsheets/d/16pAz3pOhQEZBhvFNMa5KGgZS6iKWpsKX0pg6tQmwFpo/edit?usp=sharing"",""ตรัง!S521"")+IMPORTRANGE(""https://docs.google.com/spreadsheets/d/1Dj4jcHCTV9JXKCaMoheSXS52JE63kDKyG7bPXnFogHk/edit?usp=shar"&amp;"ing"",""นครศรีธรรมราช!S521"")+IMPORTRANGE(""https://docs.google.com/spreadsheets/d/1iodCdmuK2GR3jzUwk8tpccY2JHQQA-87DLOtJP-ooyU/edit?usp=sharing"",""นราธิวาส!S521"")+IMPORTRANGE(""https://docs.google.com/spreadsheets/d/1SDNX3JhDdYRuIOsj0Wh2M-Qa_eaXl0NbWmh"&amp;"AOTbfQAs/edit?usp=sharing"",""ปัตตานี!S521"")+IMPORTRANGE(""https://docs.google.com/spreadsheets/d/16JDLGguT8s5DsGCND1KcwHP_AWR_zDMTqLHPLJUKhaU/edit?usp=sharing"",""พังงา!S521"")+IMPORTRANGE(""https://docs.google.com/spreadsheets/d/17ht0gPKzzT3PObBL1XJkeR"&amp;"mntBXI7wGjpLV7QorqlTk/edit?usp=sharing"",""พัทลุง!S521"")+IMPORTRANGE(""https://docs.google.com/spreadsheets/d/1rd4qoM1q_hsgaolqNGfrim9gbsoLxQsda4-vOz5x_BM/edit?usp=sharing"",""ภูเก็ต!S521"")+IMPORTRANGE(""https://docs.google.com/spreadsheets/d/1woKwKjgoL"&amp;"ssDvPcPeVyezB5izizAn4X1JDrys69n6xI/edit?usp=sharing"",""ยะลา!S521"")+IMPORTRANGE(""https://docs.google.com/spreadsheets/d/1qfrKjzMhm2HJfxQ-qVlJlJQ25Hne1d0khsySbZyGtPA/edit?usp=sharing"",""ระนอง!S521"")+IMPORTRANGE(""https://docs.google.com/spreadsheets/d/"&amp;"1IbSCnFOKpZsnFogBHJnL_isstZVaOMnFiIN0fGTPZZw/edit?usp=sharing"",""สงขลา!S521"")+IMPORTRANGE(""https://docs.google.com/spreadsheets/d/1q9nWasZJ-K8bFGvbE9n0qSRuKGA4Toe3Y89cKCiVtCU/edit?usp=sharing"",""สตูล!S521"")+IMPORTRANGE(""https://docs.google.com/sprea"&amp;"dsheets/d/18T20gbkS_WBjdscyTOV05cvq_JqvqQ17C81mpxf7Ncs/edit?usp=sharing"",""สุราษฎร์ธานี!S521"")"),0)</f>
        <v>0</v>
      </c>
      <c r="T521" s="47">
        <f t="shared" ca="1" si="366"/>
        <v>0</v>
      </c>
      <c r="U521" s="47">
        <f t="shared" ca="1" si="367"/>
        <v>0</v>
      </c>
    </row>
    <row r="522" spans="1:21" ht="19.5" x14ac:dyDescent="0.3">
      <c r="A522" s="138"/>
      <c r="B522" s="139"/>
      <c r="C522" s="129" t="s">
        <v>18</v>
      </c>
      <c r="D522" s="140" t="s">
        <v>38</v>
      </c>
      <c r="E522" s="141"/>
      <c r="F522" s="141"/>
      <c r="G522" s="142"/>
      <c r="H522" s="143"/>
      <c r="I522" s="135"/>
      <c r="J522" s="45"/>
      <c r="K522" s="46"/>
      <c r="L522" s="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217"/>
      <c r="B523" s="41"/>
      <c r="C523" s="159"/>
      <c r="D523" s="149" t="s">
        <v>208</v>
      </c>
      <c r="E523" s="139"/>
      <c r="F523" s="41"/>
      <c r="G523" s="43"/>
      <c r="H523" s="219" t="s">
        <v>11</v>
      </c>
      <c r="I523" s="152">
        <v>0</v>
      </c>
      <c r="J523" s="152">
        <f ca="1">IFERROR(__xludf.DUMMYFUNCTION("IMPORTRANGE(""https://docs.google.com/spreadsheets/d/1kKUcYdkIfrgTSj8iHHHB2MD2FAtwyyocFgqGQn6ADyI/edit?usp=sharing"",""กระบี่!J523"")+IMPORTRANGE(""https://docs.google.com/spreadsheets/d/1GwtLaSlNZkLk7iDqcyZz22giiy40b_usZZBXYciEN1U/edit?usp=sharing"",""ชุ"&amp;"มพร!J523"")+IMPORTRANGE(""https://docs.google.com/spreadsheets/d/16pAz3pOhQEZBhvFNMa5KGgZS6iKWpsKX0pg6tQmwFpo/edit?usp=sharing"",""ตรัง!J523"")+IMPORTRANGE(""https://docs.google.com/spreadsheets/d/1Dj4jcHCTV9JXKCaMoheSXS52JE63kDKyG7bPXnFogHk/edit?usp=shar"&amp;"ing"",""นครศรีธรรมราช!J523"")+IMPORTRANGE(""https://docs.google.com/spreadsheets/d/1iodCdmuK2GR3jzUwk8tpccY2JHQQA-87DLOtJP-ooyU/edit?usp=sharing"",""นราธิวาส!J523"")+IMPORTRANGE(""https://docs.google.com/spreadsheets/d/1SDNX3JhDdYRuIOsj0Wh2M-Qa_eaXl0NbWmh"&amp;"AOTbfQAs/edit?usp=sharing"",""ปัตตานี!J523"")+IMPORTRANGE(""https://docs.google.com/spreadsheets/d/16JDLGguT8s5DsGCND1KcwHP_AWR_zDMTqLHPLJUKhaU/edit?usp=sharing"",""พังงา!J523"")+IMPORTRANGE(""https://docs.google.com/spreadsheets/d/17ht0gPKzzT3PObBL1XJkeR"&amp;"mntBXI7wGjpLV7QorqlTk/edit?usp=sharing"",""พัทลุง!J523"")+IMPORTRANGE(""https://docs.google.com/spreadsheets/d/1rd4qoM1q_hsgaolqNGfrim9gbsoLxQsda4-vOz5x_BM/edit?usp=sharing"",""ภูเก็ต!J523"")+IMPORTRANGE(""https://docs.google.com/spreadsheets/d/1woKwKjgoL"&amp;"ssDvPcPeVyezB5izizAn4X1JDrys69n6xI/edit?usp=sharing"",""ยะลา!J523"")+IMPORTRANGE(""https://docs.google.com/spreadsheets/d/1qfrKjzMhm2HJfxQ-qVlJlJQ25Hne1d0khsySbZyGtPA/edit?usp=sharing"",""ระนอง!J523"")+IMPORTRANGE(""https://docs.google.com/spreadsheets/d/"&amp;"1IbSCnFOKpZsnFogBHJnL_isstZVaOMnFiIN0fGTPZZw/edit?usp=sharing"",""สงขลา!J523"")+IMPORTRANGE(""https://docs.google.com/spreadsheets/d/1q9nWasZJ-K8bFGvbE9n0qSRuKGA4Toe3Y89cKCiVtCU/edit?usp=sharing"",""สตูล!J523"")+IMPORTRANGE(""https://docs.google.com/sprea"&amp;"dsheets/d/18T20gbkS_WBjdscyTOV05cvq_JqvqQ17C81mpxf7Ncs/edit?usp=sharing"",""สุราษฎร์ธานี!J523"")"),0)</f>
        <v>0</v>
      </c>
      <c r="K523" s="47">
        <f t="shared" ref="K523:K524" si="376">IF(I523&gt;0,J523*100/I523,0)</f>
        <v>0</v>
      </c>
      <c r="L523" s="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350"/>
      <c r="B524" s="1"/>
      <c r="C524" s="3"/>
      <c r="D524" s="379" t="s">
        <v>209</v>
      </c>
      <c r="E524" s="264"/>
      <c r="F524" s="1"/>
      <c r="G524" s="53"/>
      <c r="H524" s="380" t="s">
        <v>61</v>
      </c>
      <c r="I524" s="197">
        <f ca="1">IFERROR(__xludf.DUMMYFUNCTION("IMPORTRANGE(""https://docs.google.com/spreadsheets/d/1kKUcYdkIfrgTSj8iHHHB2MD2FAtwyyocFgqGQn6ADyI/edit?usp=sharing"",""กระบี่!I524"")+IMPORTRANGE(""https://docs.google.com/spreadsheets/d/1GwtLaSlNZkLk7iDqcyZz22giiy40b_usZZBXYciEN1U/edit?usp=sharing"",""ชุ"&amp;"มพร!I524"")+IMPORTRANGE(""https://docs.google.com/spreadsheets/d/16pAz3pOhQEZBhvFNMa5KGgZS6iKWpsKX0pg6tQmwFpo/edit?usp=sharing"",""ตรัง!I524"")+IMPORTRANGE(""https://docs.google.com/spreadsheets/d/1Dj4jcHCTV9JXKCaMoheSXS52JE63kDKyG7bPXnFogHk/edit?usp=shar"&amp;"ing"",""นครศรีธรรมราช!I524"")+IMPORTRANGE(""https://docs.google.com/spreadsheets/d/1iodCdmuK2GR3jzUwk8tpccY2JHQQA-87DLOtJP-ooyU/edit?usp=sharing"",""นราธิวาส!I524"")+IMPORTRANGE(""https://docs.google.com/spreadsheets/d/1SDNX3JhDdYRuIOsj0Wh2M-Qa_eaXl0NbWmh"&amp;"AOTbfQAs/edit?usp=sharing"",""ปัตตานี!I524"")+IMPORTRANGE(""https://docs.google.com/spreadsheets/d/16JDLGguT8s5DsGCND1KcwHP_AWR_zDMTqLHPLJUKhaU/edit?usp=sharing"",""พังงา!I524"")+IMPORTRANGE(""https://docs.google.com/spreadsheets/d/17ht0gPKzzT3PObBL1XJkeR"&amp;"mntBXI7wGjpLV7QorqlTk/edit?usp=sharing"",""พัทลุง!I524"")+IMPORTRANGE(""https://docs.google.com/spreadsheets/d/1rd4qoM1q_hsgaolqNGfrim9gbsoLxQsda4-vOz5x_BM/edit?usp=sharing"",""ภูเก็ต!I524"")+IMPORTRANGE(""https://docs.google.com/spreadsheets/d/1woKwKjgoL"&amp;"ssDvPcPeVyezB5izizAn4X1JDrys69n6xI/edit?usp=sharing"",""ยะลา!I524"")+IMPORTRANGE(""https://docs.google.com/spreadsheets/d/1qfrKjzMhm2HJfxQ-qVlJlJQ25Hne1d0khsySbZyGtPA/edit?usp=sharing"",""ระนอง!I524"")+IMPORTRANGE(""https://docs.google.com/spreadsheets/d/"&amp;"1IbSCnFOKpZsnFogBHJnL_isstZVaOMnFiIN0fGTPZZw/edit?usp=sharing"",""สงขลา!I524"")+IMPORTRANGE(""https://docs.google.com/spreadsheets/d/1q9nWasZJ-K8bFGvbE9n0qSRuKGA4Toe3Y89cKCiVtCU/edit?usp=sharing"",""สตูล!I524"")+IMPORTRANGE(""https://docs.google.com/sprea"&amp;"dsheets/d/18T20gbkS_WBjdscyTOV05cvq_JqvqQ17C81mpxf7Ncs/edit?usp=sharing"",""สุราษฎร์ธานี!I524"")"),1)</f>
        <v>1</v>
      </c>
      <c r="J524" s="197">
        <f ca="1">IFERROR(__xludf.DUMMYFUNCTION("IMPORTRANGE(""https://docs.google.com/spreadsheets/d/1kKUcYdkIfrgTSj8iHHHB2MD2FAtwyyocFgqGQn6ADyI/edit?usp=sharing"",""กระบี่!J524"")+IMPORTRANGE(""https://docs.google.com/spreadsheets/d/1GwtLaSlNZkLk7iDqcyZz22giiy40b_usZZBXYciEN1U/edit?usp=sharing"",""ชุ"&amp;"มพร!J524"")+IMPORTRANGE(""https://docs.google.com/spreadsheets/d/16pAz3pOhQEZBhvFNMa5KGgZS6iKWpsKX0pg6tQmwFpo/edit?usp=sharing"",""ตรัง!J524"")+IMPORTRANGE(""https://docs.google.com/spreadsheets/d/1Dj4jcHCTV9JXKCaMoheSXS52JE63kDKyG7bPXnFogHk/edit?usp=shar"&amp;"ing"",""นครศรีธรรมราช!J524"")+IMPORTRANGE(""https://docs.google.com/spreadsheets/d/1iodCdmuK2GR3jzUwk8tpccY2JHQQA-87DLOtJP-ooyU/edit?usp=sharing"",""นราธิวาส!J524"")+IMPORTRANGE(""https://docs.google.com/spreadsheets/d/1SDNX3JhDdYRuIOsj0Wh2M-Qa_eaXl0NbWmh"&amp;"AOTbfQAs/edit?usp=sharing"",""ปัตตานี!J524"")+IMPORTRANGE(""https://docs.google.com/spreadsheets/d/16JDLGguT8s5DsGCND1KcwHP_AWR_zDMTqLHPLJUKhaU/edit?usp=sharing"",""พังงา!J524"")+IMPORTRANGE(""https://docs.google.com/spreadsheets/d/17ht0gPKzzT3PObBL1XJkeR"&amp;"mntBXI7wGjpLV7QorqlTk/edit?usp=sharing"",""พัทลุง!J524"")+IMPORTRANGE(""https://docs.google.com/spreadsheets/d/1rd4qoM1q_hsgaolqNGfrim9gbsoLxQsda4-vOz5x_BM/edit?usp=sharing"",""ภูเก็ต!J524"")+IMPORTRANGE(""https://docs.google.com/spreadsheets/d/1woKwKjgoL"&amp;"ssDvPcPeVyezB5izizAn4X1JDrys69n6xI/edit?usp=sharing"",""ยะลา!J524"")+IMPORTRANGE(""https://docs.google.com/spreadsheets/d/1qfrKjzMhm2HJfxQ-qVlJlJQ25Hne1d0khsySbZyGtPA/edit?usp=sharing"",""ระนอง!J524"")+IMPORTRANGE(""https://docs.google.com/spreadsheets/d/"&amp;"1IbSCnFOKpZsnFogBHJnL_isstZVaOMnFiIN0fGTPZZw/edit?usp=sharing"",""สงขลา!J524"")+IMPORTRANGE(""https://docs.google.com/spreadsheets/d/1q9nWasZJ-K8bFGvbE9n0qSRuKGA4Toe3Y89cKCiVtCU/edit?usp=sharing"",""สตูล!J524"")+IMPORTRANGE(""https://docs.google.com/sprea"&amp;"dsheets/d/18T20gbkS_WBjdscyTOV05cvq_JqvqQ17C81mpxf7Ncs/edit?usp=sharing"",""สุราษฎร์ธานี!J524"")"),0)</f>
        <v>0</v>
      </c>
      <c r="K524" s="111">
        <f t="shared" ca="1" si="376"/>
        <v>0</v>
      </c>
      <c r="L524" s="4"/>
      <c r="M524" s="4"/>
      <c r="N524" s="4"/>
      <c r="O524" s="4"/>
      <c r="P524" s="4"/>
      <c r="Q524" s="4"/>
      <c r="R524" s="4"/>
      <c r="S524" s="4"/>
      <c r="T524" s="46"/>
      <c r="U524" s="46"/>
    </row>
    <row r="525" spans="1:21" ht="12.75" hidden="1" x14ac:dyDescent="0.2">
      <c r="A525" s="241"/>
      <c r="B525" s="242"/>
      <c r="C525" s="242"/>
      <c r="D525" s="243"/>
      <c r="E525" s="243"/>
      <c r="F525" s="243"/>
      <c r="G525" s="244"/>
      <c r="H525" s="245"/>
      <c r="I525" s="246"/>
      <c r="J525" s="246"/>
      <c r="K525" s="247"/>
      <c r="L525" s="247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247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247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247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247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247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247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336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385">
        <f t="shared" ref="I533:J533" si="377">I544</f>
        <v>0</v>
      </c>
      <c r="J533" s="385">
        <f t="shared" si="377"/>
        <v>0</v>
      </c>
      <c r="K533" s="377">
        <f>IF(I533&gt;0,J533*100/I533,0)</f>
        <v>0</v>
      </c>
      <c r="L533" s="378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x14ac:dyDescent="0.3">
      <c r="A534" s="128"/>
      <c r="B534" s="41"/>
      <c r="C534" s="129" t="s">
        <v>18</v>
      </c>
      <c r="D534" s="13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132">
        <f t="shared" ref="L534:N534" ca="1" si="378">L535+L536</f>
        <v>0</v>
      </c>
      <c r="M534" s="132">
        <f t="shared" ca="1" si="378"/>
        <v>0</v>
      </c>
      <c r="N534" s="132">
        <f t="shared" ca="1" si="378"/>
        <v>0</v>
      </c>
      <c r="O534" s="132">
        <f t="shared" ref="O534:O542" ca="1" si="379">IF(L534&gt;0,N534*100/L534,0)</f>
        <v>0</v>
      </c>
      <c r="P534" s="132">
        <f t="shared" ref="P534:P542" ca="1" si="380">IF(M534&gt;0,N534*100/M534,0)</f>
        <v>0</v>
      </c>
      <c r="Q534" s="132">
        <f t="shared" ref="Q534:S534" ca="1" si="381">Q535+Q536</f>
        <v>0</v>
      </c>
      <c r="R534" s="132">
        <f t="shared" ca="1" si="381"/>
        <v>0</v>
      </c>
      <c r="S534" s="132">
        <f t="shared" ca="1" si="381"/>
        <v>0</v>
      </c>
      <c r="T534" s="132">
        <f t="shared" ref="T534:T542" ca="1" si="382">IF(Q534&gt;0,S534*100/Q534,0)</f>
        <v>0</v>
      </c>
      <c r="U534" s="132">
        <f t="shared" ref="U534:U542" ca="1" si="383"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9">
        <f t="shared" ref="L535:N535" ca="1" si="384">L538+L541</f>
        <v>0</v>
      </c>
      <c r="M535" s="49">
        <f t="shared" ca="1" si="384"/>
        <v>0</v>
      </c>
      <c r="N535" s="49">
        <f t="shared" ca="1" si="384"/>
        <v>0</v>
      </c>
      <c r="O535" s="49">
        <f t="shared" ca="1" si="379"/>
        <v>0</v>
      </c>
      <c r="P535" s="49">
        <f t="shared" ca="1" si="380"/>
        <v>0</v>
      </c>
      <c r="Q535" s="49">
        <f t="shared" ref="Q535:S535" ca="1" si="385">Q538+Q541</f>
        <v>0</v>
      </c>
      <c r="R535" s="49">
        <f t="shared" ca="1" si="385"/>
        <v>0</v>
      </c>
      <c r="S535" s="49">
        <f t="shared" ca="1" si="385"/>
        <v>0</v>
      </c>
      <c r="T535" s="49">
        <f t="shared" ca="1" si="382"/>
        <v>0</v>
      </c>
      <c r="U535" s="49">
        <f t="shared" ca="1" si="383"/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7">
        <f t="shared" ref="L536:N536" ca="1" si="386">L539+L542</f>
        <v>0</v>
      </c>
      <c r="M536" s="47">
        <f t="shared" ca="1" si="386"/>
        <v>0</v>
      </c>
      <c r="N536" s="47">
        <f t="shared" ca="1" si="386"/>
        <v>0</v>
      </c>
      <c r="O536" s="47">
        <f t="shared" ca="1" si="379"/>
        <v>0</v>
      </c>
      <c r="P536" s="47">
        <f t="shared" ca="1" si="380"/>
        <v>0</v>
      </c>
      <c r="Q536" s="47">
        <f t="shared" ref="Q536:S536" ca="1" si="387">Q539+Q542</f>
        <v>0</v>
      </c>
      <c r="R536" s="47">
        <f t="shared" ca="1" si="387"/>
        <v>0</v>
      </c>
      <c r="S536" s="47">
        <f t="shared" ca="1" si="387"/>
        <v>0</v>
      </c>
      <c r="T536" s="47">
        <f t="shared" ca="1" si="382"/>
        <v>0</v>
      </c>
      <c r="U536" s="47">
        <f t="shared" ca="1" si="383"/>
        <v>0</v>
      </c>
    </row>
    <row r="537" spans="1:21" ht="18.75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7">
        <f t="shared" ref="L537:N537" ca="1" si="388">L538+L539</f>
        <v>0</v>
      </c>
      <c r="M537" s="47">
        <f t="shared" ca="1" si="388"/>
        <v>0</v>
      </c>
      <c r="N537" s="47">
        <f t="shared" ca="1" si="388"/>
        <v>0</v>
      </c>
      <c r="O537" s="47">
        <f t="shared" ca="1" si="379"/>
        <v>0</v>
      </c>
      <c r="P537" s="47">
        <f t="shared" ca="1" si="380"/>
        <v>0</v>
      </c>
      <c r="Q537" s="47">
        <f t="shared" ref="Q537:S537" ca="1" si="389">Q538+Q539</f>
        <v>0</v>
      </c>
      <c r="R537" s="47">
        <f t="shared" ca="1" si="389"/>
        <v>0</v>
      </c>
      <c r="S537" s="47">
        <f t="shared" ca="1" si="389"/>
        <v>0</v>
      </c>
      <c r="T537" s="47">
        <f t="shared" ca="1" si="382"/>
        <v>0</v>
      </c>
      <c r="U537" s="47">
        <f t="shared" ca="1" si="383"/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9">
        <f ca="1">IFERROR(__xludf.DUMMYFUNCTION("IMPORTRANGE(""https://docs.google.com/spreadsheets/d/1kKUcYdkIfrgTSj8iHHHB2MD2FAtwyyocFgqGQn6ADyI/edit?usp=sharing"",""กระบี่!L538"")+IMPORTRANGE(""https://docs.google.com/spreadsheets/d/1GwtLaSlNZkLk7iDqcyZz22giiy40b_usZZBXYciEN1U/edit?usp=sharing"",""ชุ"&amp;"มพร!L538"")+IMPORTRANGE(""https://docs.google.com/spreadsheets/d/16pAz3pOhQEZBhvFNMa5KGgZS6iKWpsKX0pg6tQmwFpo/edit?usp=sharing"",""ตรัง!L538"")+IMPORTRANGE(""https://docs.google.com/spreadsheets/d/1Dj4jcHCTV9JXKCaMoheSXS52JE63kDKyG7bPXnFogHk/edit?usp=shar"&amp;"ing"",""นครศรีธรรมราช!L538"")+IMPORTRANGE(""https://docs.google.com/spreadsheets/d/1iodCdmuK2GR3jzUwk8tpccY2JHQQA-87DLOtJP-ooyU/edit?usp=sharing"",""นราธิวาส!L538"")+IMPORTRANGE(""https://docs.google.com/spreadsheets/d/1SDNX3JhDdYRuIOsj0Wh2M-Qa_eaXl0NbWmh"&amp;"AOTbfQAs/edit?usp=sharing"",""ปัตตานี!L538"")+IMPORTRANGE(""https://docs.google.com/spreadsheets/d/16JDLGguT8s5DsGCND1KcwHP_AWR_zDMTqLHPLJUKhaU/edit?usp=sharing"",""พังงา!L538"")+IMPORTRANGE(""https://docs.google.com/spreadsheets/d/17ht0gPKzzT3PObBL1XJkeR"&amp;"mntBXI7wGjpLV7QorqlTk/edit?usp=sharing"",""พัทลุง!L538"")+IMPORTRANGE(""https://docs.google.com/spreadsheets/d/1rd4qoM1q_hsgaolqNGfrim9gbsoLxQsda4-vOz5x_BM/edit?usp=sharing"",""ภูเก็ต!L538"")+IMPORTRANGE(""https://docs.google.com/spreadsheets/d/1woKwKjgoL"&amp;"ssDvPcPeVyezB5izizAn4X1JDrys69n6xI/edit?usp=sharing"",""ยะลา!L538"")+IMPORTRANGE(""https://docs.google.com/spreadsheets/d/1qfrKjzMhm2HJfxQ-qVlJlJQ25Hne1d0khsySbZyGtPA/edit?usp=sharing"",""ระนอง!L538"")+IMPORTRANGE(""https://docs.google.com/spreadsheets/d/"&amp;"1IbSCnFOKpZsnFogBHJnL_isstZVaOMnFiIN0fGTPZZw/edit?usp=sharing"",""สงขลา!L538"")+IMPORTRANGE(""https://docs.google.com/spreadsheets/d/1q9nWasZJ-K8bFGvbE9n0qSRuKGA4Toe3Y89cKCiVtCU/edit?usp=sharing"",""สตูล!L538"")+IMPORTRANGE(""https://docs.google.com/sprea"&amp;"dsheets/d/18T20gbkS_WBjdscyTOV05cvq_JqvqQ17C81mpxf7Ncs/edit?usp=sharing"",""สุราษฎร์ธานี!L538"")"),0)</f>
        <v>0</v>
      </c>
      <c r="M538" s="49">
        <f ca="1">IFERROR(__xludf.DUMMYFUNCTION("IMPORTRANGE(""https://docs.google.com/spreadsheets/d/1kKUcYdkIfrgTSj8iHHHB2MD2FAtwyyocFgqGQn6ADyI/edit?usp=sharing"",""กระบี่!M538"")+IMPORTRANGE(""https://docs.google.com/spreadsheets/d/1GwtLaSlNZkLk7iDqcyZz22giiy40b_usZZBXYciEN1U/edit?usp=sharing"",""ชุ"&amp;"มพร!M538"")+IMPORTRANGE(""https://docs.google.com/spreadsheets/d/16pAz3pOhQEZBhvFNMa5KGgZS6iKWpsKX0pg6tQmwFpo/edit?usp=sharing"",""ตรัง!M538"")+IMPORTRANGE(""https://docs.google.com/spreadsheets/d/1Dj4jcHCTV9JXKCaMoheSXS52JE63kDKyG7bPXnFogHk/edit?usp=shar"&amp;"ing"",""นครศรีธรรมราช!M538"")+IMPORTRANGE(""https://docs.google.com/spreadsheets/d/1iodCdmuK2GR3jzUwk8tpccY2JHQQA-87DLOtJP-ooyU/edit?usp=sharing"",""นราธิวาส!M538"")+IMPORTRANGE(""https://docs.google.com/spreadsheets/d/1SDNX3JhDdYRuIOsj0Wh2M-Qa_eaXl0NbWmh"&amp;"AOTbfQAs/edit?usp=sharing"",""ปัตตานี!M538"")+IMPORTRANGE(""https://docs.google.com/spreadsheets/d/16JDLGguT8s5DsGCND1KcwHP_AWR_zDMTqLHPLJUKhaU/edit?usp=sharing"",""พังงา!M538"")+IMPORTRANGE(""https://docs.google.com/spreadsheets/d/17ht0gPKzzT3PObBL1XJkeR"&amp;"mntBXI7wGjpLV7QorqlTk/edit?usp=sharing"",""พัทลุง!M538"")+IMPORTRANGE(""https://docs.google.com/spreadsheets/d/1rd4qoM1q_hsgaolqNGfrim9gbsoLxQsda4-vOz5x_BM/edit?usp=sharing"",""ภูเก็ต!M538"")+IMPORTRANGE(""https://docs.google.com/spreadsheets/d/1woKwKjgoL"&amp;"ssDvPcPeVyezB5izizAn4X1JDrys69n6xI/edit?usp=sharing"",""ยะลา!M538"")+IMPORTRANGE(""https://docs.google.com/spreadsheets/d/1qfrKjzMhm2HJfxQ-qVlJlJQ25Hne1d0khsySbZyGtPA/edit?usp=sharing"",""ระนอง!M538"")+IMPORTRANGE(""https://docs.google.com/spreadsheets/d/"&amp;"1IbSCnFOKpZsnFogBHJnL_isstZVaOMnFiIN0fGTPZZw/edit?usp=sharing"",""สงขลา!M538"")+IMPORTRANGE(""https://docs.google.com/spreadsheets/d/1q9nWasZJ-K8bFGvbE9n0qSRuKGA4Toe3Y89cKCiVtCU/edit?usp=sharing"",""สตูล!M538"")+IMPORTRANGE(""https://docs.google.com/sprea"&amp;"dsheets/d/18T20gbkS_WBjdscyTOV05cvq_JqvqQ17C81mpxf7Ncs/edit?usp=sharing"",""สุราษฎร์ธานี!M538"")"),0)</f>
        <v>0</v>
      </c>
      <c r="N538" s="49">
        <f ca="1">IFERROR(__xludf.DUMMYFUNCTION("IMPORTRANGE(""https://docs.google.com/spreadsheets/d/1kKUcYdkIfrgTSj8iHHHB2MD2FAtwyyocFgqGQn6ADyI/edit?usp=sharing"",""กระบี่!N538"")+IMPORTRANGE(""https://docs.google.com/spreadsheets/d/1GwtLaSlNZkLk7iDqcyZz22giiy40b_usZZBXYciEN1U/edit?usp=sharing"",""ชุ"&amp;"มพร!N538"")+IMPORTRANGE(""https://docs.google.com/spreadsheets/d/16pAz3pOhQEZBhvFNMa5KGgZS6iKWpsKX0pg6tQmwFpo/edit?usp=sharing"",""ตรัง!N538"")+IMPORTRANGE(""https://docs.google.com/spreadsheets/d/1Dj4jcHCTV9JXKCaMoheSXS52JE63kDKyG7bPXnFogHk/edit?usp=shar"&amp;"ing"",""นครศรีธรรมราช!N538"")+IMPORTRANGE(""https://docs.google.com/spreadsheets/d/1iodCdmuK2GR3jzUwk8tpccY2JHQQA-87DLOtJP-ooyU/edit?usp=sharing"",""นราธิวาส!N538"")+IMPORTRANGE(""https://docs.google.com/spreadsheets/d/1SDNX3JhDdYRuIOsj0Wh2M-Qa_eaXl0NbWmh"&amp;"AOTbfQAs/edit?usp=sharing"",""ปัตตานี!N538"")+IMPORTRANGE(""https://docs.google.com/spreadsheets/d/16JDLGguT8s5DsGCND1KcwHP_AWR_zDMTqLHPLJUKhaU/edit?usp=sharing"",""พังงา!N538"")+IMPORTRANGE(""https://docs.google.com/spreadsheets/d/17ht0gPKzzT3PObBL1XJkeR"&amp;"mntBXI7wGjpLV7QorqlTk/edit?usp=sharing"",""พัทลุง!N538"")+IMPORTRANGE(""https://docs.google.com/spreadsheets/d/1rd4qoM1q_hsgaolqNGfrim9gbsoLxQsda4-vOz5x_BM/edit?usp=sharing"",""ภูเก็ต!N538"")+IMPORTRANGE(""https://docs.google.com/spreadsheets/d/1woKwKjgoL"&amp;"ssDvPcPeVyezB5izizAn4X1JDrys69n6xI/edit?usp=sharing"",""ยะลา!N538"")+IMPORTRANGE(""https://docs.google.com/spreadsheets/d/1qfrKjzMhm2HJfxQ-qVlJlJQ25Hne1d0khsySbZyGtPA/edit?usp=sharing"",""ระนอง!N538"")+IMPORTRANGE(""https://docs.google.com/spreadsheets/d/"&amp;"1IbSCnFOKpZsnFogBHJnL_isstZVaOMnFiIN0fGTPZZw/edit?usp=sharing"",""สงขลา!N538"")+IMPORTRANGE(""https://docs.google.com/spreadsheets/d/1q9nWasZJ-K8bFGvbE9n0qSRuKGA4Toe3Y89cKCiVtCU/edit?usp=sharing"",""สตูล!N538"")+IMPORTRANGE(""https://docs.google.com/sprea"&amp;"dsheets/d/18T20gbkS_WBjdscyTOV05cvq_JqvqQ17C81mpxf7Ncs/edit?usp=sharing"",""สุราษฎร์ธานี!N538"")"),0)</f>
        <v>0</v>
      </c>
      <c r="O538" s="49">
        <f t="shared" ca="1" si="379"/>
        <v>0</v>
      </c>
      <c r="P538" s="49">
        <f t="shared" ca="1" si="380"/>
        <v>0</v>
      </c>
      <c r="Q538" s="49">
        <f ca="1">IFERROR(__xludf.DUMMYFUNCTION("IMPORTRANGE(""https://docs.google.com/spreadsheets/d/1kKUcYdkIfrgTSj8iHHHB2MD2FAtwyyocFgqGQn6ADyI/edit?usp=sharing"",""กระบี่!Q538"")+IMPORTRANGE(""https://docs.google.com/spreadsheets/d/1GwtLaSlNZkLk7iDqcyZz22giiy40b_usZZBXYciEN1U/edit?usp=sharing"",""ชุ"&amp;"มพร!Q538"")+IMPORTRANGE(""https://docs.google.com/spreadsheets/d/16pAz3pOhQEZBhvFNMa5KGgZS6iKWpsKX0pg6tQmwFpo/edit?usp=sharing"",""ตรัง!Q538"")+IMPORTRANGE(""https://docs.google.com/spreadsheets/d/1Dj4jcHCTV9JXKCaMoheSXS52JE63kDKyG7bPXnFogHk/edit?usp=shar"&amp;"ing"",""นครศรีธรรมราช!Q538"")+IMPORTRANGE(""https://docs.google.com/spreadsheets/d/1iodCdmuK2GR3jzUwk8tpccY2JHQQA-87DLOtJP-ooyU/edit?usp=sharing"",""นราธิวาส!Q538"")+IMPORTRANGE(""https://docs.google.com/spreadsheets/d/1SDNX3JhDdYRuIOsj0Wh2M-Qa_eaXl0NbWmh"&amp;"AOTbfQAs/edit?usp=sharing"",""ปัตตานี!Q538"")+IMPORTRANGE(""https://docs.google.com/spreadsheets/d/16JDLGguT8s5DsGCND1KcwHP_AWR_zDMTqLHPLJUKhaU/edit?usp=sharing"",""พังงา!Q538"")+IMPORTRANGE(""https://docs.google.com/spreadsheets/d/17ht0gPKzzT3PObBL1XJkeR"&amp;"mntBXI7wGjpLV7QorqlTk/edit?usp=sharing"",""พัทลุง!Q538"")+IMPORTRANGE(""https://docs.google.com/spreadsheets/d/1rd4qoM1q_hsgaolqNGfrim9gbsoLxQsda4-vOz5x_BM/edit?usp=sharing"",""ภูเก็ต!Q538"")+IMPORTRANGE(""https://docs.google.com/spreadsheets/d/1woKwKjgoL"&amp;"ssDvPcPeVyezB5izizAn4X1JDrys69n6xI/edit?usp=sharing"",""ยะลา!Q538"")+IMPORTRANGE(""https://docs.google.com/spreadsheets/d/1qfrKjzMhm2HJfxQ-qVlJlJQ25Hne1d0khsySbZyGtPA/edit?usp=sharing"",""ระนอง!Q538"")+IMPORTRANGE(""https://docs.google.com/spreadsheets/d/"&amp;"1IbSCnFOKpZsnFogBHJnL_isstZVaOMnFiIN0fGTPZZw/edit?usp=sharing"",""สงขลา!Q538"")+IMPORTRANGE(""https://docs.google.com/spreadsheets/d/1q9nWasZJ-K8bFGvbE9n0qSRuKGA4Toe3Y89cKCiVtCU/edit?usp=sharing"",""สตูล!Q538"")+IMPORTRANGE(""https://docs.google.com/sprea"&amp;"dsheets/d/18T20gbkS_WBjdscyTOV05cvq_JqvqQ17C81mpxf7Ncs/edit?usp=sharing"",""สุราษฎร์ธานี!Q538"")"),0)</f>
        <v>0</v>
      </c>
      <c r="R538" s="49">
        <f ca="1">IFERROR(__xludf.DUMMYFUNCTION("IMPORTRANGE(""https://docs.google.com/spreadsheets/d/1kKUcYdkIfrgTSj8iHHHB2MD2FAtwyyocFgqGQn6ADyI/edit?usp=sharing"",""กระบี่!R538"")+IMPORTRANGE(""https://docs.google.com/spreadsheets/d/1GwtLaSlNZkLk7iDqcyZz22giiy40b_usZZBXYciEN1U/edit?usp=sharing"",""ชุ"&amp;"มพร!R538"")+IMPORTRANGE(""https://docs.google.com/spreadsheets/d/16pAz3pOhQEZBhvFNMa5KGgZS6iKWpsKX0pg6tQmwFpo/edit?usp=sharing"",""ตรัง!R538"")+IMPORTRANGE(""https://docs.google.com/spreadsheets/d/1Dj4jcHCTV9JXKCaMoheSXS52JE63kDKyG7bPXnFogHk/edit?usp=shar"&amp;"ing"",""นครศรีธรรมราช!R538"")+IMPORTRANGE(""https://docs.google.com/spreadsheets/d/1iodCdmuK2GR3jzUwk8tpccY2JHQQA-87DLOtJP-ooyU/edit?usp=sharing"",""นราธิวาส!R538"")+IMPORTRANGE(""https://docs.google.com/spreadsheets/d/1SDNX3JhDdYRuIOsj0Wh2M-Qa_eaXl0NbWmh"&amp;"AOTbfQAs/edit?usp=sharing"",""ปัตตานี!R538"")+IMPORTRANGE(""https://docs.google.com/spreadsheets/d/16JDLGguT8s5DsGCND1KcwHP_AWR_zDMTqLHPLJUKhaU/edit?usp=sharing"",""พังงา!R538"")+IMPORTRANGE(""https://docs.google.com/spreadsheets/d/17ht0gPKzzT3PObBL1XJkeR"&amp;"mntBXI7wGjpLV7QorqlTk/edit?usp=sharing"",""พัทลุง!R538"")+IMPORTRANGE(""https://docs.google.com/spreadsheets/d/1rd4qoM1q_hsgaolqNGfrim9gbsoLxQsda4-vOz5x_BM/edit?usp=sharing"",""ภูเก็ต!R538"")+IMPORTRANGE(""https://docs.google.com/spreadsheets/d/1woKwKjgoL"&amp;"ssDvPcPeVyezB5izizAn4X1JDrys69n6xI/edit?usp=sharing"",""ยะลา!R538"")+IMPORTRANGE(""https://docs.google.com/spreadsheets/d/1qfrKjzMhm2HJfxQ-qVlJlJQ25Hne1d0khsySbZyGtPA/edit?usp=sharing"",""ระนอง!R538"")+IMPORTRANGE(""https://docs.google.com/spreadsheets/d/"&amp;"1IbSCnFOKpZsnFogBHJnL_isstZVaOMnFiIN0fGTPZZw/edit?usp=sharing"",""สงขลา!R538"")+IMPORTRANGE(""https://docs.google.com/spreadsheets/d/1q9nWasZJ-K8bFGvbE9n0qSRuKGA4Toe3Y89cKCiVtCU/edit?usp=sharing"",""สตูล!R538"")+IMPORTRANGE(""https://docs.google.com/sprea"&amp;"dsheets/d/18T20gbkS_WBjdscyTOV05cvq_JqvqQ17C81mpxf7Ncs/edit?usp=sharing"",""สุราษฎร์ธานี!R538"")"),0)</f>
        <v>0</v>
      </c>
      <c r="S538" s="49">
        <f ca="1">IFERROR(__xludf.DUMMYFUNCTION("IMPORTRANGE(""https://docs.google.com/spreadsheets/d/1kKUcYdkIfrgTSj8iHHHB2MD2FAtwyyocFgqGQn6ADyI/edit?usp=sharing"",""กระบี่!S538"")+IMPORTRANGE(""https://docs.google.com/spreadsheets/d/1GwtLaSlNZkLk7iDqcyZz22giiy40b_usZZBXYciEN1U/edit?usp=sharing"",""ชุ"&amp;"มพร!S538"")+IMPORTRANGE(""https://docs.google.com/spreadsheets/d/16pAz3pOhQEZBhvFNMa5KGgZS6iKWpsKX0pg6tQmwFpo/edit?usp=sharing"",""ตรัง!S538"")+IMPORTRANGE(""https://docs.google.com/spreadsheets/d/1Dj4jcHCTV9JXKCaMoheSXS52JE63kDKyG7bPXnFogHk/edit?usp=shar"&amp;"ing"",""นครศรีธรรมราช!S538"")+IMPORTRANGE(""https://docs.google.com/spreadsheets/d/1iodCdmuK2GR3jzUwk8tpccY2JHQQA-87DLOtJP-ooyU/edit?usp=sharing"",""นราธิวาส!S538"")+IMPORTRANGE(""https://docs.google.com/spreadsheets/d/1SDNX3JhDdYRuIOsj0Wh2M-Qa_eaXl0NbWmh"&amp;"AOTbfQAs/edit?usp=sharing"",""ปัตตานี!S538"")+IMPORTRANGE(""https://docs.google.com/spreadsheets/d/16JDLGguT8s5DsGCND1KcwHP_AWR_zDMTqLHPLJUKhaU/edit?usp=sharing"",""พังงา!S538"")+IMPORTRANGE(""https://docs.google.com/spreadsheets/d/17ht0gPKzzT3PObBL1XJkeR"&amp;"mntBXI7wGjpLV7QorqlTk/edit?usp=sharing"",""พัทลุง!S538"")+IMPORTRANGE(""https://docs.google.com/spreadsheets/d/1rd4qoM1q_hsgaolqNGfrim9gbsoLxQsda4-vOz5x_BM/edit?usp=sharing"",""ภูเก็ต!S538"")+IMPORTRANGE(""https://docs.google.com/spreadsheets/d/1woKwKjgoL"&amp;"ssDvPcPeVyezB5izizAn4X1JDrys69n6xI/edit?usp=sharing"",""ยะลา!S538"")+IMPORTRANGE(""https://docs.google.com/spreadsheets/d/1qfrKjzMhm2HJfxQ-qVlJlJQ25Hne1d0khsySbZyGtPA/edit?usp=sharing"",""ระนอง!S538"")+IMPORTRANGE(""https://docs.google.com/spreadsheets/d/"&amp;"1IbSCnFOKpZsnFogBHJnL_isstZVaOMnFiIN0fGTPZZw/edit?usp=sharing"",""สงขลา!S538"")+IMPORTRANGE(""https://docs.google.com/spreadsheets/d/1q9nWasZJ-K8bFGvbE9n0qSRuKGA4Toe3Y89cKCiVtCU/edit?usp=sharing"",""สตูล!S538"")+IMPORTRANGE(""https://docs.google.com/sprea"&amp;"dsheets/d/18T20gbkS_WBjdscyTOV05cvq_JqvqQ17C81mpxf7Ncs/edit?usp=sharing"",""สุราษฎร์ธานี!S538"")"),0)</f>
        <v>0</v>
      </c>
      <c r="T538" s="49">
        <f t="shared" ca="1" si="382"/>
        <v>0</v>
      </c>
      <c r="U538" s="49">
        <f t="shared" ca="1" si="383"/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7">
        <f ca="1">IFERROR(__xludf.DUMMYFUNCTION("IMPORTRANGE(""https://docs.google.com/spreadsheets/d/1kKUcYdkIfrgTSj8iHHHB2MD2FAtwyyocFgqGQn6ADyI/edit?usp=sharing"",""กระบี่!L539"")+IMPORTRANGE(""https://docs.google.com/spreadsheets/d/1GwtLaSlNZkLk7iDqcyZz22giiy40b_usZZBXYciEN1U/edit?usp=sharing"",""ชุ"&amp;"มพร!L539"")+IMPORTRANGE(""https://docs.google.com/spreadsheets/d/16pAz3pOhQEZBhvFNMa5KGgZS6iKWpsKX0pg6tQmwFpo/edit?usp=sharing"",""ตรัง!L539"")+IMPORTRANGE(""https://docs.google.com/spreadsheets/d/1Dj4jcHCTV9JXKCaMoheSXS52JE63kDKyG7bPXnFogHk/edit?usp=shar"&amp;"ing"",""นครศรีธรรมราช!L539"")+IMPORTRANGE(""https://docs.google.com/spreadsheets/d/1iodCdmuK2GR3jzUwk8tpccY2JHQQA-87DLOtJP-ooyU/edit?usp=sharing"",""นราธิวาส!L539"")+IMPORTRANGE(""https://docs.google.com/spreadsheets/d/1SDNX3JhDdYRuIOsj0Wh2M-Qa_eaXl0NbWmh"&amp;"AOTbfQAs/edit?usp=sharing"",""ปัตตานี!L539"")+IMPORTRANGE(""https://docs.google.com/spreadsheets/d/16JDLGguT8s5DsGCND1KcwHP_AWR_zDMTqLHPLJUKhaU/edit?usp=sharing"",""พังงา!L539"")+IMPORTRANGE(""https://docs.google.com/spreadsheets/d/17ht0gPKzzT3PObBL1XJkeR"&amp;"mntBXI7wGjpLV7QorqlTk/edit?usp=sharing"",""พัทลุง!L539"")+IMPORTRANGE(""https://docs.google.com/spreadsheets/d/1rd4qoM1q_hsgaolqNGfrim9gbsoLxQsda4-vOz5x_BM/edit?usp=sharing"",""ภูเก็ต!L539"")+IMPORTRANGE(""https://docs.google.com/spreadsheets/d/1woKwKjgoL"&amp;"ssDvPcPeVyezB5izizAn4X1JDrys69n6xI/edit?usp=sharing"",""ยะลา!L539"")+IMPORTRANGE(""https://docs.google.com/spreadsheets/d/1qfrKjzMhm2HJfxQ-qVlJlJQ25Hne1d0khsySbZyGtPA/edit?usp=sharing"",""ระนอง!L539"")+IMPORTRANGE(""https://docs.google.com/spreadsheets/d/"&amp;"1IbSCnFOKpZsnFogBHJnL_isstZVaOMnFiIN0fGTPZZw/edit?usp=sharing"",""สงขลา!L539"")+IMPORTRANGE(""https://docs.google.com/spreadsheets/d/1q9nWasZJ-K8bFGvbE9n0qSRuKGA4Toe3Y89cKCiVtCU/edit?usp=sharing"",""สตูล!L539"")+IMPORTRANGE(""https://docs.google.com/sprea"&amp;"dsheets/d/18T20gbkS_WBjdscyTOV05cvq_JqvqQ17C81mpxf7Ncs/edit?usp=sharing"",""สุราษฎร์ธานี!L539"")"),0)</f>
        <v>0</v>
      </c>
      <c r="M539" s="47">
        <f ca="1">IFERROR(__xludf.DUMMYFUNCTION("IMPORTRANGE(""https://docs.google.com/spreadsheets/d/1kKUcYdkIfrgTSj8iHHHB2MD2FAtwyyocFgqGQn6ADyI/edit?usp=sharing"",""กระบี่!M539"")+IMPORTRANGE(""https://docs.google.com/spreadsheets/d/1GwtLaSlNZkLk7iDqcyZz22giiy40b_usZZBXYciEN1U/edit?usp=sharing"",""ชุ"&amp;"มพร!M539"")+IMPORTRANGE(""https://docs.google.com/spreadsheets/d/16pAz3pOhQEZBhvFNMa5KGgZS6iKWpsKX0pg6tQmwFpo/edit?usp=sharing"",""ตรัง!M539"")+IMPORTRANGE(""https://docs.google.com/spreadsheets/d/1Dj4jcHCTV9JXKCaMoheSXS52JE63kDKyG7bPXnFogHk/edit?usp=shar"&amp;"ing"",""นครศรีธรรมราช!M539"")+IMPORTRANGE(""https://docs.google.com/spreadsheets/d/1iodCdmuK2GR3jzUwk8tpccY2JHQQA-87DLOtJP-ooyU/edit?usp=sharing"",""นราธิวาส!M539"")+IMPORTRANGE(""https://docs.google.com/spreadsheets/d/1SDNX3JhDdYRuIOsj0Wh2M-Qa_eaXl0NbWmh"&amp;"AOTbfQAs/edit?usp=sharing"",""ปัตตานี!M539"")+IMPORTRANGE(""https://docs.google.com/spreadsheets/d/16JDLGguT8s5DsGCND1KcwHP_AWR_zDMTqLHPLJUKhaU/edit?usp=sharing"",""พังงา!M539"")+IMPORTRANGE(""https://docs.google.com/spreadsheets/d/17ht0gPKzzT3PObBL1XJkeR"&amp;"mntBXI7wGjpLV7QorqlTk/edit?usp=sharing"",""พัทลุง!M539"")+IMPORTRANGE(""https://docs.google.com/spreadsheets/d/1rd4qoM1q_hsgaolqNGfrim9gbsoLxQsda4-vOz5x_BM/edit?usp=sharing"",""ภูเก็ต!M539"")+IMPORTRANGE(""https://docs.google.com/spreadsheets/d/1woKwKjgoL"&amp;"ssDvPcPeVyezB5izizAn4X1JDrys69n6xI/edit?usp=sharing"",""ยะลา!M539"")+IMPORTRANGE(""https://docs.google.com/spreadsheets/d/1qfrKjzMhm2HJfxQ-qVlJlJQ25Hne1d0khsySbZyGtPA/edit?usp=sharing"",""ระนอง!M539"")+IMPORTRANGE(""https://docs.google.com/spreadsheets/d/"&amp;"1IbSCnFOKpZsnFogBHJnL_isstZVaOMnFiIN0fGTPZZw/edit?usp=sharing"",""สงขลา!M539"")+IMPORTRANGE(""https://docs.google.com/spreadsheets/d/1q9nWasZJ-K8bFGvbE9n0qSRuKGA4Toe3Y89cKCiVtCU/edit?usp=sharing"",""สตูล!M539"")+IMPORTRANGE(""https://docs.google.com/sprea"&amp;"dsheets/d/18T20gbkS_WBjdscyTOV05cvq_JqvqQ17C81mpxf7Ncs/edit?usp=sharing"",""สุราษฎร์ธานี!M539"")"),0)</f>
        <v>0</v>
      </c>
      <c r="N539" s="47">
        <f ca="1">IFERROR(__xludf.DUMMYFUNCTION("IMPORTRANGE(""https://docs.google.com/spreadsheets/d/1kKUcYdkIfrgTSj8iHHHB2MD2FAtwyyocFgqGQn6ADyI/edit?usp=sharing"",""กระบี่!N539"")+IMPORTRANGE(""https://docs.google.com/spreadsheets/d/1GwtLaSlNZkLk7iDqcyZz22giiy40b_usZZBXYciEN1U/edit?usp=sharing"",""ชุ"&amp;"มพร!N539"")+IMPORTRANGE(""https://docs.google.com/spreadsheets/d/16pAz3pOhQEZBhvFNMa5KGgZS6iKWpsKX0pg6tQmwFpo/edit?usp=sharing"",""ตรัง!N539"")+IMPORTRANGE(""https://docs.google.com/spreadsheets/d/1Dj4jcHCTV9JXKCaMoheSXS52JE63kDKyG7bPXnFogHk/edit?usp=shar"&amp;"ing"",""นครศรีธรรมราช!N539"")+IMPORTRANGE(""https://docs.google.com/spreadsheets/d/1iodCdmuK2GR3jzUwk8tpccY2JHQQA-87DLOtJP-ooyU/edit?usp=sharing"",""นราธิวาส!N539"")+IMPORTRANGE(""https://docs.google.com/spreadsheets/d/1SDNX3JhDdYRuIOsj0Wh2M-Qa_eaXl0NbWmh"&amp;"AOTbfQAs/edit?usp=sharing"",""ปัตตานี!N539"")+IMPORTRANGE(""https://docs.google.com/spreadsheets/d/16JDLGguT8s5DsGCND1KcwHP_AWR_zDMTqLHPLJUKhaU/edit?usp=sharing"",""พังงา!N539"")+IMPORTRANGE(""https://docs.google.com/spreadsheets/d/17ht0gPKzzT3PObBL1XJkeR"&amp;"mntBXI7wGjpLV7QorqlTk/edit?usp=sharing"",""พัทลุง!N539"")+IMPORTRANGE(""https://docs.google.com/spreadsheets/d/1rd4qoM1q_hsgaolqNGfrim9gbsoLxQsda4-vOz5x_BM/edit?usp=sharing"",""ภูเก็ต!N539"")+IMPORTRANGE(""https://docs.google.com/spreadsheets/d/1woKwKjgoL"&amp;"ssDvPcPeVyezB5izizAn4X1JDrys69n6xI/edit?usp=sharing"",""ยะลา!N539"")+IMPORTRANGE(""https://docs.google.com/spreadsheets/d/1qfrKjzMhm2HJfxQ-qVlJlJQ25Hne1d0khsySbZyGtPA/edit?usp=sharing"",""ระนอง!N539"")+IMPORTRANGE(""https://docs.google.com/spreadsheets/d/"&amp;"1IbSCnFOKpZsnFogBHJnL_isstZVaOMnFiIN0fGTPZZw/edit?usp=sharing"",""สงขลา!N539"")+IMPORTRANGE(""https://docs.google.com/spreadsheets/d/1q9nWasZJ-K8bFGvbE9n0qSRuKGA4Toe3Y89cKCiVtCU/edit?usp=sharing"",""สตูล!N539"")+IMPORTRANGE(""https://docs.google.com/sprea"&amp;"dsheets/d/18T20gbkS_WBjdscyTOV05cvq_JqvqQ17C81mpxf7Ncs/edit?usp=sharing"",""สุราษฎร์ธานี!N539"")"),0)</f>
        <v>0</v>
      </c>
      <c r="O539" s="47">
        <f t="shared" ca="1" si="379"/>
        <v>0</v>
      </c>
      <c r="P539" s="47">
        <f t="shared" ca="1" si="380"/>
        <v>0</v>
      </c>
      <c r="Q539" s="47">
        <f ca="1">IFERROR(__xludf.DUMMYFUNCTION("IMPORTRANGE(""https://docs.google.com/spreadsheets/d/1kKUcYdkIfrgTSj8iHHHB2MD2FAtwyyocFgqGQn6ADyI/edit?usp=sharing"",""กระบี่!Q539"")+IMPORTRANGE(""https://docs.google.com/spreadsheets/d/1GwtLaSlNZkLk7iDqcyZz22giiy40b_usZZBXYciEN1U/edit?usp=sharing"",""ชุ"&amp;"มพร!Q539"")+IMPORTRANGE(""https://docs.google.com/spreadsheets/d/16pAz3pOhQEZBhvFNMa5KGgZS6iKWpsKX0pg6tQmwFpo/edit?usp=sharing"",""ตรัง!Q539"")+IMPORTRANGE(""https://docs.google.com/spreadsheets/d/1Dj4jcHCTV9JXKCaMoheSXS52JE63kDKyG7bPXnFogHk/edit?usp=shar"&amp;"ing"",""นครศรีธรรมราช!Q539"")+IMPORTRANGE(""https://docs.google.com/spreadsheets/d/1iodCdmuK2GR3jzUwk8tpccY2JHQQA-87DLOtJP-ooyU/edit?usp=sharing"",""นราธิวาส!Q539"")+IMPORTRANGE(""https://docs.google.com/spreadsheets/d/1SDNX3JhDdYRuIOsj0Wh2M-Qa_eaXl0NbWmh"&amp;"AOTbfQAs/edit?usp=sharing"",""ปัตตานี!Q539"")+IMPORTRANGE(""https://docs.google.com/spreadsheets/d/16JDLGguT8s5DsGCND1KcwHP_AWR_zDMTqLHPLJUKhaU/edit?usp=sharing"",""พังงา!Q539"")+IMPORTRANGE(""https://docs.google.com/spreadsheets/d/17ht0gPKzzT3PObBL1XJkeR"&amp;"mntBXI7wGjpLV7QorqlTk/edit?usp=sharing"",""พัทลุง!Q539"")+IMPORTRANGE(""https://docs.google.com/spreadsheets/d/1rd4qoM1q_hsgaolqNGfrim9gbsoLxQsda4-vOz5x_BM/edit?usp=sharing"",""ภูเก็ต!Q539"")+IMPORTRANGE(""https://docs.google.com/spreadsheets/d/1woKwKjgoL"&amp;"ssDvPcPeVyezB5izizAn4X1JDrys69n6xI/edit?usp=sharing"",""ยะลา!Q539"")+IMPORTRANGE(""https://docs.google.com/spreadsheets/d/1qfrKjzMhm2HJfxQ-qVlJlJQ25Hne1d0khsySbZyGtPA/edit?usp=sharing"",""ระนอง!Q539"")+IMPORTRANGE(""https://docs.google.com/spreadsheets/d/"&amp;"1IbSCnFOKpZsnFogBHJnL_isstZVaOMnFiIN0fGTPZZw/edit?usp=sharing"",""สงขลา!Q539"")+IMPORTRANGE(""https://docs.google.com/spreadsheets/d/1q9nWasZJ-K8bFGvbE9n0qSRuKGA4Toe3Y89cKCiVtCU/edit?usp=sharing"",""สตูล!Q539"")+IMPORTRANGE(""https://docs.google.com/sprea"&amp;"dsheets/d/18T20gbkS_WBjdscyTOV05cvq_JqvqQ17C81mpxf7Ncs/edit?usp=sharing"",""สุราษฎร์ธานี!Q539"")"),0)</f>
        <v>0</v>
      </c>
      <c r="R539" s="47">
        <f ca="1">IFERROR(__xludf.DUMMYFUNCTION("IMPORTRANGE(""https://docs.google.com/spreadsheets/d/1kKUcYdkIfrgTSj8iHHHB2MD2FAtwyyocFgqGQn6ADyI/edit?usp=sharing"",""กระบี่!R539"")+IMPORTRANGE(""https://docs.google.com/spreadsheets/d/1GwtLaSlNZkLk7iDqcyZz22giiy40b_usZZBXYciEN1U/edit?usp=sharing"",""ชุ"&amp;"มพร!R539"")+IMPORTRANGE(""https://docs.google.com/spreadsheets/d/16pAz3pOhQEZBhvFNMa5KGgZS6iKWpsKX0pg6tQmwFpo/edit?usp=sharing"",""ตรัง!R539"")+IMPORTRANGE(""https://docs.google.com/spreadsheets/d/1Dj4jcHCTV9JXKCaMoheSXS52JE63kDKyG7bPXnFogHk/edit?usp=shar"&amp;"ing"",""นครศรีธรรมราช!R539"")+IMPORTRANGE(""https://docs.google.com/spreadsheets/d/1iodCdmuK2GR3jzUwk8tpccY2JHQQA-87DLOtJP-ooyU/edit?usp=sharing"",""นราธิวาส!R539"")+IMPORTRANGE(""https://docs.google.com/spreadsheets/d/1SDNX3JhDdYRuIOsj0Wh2M-Qa_eaXl0NbWmh"&amp;"AOTbfQAs/edit?usp=sharing"",""ปัตตานี!R539"")+IMPORTRANGE(""https://docs.google.com/spreadsheets/d/16JDLGguT8s5DsGCND1KcwHP_AWR_zDMTqLHPLJUKhaU/edit?usp=sharing"",""พังงา!R539"")+IMPORTRANGE(""https://docs.google.com/spreadsheets/d/17ht0gPKzzT3PObBL1XJkeR"&amp;"mntBXI7wGjpLV7QorqlTk/edit?usp=sharing"",""พัทลุง!R539"")+IMPORTRANGE(""https://docs.google.com/spreadsheets/d/1rd4qoM1q_hsgaolqNGfrim9gbsoLxQsda4-vOz5x_BM/edit?usp=sharing"",""ภูเก็ต!R539"")+IMPORTRANGE(""https://docs.google.com/spreadsheets/d/1woKwKjgoL"&amp;"ssDvPcPeVyezB5izizAn4X1JDrys69n6xI/edit?usp=sharing"",""ยะลา!R539"")+IMPORTRANGE(""https://docs.google.com/spreadsheets/d/1qfrKjzMhm2HJfxQ-qVlJlJQ25Hne1d0khsySbZyGtPA/edit?usp=sharing"",""ระนอง!R539"")+IMPORTRANGE(""https://docs.google.com/spreadsheets/d/"&amp;"1IbSCnFOKpZsnFogBHJnL_isstZVaOMnFiIN0fGTPZZw/edit?usp=sharing"",""สงขลา!R539"")+IMPORTRANGE(""https://docs.google.com/spreadsheets/d/1q9nWasZJ-K8bFGvbE9n0qSRuKGA4Toe3Y89cKCiVtCU/edit?usp=sharing"",""สตูล!R539"")+IMPORTRANGE(""https://docs.google.com/sprea"&amp;"dsheets/d/18T20gbkS_WBjdscyTOV05cvq_JqvqQ17C81mpxf7Ncs/edit?usp=sharing"",""สุราษฎร์ธานี!R539"")"),0)</f>
        <v>0</v>
      </c>
      <c r="S539" s="47">
        <f ca="1">IFERROR(__xludf.DUMMYFUNCTION("IMPORTRANGE(""https://docs.google.com/spreadsheets/d/1kKUcYdkIfrgTSj8iHHHB2MD2FAtwyyocFgqGQn6ADyI/edit?usp=sharing"",""กระบี่!S539"")+IMPORTRANGE(""https://docs.google.com/spreadsheets/d/1GwtLaSlNZkLk7iDqcyZz22giiy40b_usZZBXYciEN1U/edit?usp=sharing"",""ชุ"&amp;"มพร!S539"")+IMPORTRANGE(""https://docs.google.com/spreadsheets/d/16pAz3pOhQEZBhvFNMa5KGgZS6iKWpsKX0pg6tQmwFpo/edit?usp=sharing"",""ตรัง!S539"")+IMPORTRANGE(""https://docs.google.com/spreadsheets/d/1Dj4jcHCTV9JXKCaMoheSXS52JE63kDKyG7bPXnFogHk/edit?usp=shar"&amp;"ing"",""นครศรีธรรมราช!S539"")+IMPORTRANGE(""https://docs.google.com/spreadsheets/d/1iodCdmuK2GR3jzUwk8tpccY2JHQQA-87DLOtJP-ooyU/edit?usp=sharing"",""นราธิวาส!S539"")+IMPORTRANGE(""https://docs.google.com/spreadsheets/d/1SDNX3JhDdYRuIOsj0Wh2M-Qa_eaXl0NbWmh"&amp;"AOTbfQAs/edit?usp=sharing"",""ปัตตานี!S539"")+IMPORTRANGE(""https://docs.google.com/spreadsheets/d/16JDLGguT8s5DsGCND1KcwHP_AWR_zDMTqLHPLJUKhaU/edit?usp=sharing"",""พังงา!S539"")+IMPORTRANGE(""https://docs.google.com/spreadsheets/d/17ht0gPKzzT3PObBL1XJkeR"&amp;"mntBXI7wGjpLV7QorqlTk/edit?usp=sharing"",""พัทลุง!S539"")+IMPORTRANGE(""https://docs.google.com/spreadsheets/d/1rd4qoM1q_hsgaolqNGfrim9gbsoLxQsda4-vOz5x_BM/edit?usp=sharing"",""ภูเก็ต!S539"")+IMPORTRANGE(""https://docs.google.com/spreadsheets/d/1woKwKjgoL"&amp;"ssDvPcPeVyezB5izizAn4X1JDrys69n6xI/edit?usp=sharing"",""ยะลา!S539"")+IMPORTRANGE(""https://docs.google.com/spreadsheets/d/1qfrKjzMhm2HJfxQ-qVlJlJQ25Hne1d0khsySbZyGtPA/edit?usp=sharing"",""ระนอง!S539"")+IMPORTRANGE(""https://docs.google.com/spreadsheets/d/"&amp;"1IbSCnFOKpZsnFogBHJnL_isstZVaOMnFiIN0fGTPZZw/edit?usp=sharing"",""สงขลา!S539"")+IMPORTRANGE(""https://docs.google.com/spreadsheets/d/1q9nWasZJ-K8bFGvbE9n0qSRuKGA4Toe3Y89cKCiVtCU/edit?usp=sharing"",""สตูล!S539"")+IMPORTRANGE(""https://docs.google.com/sprea"&amp;"dsheets/d/18T20gbkS_WBjdscyTOV05cvq_JqvqQ17C81mpxf7Ncs/edit?usp=sharing"",""สุราษฎร์ธานี!S539"")"),0)</f>
        <v>0</v>
      </c>
      <c r="T539" s="47">
        <f t="shared" ca="1" si="382"/>
        <v>0</v>
      </c>
      <c r="U539" s="47">
        <f t="shared" ca="1" si="383"/>
        <v>0</v>
      </c>
    </row>
    <row r="540" spans="1:21" ht="18.75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7">
        <f t="shared" ref="L540:N540" ca="1" si="390">L541+L542</f>
        <v>0</v>
      </c>
      <c r="M540" s="47">
        <f t="shared" ca="1" si="390"/>
        <v>0</v>
      </c>
      <c r="N540" s="47">
        <f t="shared" ca="1" si="390"/>
        <v>0</v>
      </c>
      <c r="O540" s="47">
        <f t="shared" ca="1" si="379"/>
        <v>0</v>
      </c>
      <c r="P540" s="47">
        <f t="shared" ca="1" si="380"/>
        <v>0</v>
      </c>
      <c r="Q540" s="47">
        <f t="shared" ref="Q540:S540" ca="1" si="391">Q541+Q542</f>
        <v>0</v>
      </c>
      <c r="R540" s="47">
        <f t="shared" ca="1" si="391"/>
        <v>0</v>
      </c>
      <c r="S540" s="47">
        <f t="shared" ca="1" si="391"/>
        <v>0</v>
      </c>
      <c r="T540" s="47">
        <f t="shared" ca="1" si="382"/>
        <v>0</v>
      </c>
      <c r="U540" s="47">
        <f t="shared" ca="1" si="383"/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9">
        <f ca="1">IFERROR(__xludf.DUMMYFUNCTION("IMPORTRANGE(""https://docs.google.com/spreadsheets/d/1kKUcYdkIfrgTSj8iHHHB2MD2FAtwyyocFgqGQn6ADyI/edit?usp=sharing"",""กระบี่!L541"")+IMPORTRANGE(""https://docs.google.com/spreadsheets/d/1GwtLaSlNZkLk7iDqcyZz22giiy40b_usZZBXYciEN1U/edit?usp=sharing"",""ชุ"&amp;"มพร!L541"")+IMPORTRANGE(""https://docs.google.com/spreadsheets/d/16pAz3pOhQEZBhvFNMa5KGgZS6iKWpsKX0pg6tQmwFpo/edit?usp=sharing"",""ตรัง!L541"")+IMPORTRANGE(""https://docs.google.com/spreadsheets/d/1Dj4jcHCTV9JXKCaMoheSXS52JE63kDKyG7bPXnFogHk/edit?usp=shar"&amp;"ing"",""นครศรีธรรมราช!L541"")+IMPORTRANGE(""https://docs.google.com/spreadsheets/d/1iodCdmuK2GR3jzUwk8tpccY2JHQQA-87DLOtJP-ooyU/edit?usp=sharing"",""นราธิวาส!L541"")+IMPORTRANGE(""https://docs.google.com/spreadsheets/d/1SDNX3JhDdYRuIOsj0Wh2M-Qa_eaXl0NbWmh"&amp;"AOTbfQAs/edit?usp=sharing"",""ปัตตานี!L541"")+IMPORTRANGE(""https://docs.google.com/spreadsheets/d/16JDLGguT8s5DsGCND1KcwHP_AWR_zDMTqLHPLJUKhaU/edit?usp=sharing"",""พังงา!L541"")+IMPORTRANGE(""https://docs.google.com/spreadsheets/d/17ht0gPKzzT3PObBL1XJkeR"&amp;"mntBXI7wGjpLV7QorqlTk/edit?usp=sharing"",""พัทลุง!L541"")+IMPORTRANGE(""https://docs.google.com/spreadsheets/d/1rd4qoM1q_hsgaolqNGfrim9gbsoLxQsda4-vOz5x_BM/edit?usp=sharing"",""ภูเก็ต!L541"")+IMPORTRANGE(""https://docs.google.com/spreadsheets/d/1woKwKjgoL"&amp;"ssDvPcPeVyezB5izizAn4X1JDrys69n6xI/edit?usp=sharing"",""ยะลา!L541"")+IMPORTRANGE(""https://docs.google.com/spreadsheets/d/1qfrKjzMhm2HJfxQ-qVlJlJQ25Hne1d0khsySbZyGtPA/edit?usp=sharing"",""ระนอง!L541"")+IMPORTRANGE(""https://docs.google.com/spreadsheets/d/"&amp;"1IbSCnFOKpZsnFogBHJnL_isstZVaOMnFiIN0fGTPZZw/edit?usp=sharing"",""สงขลา!L541"")+IMPORTRANGE(""https://docs.google.com/spreadsheets/d/1q9nWasZJ-K8bFGvbE9n0qSRuKGA4Toe3Y89cKCiVtCU/edit?usp=sharing"",""สตูล!L541"")+IMPORTRANGE(""https://docs.google.com/sprea"&amp;"dsheets/d/18T20gbkS_WBjdscyTOV05cvq_JqvqQ17C81mpxf7Ncs/edit?usp=sharing"",""สุราษฎร์ธานี!L541"")"),0)</f>
        <v>0</v>
      </c>
      <c r="M541" s="49">
        <f ca="1">IFERROR(__xludf.DUMMYFUNCTION("IMPORTRANGE(""https://docs.google.com/spreadsheets/d/1kKUcYdkIfrgTSj8iHHHB2MD2FAtwyyocFgqGQn6ADyI/edit?usp=sharing"",""กระบี่!M541"")+IMPORTRANGE(""https://docs.google.com/spreadsheets/d/1GwtLaSlNZkLk7iDqcyZz22giiy40b_usZZBXYciEN1U/edit?usp=sharing"",""ชุ"&amp;"มพร!M541"")+IMPORTRANGE(""https://docs.google.com/spreadsheets/d/16pAz3pOhQEZBhvFNMa5KGgZS6iKWpsKX0pg6tQmwFpo/edit?usp=sharing"",""ตรัง!M541"")+IMPORTRANGE(""https://docs.google.com/spreadsheets/d/1Dj4jcHCTV9JXKCaMoheSXS52JE63kDKyG7bPXnFogHk/edit?usp=shar"&amp;"ing"",""นครศรีธรรมราช!M541"")+IMPORTRANGE(""https://docs.google.com/spreadsheets/d/1iodCdmuK2GR3jzUwk8tpccY2JHQQA-87DLOtJP-ooyU/edit?usp=sharing"",""นราธิวาส!M541"")+IMPORTRANGE(""https://docs.google.com/spreadsheets/d/1SDNX3JhDdYRuIOsj0Wh2M-Qa_eaXl0NbWmh"&amp;"AOTbfQAs/edit?usp=sharing"",""ปัตตานี!M541"")+IMPORTRANGE(""https://docs.google.com/spreadsheets/d/16JDLGguT8s5DsGCND1KcwHP_AWR_zDMTqLHPLJUKhaU/edit?usp=sharing"",""พังงา!M541"")+IMPORTRANGE(""https://docs.google.com/spreadsheets/d/17ht0gPKzzT3PObBL1XJkeR"&amp;"mntBXI7wGjpLV7QorqlTk/edit?usp=sharing"",""พัทลุง!M541"")+IMPORTRANGE(""https://docs.google.com/spreadsheets/d/1rd4qoM1q_hsgaolqNGfrim9gbsoLxQsda4-vOz5x_BM/edit?usp=sharing"",""ภูเก็ต!M541"")+IMPORTRANGE(""https://docs.google.com/spreadsheets/d/1woKwKjgoL"&amp;"ssDvPcPeVyezB5izizAn4X1JDrys69n6xI/edit?usp=sharing"",""ยะลา!M541"")+IMPORTRANGE(""https://docs.google.com/spreadsheets/d/1qfrKjzMhm2HJfxQ-qVlJlJQ25Hne1d0khsySbZyGtPA/edit?usp=sharing"",""ระนอง!M541"")+IMPORTRANGE(""https://docs.google.com/spreadsheets/d/"&amp;"1IbSCnFOKpZsnFogBHJnL_isstZVaOMnFiIN0fGTPZZw/edit?usp=sharing"",""สงขลา!M541"")+IMPORTRANGE(""https://docs.google.com/spreadsheets/d/1q9nWasZJ-K8bFGvbE9n0qSRuKGA4Toe3Y89cKCiVtCU/edit?usp=sharing"",""สตูล!M541"")+IMPORTRANGE(""https://docs.google.com/sprea"&amp;"dsheets/d/18T20gbkS_WBjdscyTOV05cvq_JqvqQ17C81mpxf7Ncs/edit?usp=sharing"",""สุราษฎร์ธานี!M541"")"),0)</f>
        <v>0</v>
      </c>
      <c r="N541" s="49">
        <f ca="1">IFERROR(__xludf.DUMMYFUNCTION("IMPORTRANGE(""https://docs.google.com/spreadsheets/d/1kKUcYdkIfrgTSj8iHHHB2MD2FAtwyyocFgqGQn6ADyI/edit?usp=sharing"",""กระบี่!N541"")+IMPORTRANGE(""https://docs.google.com/spreadsheets/d/1GwtLaSlNZkLk7iDqcyZz22giiy40b_usZZBXYciEN1U/edit?usp=sharing"",""ชุ"&amp;"มพร!N541"")+IMPORTRANGE(""https://docs.google.com/spreadsheets/d/16pAz3pOhQEZBhvFNMa5KGgZS6iKWpsKX0pg6tQmwFpo/edit?usp=sharing"",""ตรัง!N541"")+IMPORTRANGE(""https://docs.google.com/spreadsheets/d/1Dj4jcHCTV9JXKCaMoheSXS52JE63kDKyG7bPXnFogHk/edit?usp=shar"&amp;"ing"",""นครศรีธรรมราช!N541"")+IMPORTRANGE(""https://docs.google.com/spreadsheets/d/1iodCdmuK2GR3jzUwk8tpccY2JHQQA-87DLOtJP-ooyU/edit?usp=sharing"",""นราธิวาส!N541"")+IMPORTRANGE(""https://docs.google.com/spreadsheets/d/1SDNX3JhDdYRuIOsj0Wh2M-Qa_eaXl0NbWmh"&amp;"AOTbfQAs/edit?usp=sharing"",""ปัตตานี!N541"")+IMPORTRANGE(""https://docs.google.com/spreadsheets/d/16JDLGguT8s5DsGCND1KcwHP_AWR_zDMTqLHPLJUKhaU/edit?usp=sharing"",""พังงา!N541"")+IMPORTRANGE(""https://docs.google.com/spreadsheets/d/17ht0gPKzzT3PObBL1XJkeR"&amp;"mntBXI7wGjpLV7QorqlTk/edit?usp=sharing"",""พัทลุง!N541"")+IMPORTRANGE(""https://docs.google.com/spreadsheets/d/1rd4qoM1q_hsgaolqNGfrim9gbsoLxQsda4-vOz5x_BM/edit?usp=sharing"",""ภูเก็ต!N541"")+IMPORTRANGE(""https://docs.google.com/spreadsheets/d/1woKwKjgoL"&amp;"ssDvPcPeVyezB5izizAn4X1JDrys69n6xI/edit?usp=sharing"",""ยะลา!N541"")+IMPORTRANGE(""https://docs.google.com/spreadsheets/d/1qfrKjzMhm2HJfxQ-qVlJlJQ25Hne1d0khsySbZyGtPA/edit?usp=sharing"",""ระนอง!N541"")+IMPORTRANGE(""https://docs.google.com/spreadsheets/d/"&amp;"1IbSCnFOKpZsnFogBHJnL_isstZVaOMnFiIN0fGTPZZw/edit?usp=sharing"",""สงขลา!N541"")+IMPORTRANGE(""https://docs.google.com/spreadsheets/d/1q9nWasZJ-K8bFGvbE9n0qSRuKGA4Toe3Y89cKCiVtCU/edit?usp=sharing"",""สตูล!N541"")+IMPORTRANGE(""https://docs.google.com/sprea"&amp;"dsheets/d/18T20gbkS_WBjdscyTOV05cvq_JqvqQ17C81mpxf7Ncs/edit?usp=sharing"",""สุราษฎร์ธานี!N541"")"),0)</f>
        <v>0</v>
      </c>
      <c r="O541" s="49">
        <f t="shared" ca="1" si="379"/>
        <v>0</v>
      </c>
      <c r="P541" s="49">
        <f t="shared" ca="1" si="380"/>
        <v>0</v>
      </c>
      <c r="Q541" s="49">
        <f ca="1">IFERROR(__xludf.DUMMYFUNCTION("IMPORTRANGE(""https://docs.google.com/spreadsheets/d/1kKUcYdkIfrgTSj8iHHHB2MD2FAtwyyocFgqGQn6ADyI/edit?usp=sharing"",""กระบี่!Q541"")+IMPORTRANGE(""https://docs.google.com/spreadsheets/d/1GwtLaSlNZkLk7iDqcyZz22giiy40b_usZZBXYciEN1U/edit?usp=sharing"",""ชุ"&amp;"มพร!Q541"")+IMPORTRANGE(""https://docs.google.com/spreadsheets/d/16pAz3pOhQEZBhvFNMa5KGgZS6iKWpsKX0pg6tQmwFpo/edit?usp=sharing"",""ตรัง!Q541"")+IMPORTRANGE(""https://docs.google.com/spreadsheets/d/1Dj4jcHCTV9JXKCaMoheSXS52JE63kDKyG7bPXnFogHk/edit?usp=shar"&amp;"ing"",""นครศรีธรรมราช!Q541"")+IMPORTRANGE(""https://docs.google.com/spreadsheets/d/1iodCdmuK2GR3jzUwk8tpccY2JHQQA-87DLOtJP-ooyU/edit?usp=sharing"",""นราธิวาส!Q541"")+IMPORTRANGE(""https://docs.google.com/spreadsheets/d/1SDNX3JhDdYRuIOsj0Wh2M-Qa_eaXl0NbWmh"&amp;"AOTbfQAs/edit?usp=sharing"",""ปัตตานี!Q541"")+IMPORTRANGE(""https://docs.google.com/spreadsheets/d/16JDLGguT8s5DsGCND1KcwHP_AWR_zDMTqLHPLJUKhaU/edit?usp=sharing"",""พังงา!Q541"")+IMPORTRANGE(""https://docs.google.com/spreadsheets/d/17ht0gPKzzT3PObBL1XJkeR"&amp;"mntBXI7wGjpLV7QorqlTk/edit?usp=sharing"",""พัทลุง!Q541"")+IMPORTRANGE(""https://docs.google.com/spreadsheets/d/1rd4qoM1q_hsgaolqNGfrim9gbsoLxQsda4-vOz5x_BM/edit?usp=sharing"",""ภูเก็ต!Q541"")+IMPORTRANGE(""https://docs.google.com/spreadsheets/d/1woKwKjgoL"&amp;"ssDvPcPeVyezB5izizAn4X1JDrys69n6xI/edit?usp=sharing"",""ยะลา!Q541"")+IMPORTRANGE(""https://docs.google.com/spreadsheets/d/1qfrKjzMhm2HJfxQ-qVlJlJQ25Hne1d0khsySbZyGtPA/edit?usp=sharing"",""ระนอง!Q541"")+IMPORTRANGE(""https://docs.google.com/spreadsheets/d/"&amp;"1IbSCnFOKpZsnFogBHJnL_isstZVaOMnFiIN0fGTPZZw/edit?usp=sharing"",""สงขลา!Q541"")+IMPORTRANGE(""https://docs.google.com/spreadsheets/d/1q9nWasZJ-K8bFGvbE9n0qSRuKGA4Toe3Y89cKCiVtCU/edit?usp=sharing"",""สตูล!Q541"")+IMPORTRANGE(""https://docs.google.com/sprea"&amp;"dsheets/d/18T20gbkS_WBjdscyTOV05cvq_JqvqQ17C81mpxf7Ncs/edit?usp=sharing"",""สุราษฎร์ธานี!Q541"")"),0)</f>
        <v>0</v>
      </c>
      <c r="R541" s="49">
        <f ca="1">IFERROR(__xludf.DUMMYFUNCTION("IMPORTRANGE(""https://docs.google.com/spreadsheets/d/1kKUcYdkIfrgTSj8iHHHB2MD2FAtwyyocFgqGQn6ADyI/edit?usp=sharing"",""กระบี่!R541"")+IMPORTRANGE(""https://docs.google.com/spreadsheets/d/1GwtLaSlNZkLk7iDqcyZz22giiy40b_usZZBXYciEN1U/edit?usp=sharing"",""ชุ"&amp;"มพร!R541"")+IMPORTRANGE(""https://docs.google.com/spreadsheets/d/16pAz3pOhQEZBhvFNMa5KGgZS6iKWpsKX0pg6tQmwFpo/edit?usp=sharing"",""ตรัง!R541"")+IMPORTRANGE(""https://docs.google.com/spreadsheets/d/1Dj4jcHCTV9JXKCaMoheSXS52JE63kDKyG7bPXnFogHk/edit?usp=shar"&amp;"ing"",""นครศรีธรรมราช!R541"")+IMPORTRANGE(""https://docs.google.com/spreadsheets/d/1iodCdmuK2GR3jzUwk8tpccY2JHQQA-87DLOtJP-ooyU/edit?usp=sharing"",""นราธิวาส!R541"")+IMPORTRANGE(""https://docs.google.com/spreadsheets/d/1SDNX3JhDdYRuIOsj0Wh2M-Qa_eaXl0NbWmh"&amp;"AOTbfQAs/edit?usp=sharing"",""ปัตตานี!R541"")+IMPORTRANGE(""https://docs.google.com/spreadsheets/d/16JDLGguT8s5DsGCND1KcwHP_AWR_zDMTqLHPLJUKhaU/edit?usp=sharing"",""พังงา!R541"")+IMPORTRANGE(""https://docs.google.com/spreadsheets/d/17ht0gPKzzT3PObBL1XJkeR"&amp;"mntBXI7wGjpLV7QorqlTk/edit?usp=sharing"",""พัทลุง!R541"")+IMPORTRANGE(""https://docs.google.com/spreadsheets/d/1rd4qoM1q_hsgaolqNGfrim9gbsoLxQsda4-vOz5x_BM/edit?usp=sharing"",""ภูเก็ต!R541"")+IMPORTRANGE(""https://docs.google.com/spreadsheets/d/1woKwKjgoL"&amp;"ssDvPcPeVyezB5izizAn4X1JDrys69n6xI/edit?usp=sharing"",""ยะลา!R541"")+IMPORTRANGE(""https://docs.google.com/spreadsheets/d/1qfrKjzMhm2HJfxQ-qVlJlJQ25Hne1d0khsySbZyGtPA/edit?usp=sharing"",""ระนอง!R541"")+IMPORTRANGE(""https://docs.google.com/spreadsheets/d/"&amp;"1IbSCnFOKpZsnFogBHJnL_isstZVaOMnFiIN0fGTPZZw/edit?usp=sharing"",""สงขลา!R541"")+IMPORTRANGE(""https://docs.google.com/spreadsheets/d/1q9nWasZJ-K8bFGvbE9n0qSRuKGA4Toe3Y89cKCiVtCU/edit?usp=sharing"",""สตูล!R541"")+IMPORTRANGE(""https://docs.google.com/sprea"&amp;"dsheets/d/18T20gbkS_WBjdscyTOV05cvq_JqvqQ17C81mpxf7Ncs/edit?usp=sharing"",""สุราษฎร์ธานี!R541"")"),0)</f>
        <v>0</v>
      </c>
      <c r="S541" s="49">
        <f ca="1">IFERROR(__xludf.DUMMYFUNCTION("IMPORTRANGE(""https://docs.google.com/spreadsheets/d/1kKUcYdkIfrgTSj8iHHHB2MD2FAtwyyocFgqGQn6ADyI/edit?usp=sharing"",""กระบี่!S541"")+IMPORTRANGE(""https://docs.google.com/spreadsheets/d/1GwtLaSlNZkLk7iDqcyZz22giiy40b_usZZBXYciEN1U/edit?usp=sharing"",""ชุ"&amp;"มพร!S541"")+IMPORTRANGE(""https://docs.google.com/spreadsheets/d/16pAz3pOhQEZBhvFNMa5KGgZS6iKWpsKX0pg6tQmwFpo/edit?usp=sharing"",""ตรัง!S541"")+IMPORTRANGE(""https://docs.google.com/spreadsheets/d/1Dj4jcHCTV9JXKCaMoheSXS52JE63kDKyG7bPXnFogHk/edit?usp=shar"&amp;"ing"",""นครศรีธรรมราช!S541"")+IMPORTRANGE(""https://docs.google.com/spreadsheets/d/1iodCdmuK2GR3jzUwk8tpccY2JHQQA-87DLOtJP-ooyU/edit?usp=sharing"",""นราธิวาส!S541"")+IMPORTRANGE(""https://docs.google.com/spreadsheets/d/1SDNX3JhDdYRuIOsj0Wh2M-Qa_eaXl0NbWmh"&amp;"AOTbfQAs/edit?usp=sharing"",""ปัตตานี!S541"")+IMPORTRANGE(""https://docs.google.com/spreadsheets/d/16JDLGguT8s5DsGCND1KcwHP_AWR_zDMTqLHPLJUKhaU/edit?usp=sharing"",""พังงา!S541"")+IMPORTRANGE(""https://docs.google.com/spreadsheets/d/17ht0gPKzzT3PObBL1XJkeR"&amp;"mntBXI7wGjpLV7QorqlTk/edit?usp=sharing"",""พัทลุง!S541"")+IMPORTRANGE(""https://docs.google.com/spreadsheets/d/1rd4qoM1q_hsgaolqNGfrim9gbsoLxQsda4-vOz5x_BM/edit?usp=sharing"",""ภูเก็ต!S541"")+IMPORTRANGE(""https://docs.google.com/spreadsheets/d/1woKwKjgoL"&amp;"ssDvPcPeVyezB5izizAn4X1JDrys69n6xI/edit?usp=sharing"",""ยะลา!S541"")+IMPORTRANGE(""https://docs.google.com/spreadsheets/d/1qfrKjzMhm2HJfxQ-qVlJlJQ25Hne1d0khsySbZyGtPA/edit?usp=sharing"",""ระนอง!S541"")+IMPORTRANGE(""https://docs.google.com/spreadsheets/d/"&amp;"1IbSCnFOKpZsnFogBHJnL_isstZVaOMnFiIN0fGTPZZw/edit?usp=sharing"",""สงขลา!S541"")+IMPORTRANGE(""https://docs.google.com/spreadsheets/d/1q9nWasZJ-K8bFGvbE9n0qSRuKGA4Toe3Y89cKCiVtCU/edit?usp=sharing"",""สตูล!S541"")+IMPORTRANGE(""https://docs.google.com/sprea"&amp;"dsheets/d/18T20gbkS_WBjdscyTOV05cvq_JqvqQ17C81mpxf7Ncs/edit?usp=sharing"",""สุราษฎร์ธานี!S541"")"),0)</f>
        <v>0</v>
      </c>
      <c r="T541" s="49">
        <f t="shared" ca="1" si="382"/>
        <v>0</v>
      </c>
      <c r="U541" s="49">
        <f t="shared" ca="1" si="383"/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7">
        <f ca="1">IFERROR(__xludf.DUMMYFUNCTION("IMPORTRANGE(""https://docs.google.com/spreadsheets/d/1kKUcYdkIfrgTSj8iHHHB2MD2FAtwyyocFgqGQn6ADyI/edit?usp=sharing"",""กระบี่!L542"")+IMPORTRANGE(""https://docs.google.com/spreadsheets/d/1GwtLaSlNZkLk7iDqcyZz22giiy40b_usZZBXYciEN1U/edit?usp=sharing"",""ชุ"&amp;"มพร!L542"")+IMPORTRANGE(""https://docs.google.com/spreadsheets/d/16pAz3pOhQEZBhvFNMa5KGgZS6iKWpsKX0pg6tQmwFpo/edit?usp=sharing"",""ตรัง!L542"")+IMPORTRANGE(""https://docs.google.com/spreadsheets/d/1Dj4jcHCTV9JXKCaMoheSXS52JE63kDKyG7bPXnFogHk/edit?usp=shar"&amp;"ing"",""นครศรีธรรมราช!L542"")+IMPORTRANGE(""https://docs.google.com/spreadsheets/d/1iodCdmuK2GR3jzUwk8tpccY2JHQQA-87DLOtJP-ooyU/edit?usp=sharing"",""นราธิวาส!L542"")+IMPORTRANGE(""https://docs.google.com/spreadsheets/d/1SDNX3JhDdYRuIOsj0Wh2M-Qa_eaXl0NbWmh"&amp;"AOTbfQAs/edit?usp=sharing"",""ปัตตานี!L542"")+IMPORTRANGE(""https://docs.google.com/spreadsheets/d/16JDLGguT8s5DsGCND1KcwHP_AWR_zDMTqLHPLJUKhaU/edit?usp=sharing"",""พังงา!L542"")+IMPORTRANGE(""https://docs.google.com/spreadsheets/d/17ht0gPKzzT3PObBL1XJkeR"&amp;"mntBXI7wGjpLV7QorqlTk/edit?usp=sharing"",""พัทลุง!L542"")+IMPORTRANGE(""https://docs.google.com/spreadsheets/d/1rd4qoM1q_hsgaolqNGfrim9gbsoLxQsda4-vOz5x_BM/edit?usp=sharing"",""ภูเก็ต!L542"")+IMPORTRANGE(""https://docs.google.com/spreadsheets/d/1woKwKjgoL"&amp;"ssDvPcPeVyezB5izizAn4X1JDrys69n6xI/edit?usp=sharing"",""ยะลา!L542"")+IMPORTRANGE(""https://docs.google.com/spreadsheets/d/1qfrKjzMhm2HJfxQ-qVlJlJQ25Hne1d0khsySbZyGtPA/edit?usp=sharing"",""ระนอง!L542"")+IMPORTRANGE(""https://docs.google.com/spreadsheets/d/"&amp;"1IbSCnFOKpZsnFogBHJnL_isstZVaOMnFiIN0fGTPZZw/edit?usp=sharing"",""สงขลา!L542"")+IMPORTRANGE(""https://docs.google.com/spreadsheets/d/1q9nWasZJ-K8bFGvbE9n0qSRuKGA4Toe3Y89cKCiVtCU/edit?usp=sharing"",""สตูล!L542"")+IMPORTRANGE(""https://docs.google.com/sprea"&amp;"dsheets/d/18T20gbkS_WBjdscyTOV05cvq_JqvqQ17C81mpxf7Ncs/edit?usp=sharing"",""สุราษฎร์ธานี!L542"")"),0)</f>
        <v>0</v>
      </c>
      <c r="M542" s="47">
        <f ca="1">IFERROR(__xludf.DUMMYFUNCTION("IMPORTRANGE(""https://docs.google.com/spreadsheets/d/1kKUcYdkIfrgTSj8iHHHB2MD2FAtwyyocFgqGQn6ADyI/edit?usp=sharing"",""กระบี่!M542"")+IMPORTRANGE(""https://docs.google.com/spreadsheets/d/1GwtLaSlNZkLk7iDqcyZz22giiy40b_usZZBXYciEN1U/edit?usp=sharing"",""ชุ"&amp;"มพร!M542"")+IMPORTRANGE(""https://docs.google.com/spreadsheets/d/16pAz3pOhQEZBhvFNMa5KGgZS6iKWpsKX0pg6tQmwFpo/edit?usp=sharing"",""ตรัง!M542"")+IMPORTRANGE(""https://docs.google.com/spreadsheets/d/1Dj4jcHCTV9JXKCaMoheSXS52JE63kDKyG7bPXnFogHk/edit?usp=shar"&amp;"ing"",""นครศรีธรรมราช!M542"")+IMPORTRANGE(""https://docs.google.com/spreadsheets/d/1iodCdmuK2GR3jzUwk8tpccY2JHQQA-87DLOtJP-ooyU/edit?usp=sharing"",""นราธิวาส!M542"")+IMPORTRANGE(""https://docs.google.com/spreadsheets/d/1SDNX3JhDdYRuIOsj0Wh2M-Qa_eaXl0NbWmh"&amp;"AOTbfQAs/edit?usp=sharing"",""ปัตตานี!M542"")+IMPORTRANGE(""https://docs.google.com/spreadsheets/d/16JDLGguT8s5DsGCND1KcwHP_AWR_zDMTqLHPLJUKhaU/edit?usp=sharing"",""พังงา!M542"")+IMPORTRANGE(""https://docs.google.com/spreadsheets/d/17ht0gPKzzT3PObBL1XJkeR"&amp;"mntBXI7wGjpLV7QorqlTk/edit?usp=sharing"",""พัทลุง!M542"")+IMPORTRANGE(""https://docs.google.com/spreadsheets/d/1rd4qoM1q_hsgaolqNGfrim9gbsoLxQsda4-vOz5x_BM/edit?usp=sharing"",""ภูเก็ต!M542"")+IMPORTRANGE(""https://docs.google.com/spreadsheets/d/1woKwKjgoL"&amp;"ssDvPcPeVyezB5izizAn4X1JDrys69n6xI/edit?usp=sharing"",""ยะลา!M542"")+IMPORTRANGE(""https://docs.google.com/spreadsheets/d/1qfrKjzMhm2HJfxQ-qVlJlJQ25Hne1d0khsySbZyGtPA/edit?usp=sharing"",""ระนอง!M542"")+IMPORTRANGE(""https://docs.google.com/spreadsheets/d/"&amp;"1IbSCnFOKpZsnFogBHJnL_isstZVaOMnFiIN0fGTPZZw/edit?usp=sharing"",""สงขลา!M542"")+IMPORTRANGE(""https://docs.google.com/spreadsheets/d/1q9nWasZJ-K8bFGvbE9n0qSRuKGA4Toe3Y89cKCiVtCU/edit?usp=sharing"",""สตูล!M542"")+IMPORTRANGE(""https://docs.google.com/sprea"&amp;"dsheets/d/18T20gbkS_WBjdscyTOV05cvq_JqvqQ17C81mpxf7Ncs/edit?usp=sharing"",""สุราษฎร์ธานี!M542"")"),0)</f>
        <v>0</v>
      </c>
      <c r="N542" s="47">
        <f ca="1">IFERROR(__xludf.DUMMYFUNCTION("IMPORTRANGE(""https://docs.google.com/spreadsheets/d/1kKUcYdkIfrgTSj8iHHHB2MD2FAtwyyocFgqGQn6ADyI/edit?usp=sharing"",""กระบี่!N542"")+IMPORTRANGE(""https://docs.google.com/spreadsheets/d/1GwtLaSlNZkLk7iDqcyZz22giiy40b_usZZBXYciEN1U/edit?usp=sharing"",""ชุ"&amp;"มพร!N542"")+IMPORTRANGE(""https://docs.google.com/spreadsheets/d/16pAz3pOhQEZBhvFNMa5KGgZS6iKWpsKX0pg6tQmwFpo/edit?usp=sharing"",""ตรัง!N542"")+IMPORTRANGE(""https://docs.google.com/spreadsheets/d/1Dj4jcHCTV9JXKCaMoheSXS52JE63kDKyG7bPXnFogHk/edit?usp=shar"&amp;"ing"",""นครศรีธรรมราช!N542"")+IMPORTRANGE(""https://docs.google.com/spreadsheets/d/1iodCdmuK2GR3jzUwk8tpccY2JHQQA-87DLOtJP-ooyU/edit?usp=sharing"",""นราธิวาส!N542"")+IMPORTRANGE(""https://docs.google.com/spreadsheets/d/1SDNX3JhDdYRuIOsj0Wh2M-Qa_eaXl0NbWmh"&amp;"AOTbfQAs/edit?usp=sharing"",""ปัตตานี!N542"")+IMPORTRANGE(""https://docs.google.com/spreadsheets/d/16JDLGguT8s5DsGCND1KcwHP_AWR_zDMTqLHPLJUKhaU/edit?usp=sharing"",""พังงา!N542"")+IMPORTRANGE(""https://docs.google.com/spreadsheets/d/17ht0gPKzzT3PObBL1XJkeR"&amp;"mntBXI7wGjpLV7QorqlTk/edit?usp=sharing"",""พัทลุง!N542"")+IMPORTRANGE(""https://docs.google.com/spreadsheets/d/1rd4qoM1q_hsgaolqNGfrim9gbsoLxQsda4-vOz5x_BM/edit?usp=sharing"",""ภูเก็ต!N542"")+IMPORTRANGE(""https://docs.google.com/spreadsheets/d/1woKwKjgoL"&amp;"ssDvPcPeVyezB5izizAn4X1JDrys69n6xI/edit?usp=sharing"",""ยะลา!N542"")+IMPORTRANGE(""https://docs.google.com/spreadsheets/d/1qfrKjzMhm2HJfxQ-qVlJlJQ25Hne1d0khsySbZyGtPA/edit?usp=sharing"",""ระนอง!N542"")+IMPORTRANGE(""https://docs.google.com/spreadsheets/d/"&amp;"1IbSCnFOKpZsnFogBHJnL_isstZVaOMnFiIN0fGTPZZw/edit?usp=sharing"",""สงขลา!N542"")+IMPORTRANGE(""https://docs.google.com/spreadsheets/d/1q9nWasZJ-K8bFGvbE9n0qSRuKGA4Toe3Y89cKCiVtCU/edit?usp=sharing"",""สตูล!N542"")+IMPORTRANGE(""https://docs.google.com/sprea"&amp;"dsheets/d/18T20gbkS_WBjdscyTOV05cvq_JqvqQ17C81mpxf7Ncs/edit?usp=sharing"",""สุราษฎร์ธานี!N542"")"),0)</f>
        <v>0</v>
      </c>
      <c r="O542" s="47">
        <f t="shared" ca="1" si="379"/>
        <v>0</v>
      </c>
      <c r="P542" s="47">
        <f t="shared" ca="1" si="380"/>
        <v>0</v>
      </c>
      <c r="Q542" s="47">
        <f ca="1">IFERROR(__xludf.DUMMYFUNCTION("IMPORTRANGE(""https://docs.google.com/spreadsheets/d/1kKUcYdkIfrgTSj8iHHHB2MD2FAtwyyocFgqGQn6ADyI/edit?usp=sharing"",""กระบี่!Q542"")+IMPORTRANGE(""https://docs.google.com/spreadsheets/d/1GwtLaSlNZkLk7iDqcyZz22giiy40b_usZZBXYciEN1U/edit?usp=sharing"",""ชุ"&amp;"มพร!Q542"")+IMPORTRANGE(""https://docs.google.com/spreadsheets/d/16pAz3pOhQEZBhvFNMa5KGgZS6iKWpsKX0pg6tQmwFpo/edit?usp=sharing"",""ตรัง!Q542"")+IMPORTRANGE(""https://docs.google.com/spreadsheets/d/1Dj4jcHCTV9JXKCaMoheSXS52JE63kDKyG7bPXnFogHk/edit?usp=shar"&amp;"ing"",""นครศรีธรรมราช!Q542"")+IMPORTRANGE(""https://docs.google.com/spreadsheets/d/1iodCdmuK2GR3jzUwk8tpccY2JHQQA-87DLOtJP-ooyU/edit?usp=sharing"",""นราธิวาส!Q542"")+IMPORTRANGE(""https://docs.google.com/spreadsheets/d/1SDNX3JhDdYRuIOsj0Wh2M-Qa_eaXl0NbWmh"&amp;"AOTbfQAs/edit?usp=sharing"",""ปัตตานี!Q542"")+IMPORTRANGE(""https://docs.google.com/spreadsheets/d/16JDLGguT8s5DsGCND1KcwHP_AWR_zDMTqLHPLJUKhaU/edit?usp=sharing"",""พังงา!Q542"")+IMPORTRANGE(""https://docs.google.com/spreadsheets/d/17ht0gPKzzT3PObBL1XJkeR"&amp;"mntBXI7wGjpLV7QorqlTk/edit?usp=sharing"",""พัทลุง!Q542"")+IMPORTRANGE(""https://docs.google.com/spreadsheets/d/1rd4qoM1q_hsgaolqNGfrim9gbsoLxQsda4-vOz5x_BM/edit?usp=sharing"",""ภูเก็ต!Q542"")+IMPORTRANGE(""https://docs.google.com/spreadsheets/d/1woKwKjgoL"&amp;"ssDvPcPeVyezB5izizAn4X1JDrys69n6xI/edit?usp=sharing"",""ยะลา!Q542"")+IMPORTRANGE(""https://docs.google.com/spreadsheets/d/1qfrKjzMhm2HJfxQ-qVlJlJQ25Hne1d0khsySbZyGtPA/edit?usp=sharing"",""ระนอง!Q542"")+IMPORTRANGE(""https://docs.google.com/spreadsheets/d/"&amp;"1IbSCnFOKpZsnFogBHJnL_isstZVaOMnFiIN0fGTPZZw/edit?usp=sharing"",""สงขลา!Q542"")+IMPORTRANGE(""https://docs.google.com/spreadsheets/d/1q9nWasZJ-K8bFGvbE9n0qSRuKGA4Toe3Y89cKCiVtCU/edit?usp=sharing"",""สตูล!Q542"")+IMPORTRANGE(""https://docs.google.com/sprea"&amp;"dsheets/d/18T20gbkS_WBjdscyTOV05cvq_JqvqQ17C81mpxf7Ncs/edit?usp=sharing"",""สุราษฎร์ธานี!Q542"")"),0)</f>
        <v>0</v>
      </c>
      <c r="R542" s="47">
        <f ca="1">IFERROR(__xludf.DUMMYFUNCTION("IMPORTRANGE(""https://docs.google.com/spreadsheets/d/1kKUcYdkIfrgTSj8iHHHB2MD2FAtwyyocFgqGQn6ADyI/edit?usp=sharing"",""กระบี่!R542"")+IMPORTRANGE(""https://docs.google.com/spreadsheets/d/1GwtLaSlNZkLk7iDqcyZz22giiy40b_usZZBXYciEN1U/edit?usp=sharing"",""ชุ"&amp;"มพร!R542"")+IMPORTRANGE(""https://docs.google.com/spreadsheets/d/16pAz3pOhQEZBhvFNMa5KGgZS6iKWpsKX0pg6tQmwFpo/edit?usp=sharing"",""ตรัง!R542"")+IMPORTRANGE(""https://docs.google.com/spreadsheets/d/1Dj4jcHCTV9JXKCaMoheSXS52JE63kDKyG7bPXnFogHk/edit?usp=shar"&amp;"ing"",""นครศรีธรรมราช!R542"")+IMPORTRANGE(""https://docs.google.com/spreadsheets/d/1iodCdmuK2GR3jzUwk8tpccY2JHQQA-87DLOtJP-ooyU/edit?usp=sharing"",""นราธิวาส!R542"")+IMPORTRANGE(""https://docs.google.com/spreadsheets/d/1SDNX3JhDdYRuIOsj0Wh2M-Qa_eaXl0NbWmh"&amp;"AOTbfQAs/edit?usp=sharing"",""ปัตตานี!R542"")+IMPORTRANGE(""https://docs.google.com/spreadsheets/d/16JDLGguT8s5DsGCND1KcwHP_AWR_zDMTqLHPLJUKhaU/edit?usp=sharing"",""พังงา!R542"")+IMPORTRANGE(""https://docs.google.com/spreadsheets/d/17ht0gPKzzT3PObBL1XJkeR"&amp;"mntBXI7wGjpLV7QorqlTk/edit?usp=sharing"",""พัทลุง!R542"")+IMPORTRANGE(""https://docs.google.com/spreadsheets/d/1rd4qoM1q_hsgaolqNGfrim9gbsoLxQsda4-vOz5x_BM/edit?usp=sharing"",""ภูเก็ต!R542"")+IMPORTRANGE(""https://docs.google.com/spreadsheets/d/1woKwKjgoL"&amp;"ssDvPcPeVyezB5izizAn4X1JDrys69n6xI/edit?usp=sharing"",""ยะลา!R542"")+IMPORTRANGE(""https://docs.google.com/spreadsheets/d/1qfrKjzMhm2HJfxQ-qVlJlJQ25Hne1d0khsySbZyGtPA/edit?usp=sharing"",""ระนอง!R542"")+IMPORTRANGE(""https://docs.google.com/spreadsheets/d/"&amp;"1IbSCnFOKpZsnFogBHJnL_isstZVaOMnFiIN0fGTPZZw/edit?usp=sharing"",""สงขลา!R542"")+IMPORTRANGE(""https://docs.google.com/spreadsheets/d/1q9nWasZJ-K8bFGvbE9n0qSRuKGA4Toe3Y89cKCiVtCU/edit?usp=sharing"",""สตูล!R542"")+IMPORTRANGE(""https://docs.google.com/sprea"&amp;"dsheets/d/18T20gbkS_WBjdscyTOV05cvq_JqvqQ17C81mpxf7Ncs/edit?usp=sharing"",""สุราษฎร์ธานี!R542"")"),0)</f>
        <v>0</v>
      </c>
      <c r="S542" s="47">
        <f ca="1">IFERROR(__xludf.DUMMYFUNCTION("IMPORTRANGE(""https://docs.google.com/spreadsheets/d/1kKUcYdkIfrgTSj8iHHHB2MD2FAtwyyocFgqGQn6ADyI/edit?usp=sharing"",""กระบี่!S542"")+IMPORTRANGE(""https://docs.google.com/spreadsheets/d/1GwtLaSlNZkLk7iDqcyZz22giiy40b_usZZBXYciEN1U/edit?usp=sharing"",""ชุ"&amp;"มพร!S542"")+IMPORTRANGE(""https://docs.google.com/spreadsheets/d/16pAz3pOhQEZBhvFNMa5KGgZS6iKWpsKX0pg6tQmwFpo/edit?usp=sharing"",""ตรัง!S542"")+IMPORTRANGE(""https://docs.google.com/spreadsheets/d/1Dj4jcHCTV9JXKCaMoheSXS52JE63kDKyG7bPXnFogHk/edit?usp=shar"&amp;"ing"",""นครศรีธรรมราช!S542"")+IMPORTRANGE(""https://docs.google.com/spreadsheets/d/1iodCdmuK2GR3jzUwk8tpccY2JHQQA-87DLOtJP-ooyU/edit?usp=sharing"",""นราธิวาส!S542"")+IMPORTRANGE(""https://docs.google.com/spreadsheets/d/1SDNX3JhDdYRuIOsj0Wh2M-Qa_eaXl0NbWmh"&amp;"AOTbfQAs/edit?usp=sharing"",""ปัตตานี!S542"")+IMPORTRANGE(""https://docs.google.com/spreadsheets/d/16JDLGguT8s5DsGCND1KcwHP_AWR_zDMTqLHPLJUKhaU/edit?usp=sharing"",""พังงา!S542"")+IMPORTRANGE(""https://docs.google.com/spreadsheets/d/17ht0gPKzzT3PObBL1XJkeR"&amp;"mntBXI7wGjpLV7QorqlTk/edit?usp=sharing"",""พัทลุง!S542"")+IMPORTRANGE(""https://docs.google.com/spreadsheets/d/1rd4qoM1q_hsgaolqNGfrim9gbsoLxQsda4-vOz5x_BM/edit?usp=sharing"",""ภูเก็ต!S542"")+IMPORTRANGE(""https://docs.google.com/spreadsheets/d/1woKwKjgoL"&amp;"ssDvPcPeVyezB5izizAn4X1JDrys69n6xI/edit?usp=sharing"",""ยะลา!S542"")+IMPORTRANGE(""https://docs.google.com/spreadsheets/d/1qfrKjzMhm2HJfxQ-qVlJlJQ25Hne1d0khsySbZyGtPA/edit?usp=sharing"",""ระนอง!S542"")+IMPORTRANGE(""https://docs.google.com/spreadsheets/d/"&amp;"1IbSCnFOKpZsnFogBHJnL_isstZVaOMnFiIN0fGTPZZw/edit?usp=sharing"",""สงขลา!S542"")+IMPORTRANGE(""https://docs.google.com/spreadsheets/d/1q9nWasZJ-K8bFGvbE9n0qSRuKGA4Toe3Y89cKCiVtCU/edit?usp=sharing"",""สตูล!S542"")+IMPORTRANGE(""https://docs.google.com/sprea"&amp;"dsheets/d/18T20gbkS_WBjdscyTOV05cvq_JqvqQ17C81mpxf7Ncs/edit?usp=sharing"",""สุราษฎร์ธานี!S542"")"),0)</f>
        <v>0</v>
      </c>
      <c r="T542" s="47">
        <f t="shared" ca="1" si="382"/>
        <v>0</v>
      </c>
      <c r="U542" s="47">
        <f t="shared" ca="1" si="383"/>
        <v>0</v>
      </c>
    </row>
    <row r="543" spans="1:21" ht="19.5" x14ac:dyDescent="0.3">
      <c r="A543" s="138"/>
      <c r="B543" s="139"/>
      <c r="C543" s="386" t="s">
        <v>18</v>
      </c>
      <c r="D543" s="140" t="s">
        <v>38</v>
      </c>
      <c r="E543" s="141"/>
      <c r="F543" s="141"/>
      <c r="G543" s="142"/>
      <c r="H543" s="143"/>
      <c r="I543" s="135"/>
      <c r="J543" s="45"/>
      <c r="K543" s="46"/>
      <c r="L543" s="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8.75" x14ac:dyDescent="0.25">
      <c r="A544" s="387"/>
      <c r="B544" s="388"/>
      <c r="C544" s="342"/>
      <c r="D544" s="389" t="s">
        <v>209</v>
      </c>
      <c r="E544" s="342"/>
      <c r="F544" s="388"/>
      <c r="G544" s="390"/>
      <c r="H544" s="391" t="s">
        <v>61</v>
      </c>
      <c r="I544" s="392">
        <v>0</v>
      </c>
      <c r="J544" s="392">
        <v>0</v>
      </c>
      <c r="K544" s="176">
        <f>IF(I544&gt;0,J544*100/I544,0)</f>
        <v>0</v>
      </c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247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247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247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247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247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247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247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247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336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385">
        <f t="shared" ref="I554:J554" si="392">I566</f>
        <v>0</v>
      </c>
      <c r="J554" s="385">
        <f t="shared" si="392"/>
        <v>0</v>
      </c>
      <c r="K554" s="377">
        <f>IF(I554&gt;0,J554*100/I554,0)</f>
        <v>0</v>
      </c>
      <c r="L554" s="378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13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132">
        <f t="shared" ref="L555:N555" ca="1" si="393">L556+L557</f>
        <v>0</v>
      </c>
      <c r="M555" s="132">
        <f t="shared" ca="1" si="393"/>
        <v>0</v>
      </c>
      <c r="N555" s="132">
        <f t="shared" ca="1" si="393"/>
        <v>0</v>
      </c>
      <c r="O555" s="132">
        <f t="shared" ref="O555:O563" ca="1" si="394">IF(L555&gt;0,N555*100/L555,0)</f>
        <v>0</v>
      </c>
      <c r="P555" s="132">
        <f t="shared" ref="P555:P563" ca="1" si="395">IF(M555&gt;0,N555*100/M555,0)</f>
        <v>0</v>
      </c>
      <c r="Q555" s="132">
        <f t="shared" ref="Q555:S555" ca="1" si="396">Q556+Q557</f>
        <v>0</v>
      </c>
      <c r="R555" s="132">
        <f t="shared" ca="1" si="396"/>
        <v>0</v>
      </c>
      <c r="S555" s="132">
        <f t="shared" ca="1" si="396"/>
        <v>0</v>
      </c>
      <c r="T555" s="132">
        <f t="shared" ref="T555:T563" ca="1" si="397">IF(Q555&gt;0,S555*100/Q555,0)</f>
        <v>0</v>
      </c>
      <c r="U555" s="132">
        <f t="shared" ref="U555:U563" ca="1" si="398"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9">
        <f t="shared" ref="L556:N556" ca="1" si="399">L559+L562</f>
        <v>0</v>
      </c>
      <c r="M556" s="49">
        <f t="shared" ca="1" si="399"/>
        <v>0</v>
      </c>
      <c r="N556" s="49">
        <f t="shared" ca="1" si="399"/>
        <v>0</v>
      </c>
      <c r="O556" s="49">
        <f t="shared" ca="1" si="394"/>
        <v>0</v>
      </c>
      <c r="P556" s="49">
        <f t="shared" ca="1" si="395"/>
        <v>0</v>
      </c>
      <c r="Q556" s="49">
        <f t="shared" ref="Q556:S556" ca="1" si="400">Q559+Q562</f>
        <v>0</v>
      </c>
      <c r="R556" s="49">
        <f t="shared" ca="1" si="400"/>
        <v>0</v>
      </c>
      <c r="S556" s="49">
        <f t="shared" ca="1" si="400"/>
        <v>0</v>
      </c>
      <c r="T556" s="49">
        <f t="shared" ca="1" si="397"/>
        <v>0</v>
      </c>
      <c r="U556" s="49">
        <f t="shared" ca="1" si="398"/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7">
        <f t="shared" ref="L557:N557" ca="1" si="401">L560+L563</f>
        <v>0</v>
      </c>
      <c r="M557" s="47">
        <f t="shared" ca="1" si="401"/>
        <v>0</v>
      </c>
      <c r="N557" s="47">
        <f t="shared" ca="1" si="401"/>
        <v>0</v>
      </c>
      <c r="O557" s="47">
        <f t="shared" ca="1" si="394"/>
        <v>0</v>
      </c>
      <c r="P557" s="47">
        <f t="shared" ca="1" si="395"/>
        <v>0</v>
      </c>
      <c r="Q557" s="47">
        <f t="shared" ref="Q557:S557" ca="1" si="402">Q560+Q563</f>
        <v>0</v>
      </c>
      <c r="R557" s="47">
        <f t="shared" ca="1" si="402"/>
        <v>0</v>
      </c>
      <c r="S557" s="47">
        <f t="shared" ca="1" si="402"/>
        <v>0</v>
      </c>
      <c r="T557" s="47">
        <f t="shared" ca="1" si="397"/>
        <v>0</v>
      </c>
      <c r="U557" s="47">
        <f t="shared" ca="1" si="398"/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7">
        <f t="shared" ref="L558:N558" ca="1" si="403">L559+L560</f>
        <v>0</v>
      </c>
      <c r="M558" s="47">
        <f t="shared" ca="1" si="403"/>
        <v>0</v>
      </c>
      <c r="N558" s="47">
        <f t="shared" ca="1" si="403"/>
        <v>0</v>
      </c>
      <c r="O558" s="47">
        <f t="shared" ca="1" si="394"/>
        <v>0</v>
      </c>
      <c r="P558" s="47">
        <f t="shared" ca="1" si="395"/>
        <v>0</v>
      </c>
      <c r="Q558" s="47">
        <f t="shared" ref="Q558:S558" ca="1" si="404">Q559+Q560</f>
        <v>0</v>
      </c>
      <c r="R558" s="47">
        <f t="shared" ca="1" si="404"/>
        <v>0</v>
      </c>
      <c r="S558" s="47">
        <f t="shared" ca="1" si="404"/>
        <v>0</v>
      </c>
      <c r="T558" s="47">
        <f t="shared" ca="1" si="397"/>
        <v>0</v>
      </c>
      <c r="U558" s="47">
        <f t="shared" ca="1" si="398"/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9">
        <f ca="1">IFERROR(__xludf.DUMMYFUNCTION("IMPORTRANGE(""https://docs.google.com/spreadsheets/d/1kKUcYdkIfrgTSj8iHHHB2MD2FAtwyyocFgqGQn6ADyI/edit?usp=sharing"",""กระบี่!L559"")+IMPORTRANGE(""https://docs.google.com/spreadsheets/d/1GwtLaSlNZkLk7iDqcyZz22giiy40b_usZZBXYciEN1U/edit?usp=sharing"",""ชุ"&amp;"มพร!L559"")+IMPORTRANGE(""https://docs.google.com/spreadsheets/d/16pAz3pOhQEZBhvFNMa5KGgZS6iKWpsKX0pg6tQmwFpo/edit?usp=sharing"",""ตรัง!L559"")+IMPORTRANGE(""https://docs.google.com/spreadsheets/d/1Dj4jcHCTV9JXKCaMoheSXS52JE63kDKyG7bPXnFogHk/edit?usp=shar"&amp;"ing"",""นครศรีธรรมราช!L559"")+IMPORTRANGE(""https://docs.google.com/spreadsheets/d/1iodCdmuK2GR3jzUwk8tpccY2JHQQA-87DLOtJP-ooyU/edit?usp=sharing"",""นราธิวาส!L559"")+IMPORTRANGE(""https://docs.google.com/spreadsheets/d/1SDNX3JhDdYRuIOsj0Wh2M-Qa_eaXl0NbWmh"&amp;"AOTbfQAs/edit?usp=sharing"",""ปัตตานี!L559"")+IMPORTRANGE(""https://docs.google.com/spreadsheets/d/16JDLGguT8s5DsGCND1KcwHP_AWR_zDMTqLHPLJUKhaU/edit?usp=sharing"",""พังงา!L559"")+IMPORTRANGE(""https://docs.google.com/spreadsheets/d/17ht0gPKzzT3PObBL1XJkeR"&amp;"mntBXI7wGjpLV7QorqlTk/edit?usp=sharing"",""พัทลุง!L559"")+IMPORTRANGE(""https://docs.google.com/spreadsheets/d/1rd4qoM1q_hsgaolqNGfrim9gbsoLxQsda4-vOz5x_BM/edit?usp=sharing"",""ภูเก็ต!L559"")+IMPORTRANGE(""https://docs.google.com/spreadsheets/d/1woKwKjgoL"&amp;"ssDvPcPeVyezB5izizAn4X1JDrys69n6xI/edit?usp=sharing"",""ยะลา!L559"")+IMPORTRANGE(""https://docs.google.com/spreadsheets/d/1qfrKjzMhm2HJfxQ-qVlJlJQ25Hne1d0khsySbZyGtPA/edit?usp=sharing"",""ระนอง!L559"")+IMPORTRANGE(""https://docs.google.com/spreadsheets/d/"&amp;"1IbSCnFOKpZsnFogBHJnL_isstZVaOMnFiIN0fGTPZZw/edit?usp=sharing"",""สงขลา!L559"")+IMPORTRANGE(""https://docs.google.com/spreadsheets/d/1q9nWasZJ-K8bFGvbE9n0qSRuKGA4Toe3Y89cKCiVtCU/edit?usp=sharing"",""สตูล!L559"")+IMPORTRANGE(""https://docs.google.com/sprea"&amp;"dsheets/d/18T20gbkS_WBjdscyTOV05cvq_JqvqQ17C81mpxf7Ncs/edit?usp=sharing"",""สุราษฎร์ธานี!L559"")"),0)</f>
        <v>0</v>
      </c>
      <c r="M559" s="49">
        <f ca="1">IFERROR(__xludf.DUMMYFUNCTION("IMPORTRANGE(""https://docs.google.com/spreadsheets/d/1kKUcYdkIfrgTSj8iHHHB2MD2FAtwyyocFgqGQn6ADyI/edit?usp=sharing"",""กระบี่!M559"")+IMPORTRANGE(""https://docs.google.com/spreadsheets/d/1GwtLaSlNZkLk7iDqcyZz22giiy40b_usZZBXYciEN1U/edit?usp=sharing"",""ชุ"&amp;"มพร!M559"")+IMPORTRANGE(""https://docs.google.com/spreadsheets/d/16pAz3pOhQEZBhvFNMa5KGgZS6iKWpsKX0pg6tQmwFpo/edit?usp=sharing"",""ตรัง!M559"")+IMPORTRANGE(""https://docs.google.com/spreadsheets/d/1Dj4jcHCTV9JXKCaMoheSXS52JE63kDKyG7bPXnFogHk/edit?usp=shar"&amp;"ing"",""นครศรีธรรมราช!M559"")+IMPORTRANGE(""https://docs.google.com/spreadsheets/d/1iodCdmuK2GR3jzUwk8tpccY2JHQQA-87DLOtJP-ooyU/edit?usp=sharing"",""นราธิวาส!M559"")+IMPORTRANGE(""https://docs.google.com/spreadsheets/d/1SDNX3JhDdYRuIOsj0Wh2M-Qa_eaXl0NbWmh"&amp;"AOTbfQAs/edit?usp=sharing"",""ปัตตานี!M559"")+IMPORTRANGE(""https://docs.google.com/spreadsheets/d/16JDLGguT8s5DsGCND1KcwHP_AWR_zDMTqLHPLJUKhaU/edit?usp=sharing"",""พังงา!M559"")+IMPORTRANGE(""https://docs.google.com/spreadsheets/d/17ht0gPKzzT3PObBL1XJkeR"&amp;"mntBXI7wGjpLV7QorqlTk/edit?usp=sharing"",""พัทลุง!M559"")+IMPORTRANGE(""https://docs.google.com/spreadsheets/d/1rd4qoM1q_hsgaolqNGfrim9gbsoLxQsda4-vOz5x_BM/edit?usp=sharing"",""ภูเก็ต!M559"")+IMPORTRANGE(""https://docs.google.com/spreadsheets/d/1woKwKjgoL"&amp;"ssDvPcPeVyezB5izizAn4X1JDrys69n6xI/edit?usp=sharing"",""ยะลา!M559"")+IMPORTRANGE(""https://docs.google.com/spreadsheets/d/1qfrKjzMhm2HJfxQ-qVlJlJQ25Hne1d0khsySbZyGtPA/edit?usp=sharing"",""ระนอง!M559"")+IMPORTRANGE(""https://docs.google.com/spreadsheets/d/"&amp;"1IbSCnFOKpZsnFogBHJnL_isstZVaOMnFiIN0fGTPZZw/edit?usp=sharing"",""สงขลา!M559"")+IMPORTRANGE(""https://docs.google.com/spreadsheets/d/1q9nWasZJ-K8bFGvbE9n0qSRuKGA4Toe3Y89cKCiVtCU/edit?usp=sharing"",""สตูล!M559"")+IMPORTRANGE(""https://docs.google.com/sprea"&amp;"dsheets/d/18T20gbkS_WBjdscyTOV05cvq_JqvqQ17C81mpxf7Ncs/edit?usp=sharing"",""สุราษฎร์ธานี!M559"")"),0)</f>
        <v>0</v>
      </c>
      <c r="N559" s="49">
        <f ca="1">IFERROR(__xludf.DUMMYFUNCTION("IMPORTRANGE(""https://docs.google.com/spreadsheets/d/1kKUcYdkIfrgTSj8iHHHB2MD2FAtwyyocFgqGQn6ADyI/edit?usp=sharing"",""กระบี่!N559"")+IMPORTRANGE(""https://docs.google.com/spreadsheets/d/1GwtLaSlNZkLk7iDqcyZz22giiy40b_usZZBXYciEN1U/edit?usp=sharing"",""ชุ"&amp;"มพร!N559"")+IMPORTRANGE(""https://docs.google.com/spreadsheets/d/16pAz3pOhQEZBhvFNMa5KGgZS6iKWpsKX0pg6tQmwFpo/edit?usp=sharing"",""ตรัง!N559"")+IMPORTRANGE(""https://docs.google.com/spreadsheets/d/1Dj4jcHCTV9JXKCaMoheSXS52JE63kDKyG7bPXnFogHk/edit?usp=shar"&amp;"ing"",""นครศรีธรรมราช!N559"")+IMPORTRANGE(""https://docs.google.com/spreadsheets/d/1iodCdmuK2GR3jzUwk8tpccY2JHQQA-87DLOtJP-ooyU/edit?usp=sharing"",""นราธิวาส!N559"")+IMPORTRANGE(""https://docs.google.com/spreadsheets/d/1SDNX3JhDdYRuIOsj0Wh2M-Qa_eaXl0NbWmh"&amp;"AOTbfQAs/edit?usp=sharing"",""ปัตตานี!N559"")+IMPORTRANGE(""https://docs.google.com/spreadsheets/d/16JDLGguT8s5DsGCND1KcwHP_AWR_zDMTqLHPLJUKhaU/edit?usp=sharing"",""พังงา!N559"")+IMPORTRANGE(""https://docs.google.com/spreadsheets/d/17ht0gPKzzT3PObBL1XJkeR"&amp;"mntBXI7wGjpLV7QorqlTk/edit?usp=sharing"",""พัทลุง!N559"")+IMPORTRANGE(""https://docs.google.com/spreadsheets/d/1rd4qoM1q_hsgaolqNGfrim9gbsoLxQsda4-vOz5x_BM/edit?usp=sharing"",""ภูเก็ต!N559"")+IMPORTRANGE(""https://docs.google.com/spreadsheets/d/1woKwKjgoL"&amp;"ssDvPcPeVyezB5izizAn4X1JDrys69n6xI/edit?usp=sharing"",""ยะลา!N559"")+IMPORTRANGE(""https://docs.google.com/spreadsheets/d/1qfrKjzMhm2HJfxQ-qVlJlJQ25Hne1d0khsySbZyGtPA/edit?usp=sharing"",""ระนอง!N559"")+IMPORTRANGE(""https://docs.google.com/spreadsheets/d/"&amp;"1IbSCnFOKpZsnFogBHJnL_isstZVaOMnFiIN0fGTPZZw/edit?usp=sharing"",""สงขลา!N559"")+IMPORTRANGE(""https://docs.google.com/spreadsheets/d/1q9nWasZJ-K8bFGvbE9n0qSRuKGA4Toe3Y89cKCiVtCU/edit?usp=sharing"",""สตูล!N559"")+IMPORTRANGE(""https://docs.google.com/sprea"&amp;"dsheets/d/18T20gbkS_WBjdscyTOV05cvq_JqvqQ17C81mpxf7Ncs/edit?usp=sharing"",""สุราษฎร์ธานี!N559"")"),0)</f>
        <v>0</v>
      </c>
      <c r="O559" s="49">
        <f t="shared" ca="1" si="394"/>
        <v>0</v>
      </c>
      <c r="P559" s="49">
        <f t="shared" ca="1" si="395"/>
        <v>0</v>
      </c>
      <c r="Q559" s="49">
        <f ca="1">IFERROR(__xludf.DUMMYFUNCTION("IMPORTRANGE(""https://docs.google.com/spreadsheets/d/1kKUcYdkIfrgTSj8iHHHB2MD2FAtwyyocFgqGQn6ADyI/edit?usp=sharing"",""กระบี่!Q559"")+IMPORTRANGE(""https://docs.google.com/spreadsheets/d/1GwtLaSlNZkLk7iDqcyZz22giiy40b_usZZBXYciEN1U/edit?usp=sharing"",""ชุ"&amp;"มพร!Q559"")+IMPORTRANGE(""https://docs.google.com/spreadsheets/d/16pAz3pOhQEZBhvFNMa5KGgZS6iKWpsKX0pg6tQmwFpo/edit?usp=sharing"",""ตรัง!Q559"")+IMPORTRANGE(""https://docs.google.com/spreadsheets/d/1Dj4jcHCTV9JXKCaMoheSXS52JE63kDKyG7bPXnFogHk/edit?usp=shar"&amp;"ing"",""นครศรีธรรมราช!Q559"")+IMPORTRANGE(""https://docs.google.com/spreadsheets/d/1iodCdmuK2GR3jzUwk8tpccY2JHQQA-87DLOtJP-ooyU/edit?usp=sharing"",""นราธิวาส!Q559"")+IMPORTRANGE(""https://docs.google.com/spreadsheets/d/1SDNX3JhDdYRuIOsj0Wh2M-Qa_eaXl0NbWmh"&amp;"AOTbfQAs/edit?usp=sharing"",""ปัตตานี!Q559"")+IMPORTRANGE(""https://docs.google.com/spreadsheets/d/16JDLGguT8s5DsGCND1KcwHP_AWR_zDMTqLHPLJUKhaU/edit?usp=sharing"",""พังงา!Q559"")+IMPORTRANGE(""https://docs.google.com/spreadsheets/d/17ht0gPKzzT3PObBL1XJkeR"&amp;"mntBXI7wGjpLV7QorqlTk/edit?usp=sharing"",""พัทลุง!Q559"")+IMPORTRANGE(""https://docs.google.com/spreadsheets/d/1rd4qoM1q_hsgaolqNGfrim9gbsoLxQsda4-vOz5x_BM/edit?usp=sharing"",""ภูเก็ต!Q559"")+IMPORTRANGE(""https://docs.google.com/spreadsheets/d/1woKwKjgoL"&amp;"ssDvPcPeVyezB5izizAn4X1JDrys69n6xI/edit?usp=sharing"",""ยะลา!Q559"")+IMPORTRANGE(""https://docs.google.com/spreadsheets/d/1qfrKjzMhm2HJfxQ-qVlJlJQ25Hne1d0khsySbZyGtPA/edit?usp=sharing"",""ระนอง!Q559"")+IMPORTRANGE(""https://docs.google.com/spreadsheets/d/"&amp;"1IbSCnFOKpZsnFogBHJnL_isstZVaOMnFiIN0fGTPZZw/edit?usp=sharing"",""สงขลา!Q559"")+IMPORTRANGE(""https://docs.google.com/spreadsheets/d/1q9nWasZJ-K8bFGvbE9n0qSRuKGA4Toe3Y89cKCiVtCU/edit?usp=sharing"",""สตูล!Q559"")+IMPORTRANGE(""https://docs.google.com/sprea"&amp;"dsheets/d/18T20gbkS_WBjdscyTOV05cvq_JqvqQ17C81mpxf7Ncs/edit?usp=sharing"",""สุราษฎร์ธานี!Q559"")"),0)</f>
        <v>0</v>
      </c>
      <c r="R559" s="49">
        <f ca="1">IFERROR(__xludf.DUMMYFUNCTION("IMPORTRANGE(""https://docs.google.com/spreadsheets/d/1kKUcYdkIfrgTSj8iHHHB2MD2FAtwyyocFgqGQn6ADyI/edit?usp=sharing"",""กระบี่!R559"")+IMPORTRANGE(""https://docs.google.com/spreadsheets/d/1GwtLaSlNZkLk7iDqcyZz22giiy40b_usZZBXYciEN1U/edit?usp=sharing"",""ชุ"&amp;"มพร!R559"")+IMPORTRANGE(""https://docs.google.com/spreadsheets/d/16pAz3pOhQEZBhvFNMa5KGgZS6iKWpsKX0pg6tQmwFpo/edit?usp=sharing"",""ตรัง!R559"")+IMPORTRANGE(""https://docs.google.com/spreadsheets/d/1Dj4jcHCTV9JXKCaMoheSXS52JE63kDKyG7bPXnFogHk/edit?usp=shar"&amp;"ing"",""นครศรีธรรมราช!R559"")+IMPORTRANGE(""https://docs.google.com/spreadsheets/d/1iodCdmuK2GR3jzUwk8tpccY2JHQQA-87DLOtJP-ooyU/edit?usp=sharing"",""นราธิวาส!R559"")+IMPORTRANGE(""https://docs.google.com/spreadsheets/d/1SDNX3JhDdYRuIOsj0Wh2M-Qa_eaXl0NbWmh"&amp;"AOTbfQAs/edit?usp=sharing"",""ปัตตานี!R559"")+IMPORTRANGE(""https://docs.google.com/spreadsheets/d/16JDLGguT8s5DsGCND1KcwHP_AWR_zDMTqLHPLJUKhaU/edit?usp=sharing"",""พังงา!R559"")+IMPORTRANGE(""https://docs.google.com/spreadsheets/d/17ht0gPKzzT3PObBL1XJkeR"&amp;"mntBXI7wGjpLV7QorqlTk/edit?usp=sharing"",""พัทลุง!R559"")+IMPORTRANGE(""https://docs.google.com/spreadsheets/d/1rd4qoM1q_hsgaolqNGfrim9gbsoLxQsda4-vOz5x_BM/edit?usp=sharing"",""ภูเก็ต!R559"")+IMPORTRANGE(""https://docs.google.com/spreadsheets/d/1woKwKjgoL"&amp;"ssDvPcPeVyezB5izizAn4X1JDrys69n6xI/edit?usp=sharing"",""ยะลา!R559"")+IMPORTRANGE(""https://docs.google.com/spreadsheets/d/1qfrKjzMhm2HJfxQ-qVlJlJQ25Hne1d0khsySbZyGtPA/edit?usp=sharing"",""ระนอง!R559"")+IMPORTRANGE(""https://docs.google.com/spreadsheets/d/"&amp;"1IbSCnFOKpZsnFogBHJnL_isstZVaOMnFiIN0fGTPZZw/edit?usp=sharing"",""สงขลา!R559"")+IMPORTRANGE(""https://docs.google.com/spreadsheets/d/1q9nWasZJ-K8bFGvbE9n0qSRuKGA4Toe3Y89cKCiVtCU/edit?usp=sharing"",""สตูล!R559"")+IMPORTRANGE(""https://docs.google.com/sprea"&amp;"dsheets/d/18T20gbkS_WBjdscyTOV05cvq_JqvqQ17C81mpxf7Ncs/edit?usp=sharing"",""สุราษฎร์ธานี!R559"")"),0)</f>
        <v>0</v>
      </c>
      <c r="S559" s="49">
        <f ca="1">IFERROR(__xludf.DUMMYFUNCTION("IMPORTRANGE(""https://docs.google.com/spreadsheets/d/1kKUcYdkIfrgTSj8iHHHB2MD2FAtwyyocFgqGQn6ADyI/edit?usp=sharing"",""กระบี่!S559"")+IMPORTRANGE(""https://docs.google.com/spreadsheets/d/1GwtLaSlNZkLk7iDqcyZz22giiy40b_usZZBXYciEN1U/edit?usp=sharing"",""ชุ"&amp;"มพร!S559"")+IMPORTRANGE(""https://docs.google.com/spreadsheets/d/16pAz3pOhQEZBhvFNMa5KGgZS6iKWpsKX0pg6tQmwFpo/edit?usp=sharing"",""ตรัง!S559"")+IMPORTRANGE(""https://docs.google.com/spreadsheets/d/1Dj4jcHCTV9JXKCaMoheSXS52JE63kDKyG7bPXnFogHk/edit?usp=shar"&amp;"ing"",""นครศรีธรรมราช!S559"")+IMPORTRANGE(""https://docs.google.com/spreadsheets/d/1iodCdmuK2GR3jzUwk8tpccY2JHQQA-87DLOtJP-ooyU/edit?usp=sharing"",""นราธิวาส!S559"")+IMPORTRANGE(""https://docs.google.com/spreadsheets/d/1SDNX3JhDdYRuIOsj0Wh2M-Qa_eaXl0NbWmh"&amp;"AOTbfQAs/edit?usp=sharing"",""ปัตตานี!S559"")+IMPORTRANGE(""https://docs.google.com/spreadsheets/d/16JDLGguT8s5DsGCND1KcwHP_AWR_zDMTqLHPLJUKhaU/edit?usp=sharing"",""พังงา!S559"")+IMPORTRANGE(""https://docs.google.com/spreadsheets/d/17ht0gPKzzT3PObBL1XJkeR"&amp;"mntBXI7wGjpLV7QorqlTk/edit?usp=sharing"",""พัทลุง!S559"")+IMPORTRANGE(""https://docs.google.com/spreadsheets/d/1rd4qoM1q_hsgaolqNGfrim9gbsoLxQsda4-vOz5x_BM/edit?usp=sharing"",""ภูเก็ต!S559"")+IMPORTRANGE(""https://docs.google.com/spreadsheets/d/1woKwKjgoL"&amp;"ssDvPcPeVyezB5izizAn4X1JDrys69n6xI/edit?usp=sharing"",""ยะลา!S559"")+IMPORTRANGE(""https://docs.google.com/spreadsheets/d/1qfrKjzMhm2HJfxQ-qVlJlJQ25Hne1d0khsySbZyGtPA/edit?usp=sharing"",""ระนอง!S559"")+IMPORTRANGE(""https://docs.google.com/spreadsheets/d/"&amp;"1IbSCnFOKpZsnFogBHJnL_isstZVaOMnFiIN0fGTPZZw/edit?usp=sharing"",""สงขลา!S559"")+IMPORTRANGE(""https://docs.google.com/spreadsheets/d/1q9nWasZJ-K8bFGvbE9n0qSRuKGA4Toe3Y89cKCiVtCU/edit?usp=sharing"",""สตูล!S559"")+IMPORTRANGE(""https://docs.google.com/sprea"&amp;"dsheets/d/18T20gbkS_WBjdscyTOV05cvq_JqvqQ17C81mpxf7Ncs/edit?usp=sharing"",""สุราษฎร์ธานี!S559"")"),0)</f>
        <v>0</v>
      </c>
      <c r="T559" s="49">
        <f t="shared" ca="1" si="397"/>
        <v>0</v>
      </c>
      <c r="U559" s="49">
        <f t="shared" ca="1" si="398"/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7">
        <f ca="1">IFERROR(__xludf.DUMMYFUNCTION("IMPORTRANGE(""https://docs.google.com/spreadsheets/d/1kKUcYdkIfrgTSj8iHHHB2MD2FAtwyyocFgqGQn6ADyI/edit?usp=sharing"",""กระบี่!L560"")+IMPORTRANGE(""https://docs.google.com/spreadsheets/d/1GwtLaSlNZkLk7iDqcyZz22giiy40b_usZZBXYciEN1U/edit?usp=sharing"",""ชุ"&amp;"มพร!L560"")+IMPORTRANGE(""https://docs.google.com/spreadsheets/d/16pAz3pOhQEZBhvFNMa5KGgZS6iKWpsKX0pg6tQmwFpo/edit?usp=sharing"",""ตรัง!L560"")+IMPORTRANGE(""https://docs.google.com/spreadsheets/d/1Dj4jcHCTV9JXKCaMoheSXS52JE63kDKyG7bPXnFogHk/edit?usp=shar"&amp;"ing"",""นครศรีธรรมราช!L560"")+IMPORTRANGE(""https://docs.google.com/spreadsheets/d/1iodCdmuK2GR3jzUwk8tpccY2JHQQA-87DLOtJP-ooyU/edit?usp=sharing"",""นราธิวาส!L560"")+IMPORTRANGE(""https://docs.google.com/spreadsheets/d/1SDNX3JhDdYRuIOsj0Wh2M-Qa_eaXl0NbWmh"&amp;"AOTbfQAs/edit?usp=sharing"",""ปัตตานี!L560"")+IMPORTRANGE(""https://docs.google.com/spreadsheets/d/16JDLGguT8s5DsGCND1KcwHP_AWR_zDMTqLHPLJUKhaU/edit?usp=sharing"",""พังงา!L560"")+IMPORTRANGE(""https://docs.google.com/spreadsheets/d/17ht0gPKzzT3PObBL1XJkeR"&amp;"mntBXI7wGjpLV7QorqlTk/edit?usp=sharing"",""พัทลุง!L560"")+IMPORTRANGE(""https://docs.google.com/spreadsheets/d/1rd4qoM1q_hsgaolqNGfrim9gbsoLxQsda4-vOz5x_BM/edit?usp=sharing"",""ภูเก็ต!L560"")+IMPORTRANGE(""https://docs.google.com/spreadsheets/d/1woKwKjgoL"&amp;"ssDvPcPeVyezB5izizAn4X1JDrys69n6xI/edit?usp=sharing"",""ยะลา!L560"")+IMPORTRANGE(""https://docs.google.com/spreadsheets/d/1qfrKjzMhm2HJfxQ-qVlJlJQ25Hne1d0khsySbZyGtPA/edit?usp=sharing"",""ระนอง!L560"")+IMPORTRANGE(""https://docs.google.com/spreadsheets/d/"&amp;"1IbSCnFOKpZsnFogBHJnL_isstZVaOMnFiIN0fGTPZZw/edit?usp=sharing"",""สงขลา!L560"")+IMPORTRANGE(""https://docs.google.com/spreadsheets/d/1q9nWasZJ-K8bFGvbE9n0qSRuKGA4Toe3Y89cKCiVtCU/edit?usp=sharing"",""สตูล!L560"")+IMPORTRANGE(""https://docs.google.com/sprea"&amp;"dsheets/d/18T20gbkS_WBjdscyTOV05cvq_JqvqQ17C81mpxf7Ncs/edit?usp=sharing"",""สุราษฎร์ธานี!L560"")"),0)</f>
        <v>0</v>
      </c>
      <c r="M560" s="47">
        <f ca="1">IFERROR(__xludf.DUMMYFUNCTION("IMPORTRANGE(""https://docs.google.com/spreadsheets/d/1kKUcYdkIfrgTSj8iHHHB2MD2FAtwyyocFgqGQn6ADyI/edit?usp=sharing"",""กระบี่!M560"")+IMPORTRANGE(""https://docs.google.com/spreadsheets/d/1GwtLaSlNZkLk7iDqcyZz22giiy40b_usZZBXYciEN1U/edit?usp=sharing"",""ชุ"&amp;"มพร!M560"")+IMPORTRANGE(""https://docs.google.com/spreadsheets/d/16pAz3pOhQEZBhvFNMa5KGgZS6iKWpsKX0pg6tQmwFpo/edit?usp=sharing"",""ตรัง!M560"")+IMPORTRANGE(""https://docs.google.com/spreadsheets/d/1Dj4jcHCTV9JXKCaMoheSXS52JE63kDKyG7bPXnFogHk/edit?usp=shar"&amp;"ing"",""นครศรีธรรมราช!M560"")+IMPORTRANGE(""https://docs.google.com/spreadsheets/d/1iodCdmuK2GR3jzUwk8tpccY2JHQQA-87DLOtJP-ooyU/edit?usp=sharing"",""นราธิวาส!M560"")+IMPORTRANGE(""https://docs.google.com/spreadsheets/d/1SDNX3JhDdYRuIOsj0Wh2M-Qa_eaXl0NbWmh"&amp;"AOTbfQAs/edit?usp=sharing"",""ปัตตานี!M560"")+IMPORTRANGE(""https://docs.google.com/spreadsheets/d/16JDLGguT8s5DsGCND1KcwHP_AWR_zDMTqLHPLJUKhaU/edit?usp=sharing"",""พังงา!M560"")+IMPORTRANGE(""https://docs.google.com/spreadsheets/d/17ht0gPKzzT3PObBL1XJkeR"&amp;"mntBXI7wGjpLV7QorqlTk/edit?usp=sharing"",""พัทลุง!M560"")+IMPORTRANGE(""https://docs.google.com/spreadsheets/d/1rd4qoM1q_hsgaolqNGfrim9gbsoLxQsda4-vOz5x_BM/edit?usp=sharing"",""ภูเก็ต!M560"")+IMPORTRANGE(""https://docs.google.com/spreadsheets/d/1woKwKjgoL"&amp;"ssDvPcPeVyezB5izizAn4X1JDrys69n6xI/edit?usp=sharing"",""ยะลา!M560"")+IMPORTRANGE(""https://docs.google.com/spreadsheets/d/1qfrKjzMhm2HJfxQ-qVlJlJQ25Hne1d0khsySbZyGtPA/edit?usp=sharing"",""ระนอง!M560"")+IMPORTRANGE(""https://docs.google.com/spreadsheets/d/"&amp;"1IbSCnFOKpZsnFogBHJnL_isstZVaOMnFiIN0fGTPZZw/edit?usp=sharing"",""สงขลา!M560"")+IMPORTRANGE(""https://docs.google.com/spreadsheets/d/1q9nWasZJ-K8bFGvbE9n0qSRuKGA4Toe3Y89cKCiVtCU/edit?usp=sharing"",""สตูล!M560"")+IMPORTRANGE(""https://docs.google.com/sprea"&amp;"dsheets/d/18T20gbkS_WBjdscyTOV05cvq_JqvqQ17C81mpxf7Ncs/edit?usp=sharing"",""สุราษฎร์ธานี!M560"")"),0)</f>
        <v>0</v>
      </c>
      <c r="N560" s="47">
        <f ca="1">IFERROR(__xludf.DUMMYFUNCTION("IMPORTRANGE(""https://docs.google.com/spreadsheets/d/1kKUcYdkIfrgTSj8iHHHB2MD2FAtwyyocFgqGQn6ADyI/edit?usp=sharing"",""กระบี่!N560"")+IMPORTRANGE(""https://docs.google.com/spreadsheets/d/1GwtLaSlNZkLk7iDqcyZz22giiy40b_usZZBXYciEN1U/edit?usp=sharing"",""ชุ"&amp;"มพร!N560"")+IMPORTRANGE(""https://docs.google.com/spreadsheets/d/16pAz3pOhQEZBhvFNMa5KGgZS6iKWpsKX0pg6tQmwFpo/edit?usp=sharing"",""ตรัง!N560"")+IMPORTRANGE(""https://docs.google.com/spreadsheets/d/1Dj4jcHCTV9JXKCaMoheSXS52JE63kDKyG7bPXnFogHk/edit?usp=shar"&amp;"ing"",""นครศรีธรรมราช!N560"")+IMPORTRANGE(""https://docs.google.com/spreadsheets/d/1iodCdmuK2GR3jzUwk8tpccY2JHQQA-87DLOtJP-ooyU/edit?usp=sharing"",""นราธิวาส!N560"")+IMPORTRANGE(""https://docs.google.com/spreadsheets/d/1SDNX3JhDdYRuIOsj0Wh2M-Qa_eaXl0NbWmh"&amp;"AOTbfQAs/edit?usp=sharing"",""ปัตตานี!N560"")+IMPORTRANGE(""https://docs.google.com/spreadsheets/d/16JDLGguT8s5DsGCND1KcwHP_AWR_zDMTqLHPLJUKhaU/edit?usp=sharing"",""พังงา!N560"")+IMPORTRANGE(""https://docs.google.com/spreadsheets/d/17ht0gPKzzT3PObBL1XJkeR"&amp;"mntBXI7wGjpLV7QorqlTk/edit?usp=sharing"",""พัทลุง!N560"")+IMPORTRANGE(""https://docs.google.com/spreadsheets/d/1rd4qoM1q_hsgaolqNGfrim9gbsoLxQsda4-vOz5x_BM/edit?usp=sharing"",""ภูเก็ต!N560"")+IMPORTRANGE(""https://docs.google.com/spreadsheets/d/1woKwKjgoL"&amp;"ssDvPcPeVyezB5izizAn4X1JDrys69n6xI/edit?usp=sharing"",""ยะลา!N560"")+IMPORTRANGE(""https://docs.google.com/spreadsheets/d/1qfrKjzMhm2HJfxQ-qVlJlJQ25Hne1d0khsySbZyGtPA/edit?usp=sharing"",""ระนอง!N560"")+IMPORTRANGE(""https://docs.google.com/spreadsheets/d/"&amp;"1IbSCnFOKpZsnFogBHJnL_isstZVaOMnFiIN0fGTPZZw/edit?usp=sharing"",""สงขลา!N560"")+IMPORTRANGE(""https://docs.google.com/spreadsheets/d/1q9nWasZJ-K8bFGvbE9n0qSRuKGA4Toe3Y89cKCiVtCU/edit?usp=sharing"",""สตูล!N560"")+IMPORTRANGE(""https://docs.google.com/sprea"&amp;"dsheets/d/18T20gbkS_WBjdscyTOV05cvq_JqvqQ17C81mpxf7Ncs/edit?usp=sharing"",""สุราษฎร์ธานี!N560"")"),0)</f>
        <v>0</v>
      </c>
      <c r="O560" s="47">
        <f t="shared" ca="1" si="394"/>
        <v>0</v>
      </c>
      <c r="P560" s="47">
        <f t="shared" ca="1" si="395"/>
        <v>0</v>
      </c>
      <c r="Q560" s="47">
        <f ca="1">IFERROR(__xludf.DUMMYFUNCTION("IMPORTRANGE(""https://docs.google.com/spreadsheets/d/1kKUcYdkIfrgTSj8iHHHB2MD2FAtwyyocFgqGQn6ADyI/edit?usp=sharing"",""กระบี่!Q560"")+IMPORTRANGE(""https://docs.google.com/spreadsheets/d/1GwtLaSlNZkLk7iDqcyZz22giiy40b_usZZBXYciEN1U/edit?usp=sharing"",""ชุ"&amp;"มพร!Q560"")+IMPORTRANGE(""https://docs.google.com/spreadsheets/d/16pAz3pOhQEZBhvFNMa5KGgZS6iKWpsKX0pg6tQmwFpo/edit?usp=sharing"",""ตรัง!Q560"")+IMPORTRANGE(""https://docs.google.com/spreadsheets/d/1Dj4jcHCTV9JXKCaMoheSXS52JE63kDKyG7bPXnFogHk/edit?usp=shar"&amp;"ing"",""นครศรีธรรมราช!Q560"")+IMPORTRANGE(""https://docs.google.com/spreadsheets/d/1iodCdmuK2GR3jzUwk8tpccY2JHQQA-87DLOtJP-ooyU/edit?usp=sharing"",""นราธิวาส!Q560"")+IMPORTRANGE(""https://docs.google.com/spreadsheets/d/1SDNX3JhDdYRuIOsj0Wh2M-Qa_eaXl0NbWmh"&amp;"AOTbfQAs/edit?usp=sharing"",""ปัตตานี!Q560"")+IMPORTRANGE(""https://docs.google.com/spreadsheets/d/16JDLGguT8s5DsGCND1KcwHP_AWR_zDMTqLHPLJUKhaU/edit?usp=sharing"",""พังงา!Q560"")+IMPORTRANGE(""https://docs.google.com/spreadsheets/d/17ht0gPKzzT3PObBL1XJkeR"&amp;"mntBXI7wGjpLV7QorqlTk/edit?usp=sharing"",""พัทลุง!Q560"")+IMPORTRANGE(""https://docs.google.com/spreadsheets/d/1rd4qoM1q_hsgaolqNGfrim9gbsoLxQsda4-vOz5x_BM/edit?usp=sharing"",""ภูเก็ต!Q560"")+IMPORTRANGE(""https://docs.google.com/spreadsheets/d/1woKwKjgoL"&amp;"ssDvPcPeVyezB5izizAn4X1JDrys69n6xI/edit?usp=sharing"",""ยะลา!Q560"")+IMPORTRANGE(""https://docs.google.com/spreadsheets/d/1qfrKjzMhm2HJfxQ-qVlJlJQ25Hne1d0khsySbZyGtPA/edit?usp=sharing"",""ระนอง!Q560"")+IMPORTRANGE(""https://docs.google.com/spreadsheets/d/"&amp;"1IbSCnFOKpZsnFogBHJnL_isstZVaOMnFiIN0fGTPZZw/edit?usp=sharing"",""สงขลา!Q560"")+IMPORTRANGE(""https://docs.google.com/spreadsheets/d/1q9nWasZJ-K8bFGvbE9n0qSRuKGA4Toe3Y89cKCiVtCU/edit?usp=sharing"",""สตูล!Q560"")+IMPORTRANGE(""https://docs.google.com/sprea"&amp;"dsheets/d/18T20gbkS_WBjdscyTOV05cvq_JqvqQ17C81mpxf7Ncs/edit?usp=sharing"",""สุราษฎร์ธานี!Q560"")"),0)</f>
        <v>0</v>
      </c>
      <c r="R560" s="47">
        <f ca="1">IFERROR(__xludf.DUMMYFUNCTION("IMPORTRANGE(""https://docs.google.com/spreadsheets/d/1kKUcYdkIfrgTSj8iHHHB2MD2FAtwyyocFgqGQn6ADyI/edit?usp=sharing"",""กระบี่!R560"")+IMPORTRANGE(""https://docs.google.com/spreadsheets/d/1GwtLaSlNZkLk7iDqcyZz22giiy40b_usZZBXYciEN1U/edit?usp=sharing"",""ชุ"&amp;"มพร!R560"")+IMPORTRANGE(""https://docs.google.com/spreadsheets/d/16pAz3pOhQEZBhvFNMa5KGgZS6iKWpsKX0pg6tQmwFpo/edit?usp=sharing"",""ตรัง!R560"")+IMPORTRANGE(""https://docs.google.com/spreadsheets/d/1Dj4jcHCTV9JXKCaMoheSXS52JE63kDKyG7bPXnFogHk/edit?usp=shar"&amp;"ing"",""นครศรีธรรมราช!R560"")+IMPORTRANGE(""https://docs.google.com/spreadsheets/d/1iodCdmuK2GR3jzUwk8tpccY2JHQQA-87DLOtJP-ooyU/edit?usp=sharing"",""นราธิวาส!R560"")+IMPORTRANGE(""https://docs.google.com/spreadsheets/d/1SDNX3JhDdYRuIOsj0Wh2M-Qa_eaXl0NbWmh"&amp;"AOTbfQAs/edit?usp=sharing"",""ปัตตานี!R560"")+IMPORTRANGE(""https://docs.google.com/spreadsheets/d/16JDLGguT8s5DsGCND1KcwHP_AWR_zDMTqLHPLJUKhaU/edit?usp=sharing"",""พังงา!R560"")+IMPORTRANGE(""https://docs.google.com/spreadsheets/d/17ht0gPKzzT3PObBL1XJkeR"&amp;"mntBXI7wGjpLV7QorqlTk/edit?usp=sharing"",""พัทลุง!R560"")+IMPORTRANGE(""https://docs.google.com/spreadsheets/d/1rd4qoM1q_hsgaolqNGfrim9gbsoLxQsda4-vOz5x_BM/edit?usp=sharing"",""ภูเก็ต!R560"")+IMPORTRANGE(""https://docs.google.com/spreadsheets/d/1woKwKjgoL"&amp;"ssDvPcPeVyezB5izizAn4X1JDrys69n6xI/edit?usp=sharing"",""ยะลา!R560"")+IMPORTRANGE(""https://docs.google.com/spreadsheets/d/1qfrKjzMhm2HJfxQ-qVlJlJQ25Hne1d0khsySbZyGtPA/edit?usp=sharing"",""ระนอง!R560"")+IMPORTRANGE(""https://docs.google.com/spreadsheets/d/"&amp;"1IbSCnFOKpZsnFogBHJnL_isstZVaOMnFiIN0fGTPZZw/edit?usp=sharing"",""สงขลา!R560"")+IMPORTRANGE(""https://docs.google.com/spreadsheets/d/1q9nWasZJ-K8bFGvbE9n0qSRuKGA4Toe3Y89cKCiVtCU/edit?usp=sharing"",""สตูล!R560"")+IMPORTRANGE(""https://docs.google.com/sprea"&amp;"dsheets/d/18T20gbkS_WBjdscyTOV05cvq_JqvqQ17C81mpxf7Ncs/edit?usp=sharing"",""สุราษฎร์ธานี!R560"")"),0)</f>
        <v>0</v>
      </c>
      <c r="S560" s="47">
        <f ca="1">IFERROR(__xludf.DUMMYFUNCTION("IMPORTRANGE(""https://docs.google.com/spreadsheets/d/1kKUcYdkIfrgTSj8iHHHB2MD2FAtwyyocFgqGQn6ADyI/edit?usp=sharing"",""กระบี่!S560"")+IMPORTRANGE(""https://docs.google.com/spreadsheets/d/1GwtLaSlNZkLk7iDqcyZz22giiy40b_usZZBXYciEN1U/edit?usp=sharing"",""ชุ"&amp;"มพร!S560"")+IMPORTRANGE(""https://docs.google.com/spreadsheets/d/16pAz3pOhQEZBhvFNMa5KGgZS6iKWpsKX0pg6tQmwFpo/edit?usp=sharing"",""ตรัง!S560"")+IMPORTRANGE(""https://docs.google.com/spreadsheets/d/1Dj4jcHCTV9JXKCaMoheSXS52JE63kDKyG7bPXnFogHk/edit?usp=shar"&amp;"ing"",""นครศรีธรรมราช!S560"")+IMPORTRANGE(""https://docs.google.com/spreadsheets/d/1iodCdmuK2GR3jzUwk8tpccY2JHQQA-87DLOtJP-ooyU/edit?usp=sharing"",""นราธิวาส!S560"")+IMPORTRANGE(""https://docs.google.com/spreadsheets/d/1SDNX3JhDdYRuIOsj0Wh2M-Qa_eaXl0NbWmh"&amp;"AOTbfQAs/edit?usp=sharing"",""ปัตตานี!S560"")+IMPORTRANGE(""https://docs.google.com/spreadsheets/d/16JDLGguT8s5DsGCND1KcwHP_AWR_zDMTqLHPLJUKhaU/edit?usp=sharing"",""พังงา!S560"")+IMPORTRANGE(""https://docs.google.com/spreadsheets/d/17ht0gPKzzT3PObBL1XJkeR"&amp;"mntBXI7wGjpLV7QorqlTk/edit?usp=sharing"",""พัทลุง!S560"")+IMPORTRANGE(""https://docs.google.com/spreadsheets/d/1rd4qoM1q_hsgaolqNGfrim9gbsoLxQsda4-vOz5x_BM/edit?usp=sharing"",""ภูเก็ต!S560"")+IMPORTRANGE(""https://docs.google.com/spreadsheets/d/1woKwKjgoL"&amp;"ssDvPcPeVyezB5izizAn4X1JDrys69n6xI/edit?usp=sharing"",""ยะลา!S560"")+IMPORTRANGE(""https://docs.google.com/spreadsheets/d/1qfrKjzMhm2HJfxQ-qVlJlJQ25Hne1d0khsySbZyGtPA/edit?usp=sharing"",""ระนอง!S560"")+IMPORTRANGE(""https://docs.google.com/spreadsheets/d/"&amp;"1IbSCnFOKpZsnFogBHJnL_isstZVaOMnFiIN0fGTPZZw/edit?usp=sharing"",""สงขลา!S560"")+IMPORTRANGE(""https://docs.google.com/spreadsheets/d/1q9nWasZJ-K8bFGvbE9n0qSRuKGA4Toe3Y89cKCiVtCU/edit?usp=sharing"",""สตูล!S560"")+IMPORTRANGE(""https://docs.google.com/sprea"&amp;"dsheets/d/18T20gbkS_WBjdscyTOV05cvq_JqvqQ17C81mpxf7Ncs/edit?usp=sharing"",""สุราษฎร์ธานี!S560"")"),0)</f>
        <v>0</v>
      </c>
      <c r="T560" s="47">
        <f t="shared" ca="1" si="397"/>
        <v>0</v>
      </c>
      <c r="U560" s="47">
        <f t="shared" ca="1" si="398"/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7">
        <f t="shared" ref="L561:N561" ca="1" si="405">L562+L563</f>
        <v>0</v>
      </c>
      <c r="M561" s="47">
        <f t="shared" ca="1" si="405"/>
        <v>0</v>
      </c>
      <c r="N561" s="47">
        <f t="shared" ca="1" si="405"/>
        <v>0</v>
      </c>
      <c r="O561" s="47">
        <f t="shared" ca="1" si="394"/>
        <v>0</v>
      </c>
      <c r="P561" s="47">
        <f t="shared" ca="1" si="395"/>
        <v>0</v>
      </c>
      <c r="Q561" s="47">
        <f t="shared" ref="Q561:S561" ca="1" si="406">Q562+Q563</f>
        <v>0</v>
      </c>
      <c r="R561" s="47">
        <f t="shared" ca="1" si="406"/>
        <v>0</v>
      </c>
      <c r="S561" s="47">
        <f t="shared" ca="1" si="406"/>
        <v>0</v>
      </c>
      <c r="T561" s="47">
        <f t="shared" ca="1" si="397"/>
        <v>0</v>
      </c>
      <c r="U561" s="47">
        <f t="shared" ca="1" si="398"/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9">
        <f ca="1">IFERROR(__xludf.DUMMYFUNCTION("IMPORTRANGE(""https://docs.google.com/spreadsheets/d/1kKUcYdkIfrgTSj8iHHHB2MD2FAtwyyocFgqGQn6ADyI/edit?usp=sharing"",""กระบี่!L562"")+IMPORTRANGE(""https://docs.google.com/spreadsheets/d/1GwtLaSlNZkLk7iDqcyZz22giiy40b_usZZBXYciEN1U/edit?usp=sharing"",""ชุ"&amp;"มพร!L562"")+IMPORTRANGE(""https://docs.google.com/spreadsheets/d/16pAz3pOhQEZBhvFNMa5KGgZS6iKWpsKX0pg6tQmwFpo/edit?usp=sharing"",""ตรัง!L562"")+IMPORTRANGE(""https://docs.google.com/spreadsheets/d/1Dj4jcHCTV9JXKCaMoheSXS52JE63kDKyG7bPXnFogHk/edit?usp=shar"&amp;"ing"",""นครศรีธรรมราช!L562"")+IMPORTRANGE(""https://docs.google.com/spreadsheets/d/1iodCdmuK2GR3jzUwk8tpccY2JHQQA-87DLOtJP-ooyU/edit?usp=sharing"",""นราธิวาส!L562"")+IMPORTRANGE(""https://docs.google.com/spreadsheets/d/1SDNX3JhDdYRuIOsj0Wh2M-Qa_eaXl0NbWmh"&amp;"AOTbfQAs/edit?usp=sharing"",""ปัตตานี!L562"")+IMPORTRANGE(""https://docs.google.com/spreadsheets/d/16JDLGguT8s5DsGCND1KcwHP_AWR_zDMTqLHPLJUKhaU/edit?usp=sharing"",""พังงา!L562"")+IMPORTRANGE(""https://docs.google.com/spreadsheets/d/17ht0gPKzzT3PObBL1XJkeR"&amp;"mntBXI7wGjpLV7QorqlTk/edit?usp=sharing"",""พัทลุง!L562"")+IMPORTRANGE(""https://docs.google.com/spreadsheets/d/1rd4qoM1q_hsgaolqNGfrim9gbsoLxQsda4-vOz5x_BM/edit?usp=sharing"",""ภูเก็ต!L562"")+IMPORTRANGE(""https://docs.google.com/spreadsheets/d/1woKwKjgoL"&amp;"ssDvPcPeVyezB5izizAn4X1JDrys69n6xI/edit?usp=sharing"",""ยะลา!L562"")+IMPORTRANGE(""https://docs.google.com/spreadsheets/d/1qfrKjzMhm2HJfxQ-qVlJlJQ25Hne1d0khsySbZyGtPA/edit?usp=sharing"",""ระนอง!L562"")+IMPORTRANGE(""https://docs.google.com/spreadsheets/d/"&amp;"1IbSCnFOKpZsnFogBHJnL_isstZVaOMnFiIN0fGTPZZw/edit?usp=sharing"",""สงขลา!L562"")+IMPORTRANGE(""https://docs.google.com/spreadsheets/d/1q9nWasZJ-K8bFGvbE9n0qSRuKGA4Toe3Y89cKCiVtCU/edit?usp=sharing"",""สตูล!L562"")+IMPORTRANGE(""https://docs.google.com/sprea"&amp;"dsheets/d/18T20gbkS_WBjdscyTOV05cvq_JqvqQ17C81mpxf7Ncs/edit?usp=sharing"",""สุราษฎร์ธานี!L562"")"),0)</f>
        <v>0</v>
      </c>
      <c r="M562" s="49">
        <f ca="1">IFERROR(__xludf.DUMMYFUNCTION("IMPORTRANGE(""https://docs.google.com/spreadsheets/d/1kKUcYdkIfrgTSj8iHHHB2MD2FAtwyyocFgqGQn6ADyI/edit?usp=sharing"",""กระบี่!M562"")+IMPORTRANGE(""https://docs.google.com/spreadsheets/d/1GwtLaSlNZkLk7iDqcyZz22giiy40b_usZZBXYciEN1U/edit?usp=sharing"",""ชุ"&amp;"มพร!M562"")+IMPORTRANGE(""https://docs.google.com/spreadsheets/d/16pAz3pOhQEZBhvFNMa5KGgZS6iKWpsKX0pg6tQmwFpo/edit?usp=sharing"",""ตรัง!M562"")+IMPORTRANGE(""https://docs.google.com/spreadsheets/d/1Dj4jcHCTV9JXKCaMoheSXS52JE63kDKyG7bPXnFogHk/edit?usp=shar"&amp;"ing"",""นครศรีธรรมราช!M562"")+IMPORTRANGE(""https://docs.google.com/spreadsheets/d/1iodCdmuK2GR3jzUwk8tpccY2JHQQA-87DLOtJP-ooyU/edit?usp=sharing"",""นราธิวาส!M562"")+IMPORTRANGE(""https://docs.google.com/spreadsheets/d/1SDNX3JhDdYRuIOsj0Wh2M-Qa_eaXl0NbWmh"&amp;"AOTbfQAs/edit?usp=sharing"",""ปัตตานี!M562"")+IMPORTRANGE(""https://docs.google.com/spreadsheets/d/16JDLGguT8s5DsGCND1KcwHP_AWR_zDMTqLHPLJUKhaU/edit?usp=sharing"",""พังงา!M562"")+IMPORTRANGE(""https://docs.google.com/spreadsheets/d/17ht0gPKzzT3PObBL1XJkeR"&amp;"mntBXI7wGjpLV7QorqlTk/edit?usp=sharing"",""พัทลุง!M562"")+IMPORTRANGE(""https://docs.google.com/spreadsheets/d/1rd4qoM1q_hsgaolqNGfrim9gbsoLxQsda4-vOz5x_BM/edit?usp=sharing"",""ภูเก็ต!M562"")+IMPORTRANGE(""https://docs.google.com/spreadsheets/d/1woKwKjgoL"&amp;"ssDvPcPeVyezB5izizAn4X1JDrys69n6xI/edit?usp=sharing"",""ยะลา!M562"")+IMPORTRANGE(""https://docs.google.com/spreadsheets/d/1qfrKjzMhm2HJfxQ-qVlJlJQ25Hne1d0khsySbZyGtPA/edit?usp=sharing"",""ระนอง!M562"")+IMPORTRANGE(""https://docs.google.com/spreadsheets/d/"&amp;"1IbSCnFOKpZsnFogBHJnL_isstZVaOMnFiIN0fGTPZZw/edit?usp=sharing"",""สงขลา!M562"")+IMPORTRANGE(""https://docs.google.com/spreadsheets/d/1q9nWasZJ-K8bFGvbE9n0qSRuKGA4Toe3Y89cKCiVtCU/edit?usp=sharing"",""สตูล!M562"")+IMPORTRANGE(""https://docs.google.com/sprea"&amp;"dsheets/d/18T20gbkS_WBjdscyTOV05cvq_JqvqQ17C81mpxf7Ncs/edit?usp=sharing"",""สุราษฎร์ธานี!M562"")"),0)</f>
        <v>0</v>
      </c>
      <c r="N562" s="49">
        <f ca="1">IFERROR(__xludf.DUMMYFUNCTION("IMPORTRANGE(""https://docs.google.com/spreadsheets/d/1kKUcYdkIfrgTSj8iHHHB2MD2FAtwyyocFgqGQn6ADyI/edit?usp=sharing"",""กระบี่!N562"")+IMPORTRANGE(""https://docs.google.com/spreadsheets/d/1GwtLaSlNZkLk7iDqcyZz22giiy40b_usZZBXYciEN1U/edit?usp=sharing"",""ชุ"&amp;"มพร!N562"")+IMPORTRANGE(""https://docs.google.com/spreadsheets/d/16pAz3pOhQEZBhvFNMa5KGgZS6iKWpsKX0pg6tQmwFpo/edit?usp=sharing"",""ตรัง!N562"")+IMPORTRANGE(""https://docs.google.com/spreadsheets/d/1Dj4jcHCTV9JXKCaMoheSXS52JE63kDKyG7bPXnFogHk/edit?usp=shar"&amp;"ing"",""นครศรีธรรมราช!N562"")+IMPORTRANGE(""https://docs.google.com/spreadsheets/d/1iodCdmuK2GR3jzUwk8tpccY2JHQQA-87DLOtJP-ooyU/edit?usp=sharing"",""นราธิวาส!N562"")+IMPORTRANGE(""https://docs.google.com/spreadsheets/d/1SDNX3JhDdYRuIOsj0Wh2M-Qa_eaXl0NbWmh"&amp;"AOTbfQAs/edit?usp=sharing"",""ปัตตานี!N562"")+IMPORTRANGE(""https://docs.google.com/spreadsheets/d/16JDLGguT8s5DsGCND1KcwHP_AWR_zDMTqLHPLJUKhaU/edit?usp=sharing"",""พังงา!N562"")+IMPORTRANGE(""https://docs.google.com/spreadsheets/d/17ht0gPKzzT3PObBL1XJkeR"&amp;"mntBXI7wGjpLV7QorqlTk/edit?usp=sharing"",""พัทลุง!N562"")+IMPORTRANGE(""https://docs.google.com/spreadsheets/d/1rd4qoM1q_hsgaolqNGfrim9gbsoLxQsda4-vOz5x_BM/edit?usp=sharing"",""ภูเก็ต!N562"")+IMPORTRANGE(""https://docs.google.com/spreadsheets/d/1woKwKjgoL"&amp;"ssDvPcPeVyezB5izizAn4X1JDrys69n6xI/edit?usp=sharing"",""ยะลา!N562"")+IMPORTRANGE(""https://docs.google.com/spreadsheets/d/1qfrKjzMhm2HJfxQ-qVlJlJQ25Hne1d0khsySbZyGtPA/edit?usp=sharing"",""ระนอง!N562"")+IMPORTRANGE(""https://docs.google.com/spreadsheets/d/"&amp;"1IbSCnFOKpZsnFogBHJnL_isstZVaOMnFiIN0fGTPZZw/edit?usp=sharing"",""สงขลา!N562"")+IMPORTRANGE(""https://docs.google.com/spreadsheets/d/1q9nWasZJ-K8bFGvbE9n0qSRuKGA4Toe3Y89cKCiVtCU/edit?usp=sharing"",""สตูล!N562"")+IMPORTRANGE(""https://docs.google.com/sprea"&amp;"dsheets/d/18T20gbkS_WBjdscyTOV05cvq_JqvqQ17C81mpxf7Ncs/edit?usp=sharing"",""สุราษฎร์ธานี!N562"")"),0)</f>
        <v>0</v>
      </c>
      <c r="O562" s="49">
        <f t="shared" ca="1" si="394"/>
        <v>0</v>
      </c>
      <c r="P562" s="49">
        <f t="shared" ca="1" si="395"/>
        <v>0</v>
      </c>
      <c r="Q562" s="49">
        <f ca="1">IFERROR(__xludf.DUMMYFUNCTION("IMPORTRANGE(""https://docs.google.com/spreadsheets/d/1kKUcYdkIfrgTSj8iHHHB2MD2FAtwyyocFgqGQn6ADyI/edit?usp=sharing"",""กระบี่!Q562"")+IMPORTRANGE(""https://docs.google.com/spreadsheets/d/1GwtLaSlNZkLk7iDqcyZz22giiy40b_usZZBXYciEN1U/edit?usp=sharing"",""ชุ"&amp;"มพร!Q562"")+IMPORTRANGE(""https://docs.google.com/spreadsheets/d/16pAz3pOhQEZBhvFNMa5KGgZS6iKWpsKX0pg6tQmwFpo/edit?usp=sharing"",""ตรัง!Q562"")+IMPORTRANGE(""https://docs.google.com/spreadsheets/d/1Dj4jcHCTV9JXKCaMoheSXS52JE63kDKyG7bPXnFogHk/edit?usp=shar"&amp;"ing"",""นครศรีธรรมราช!Q562"")+IMPORTRANGE(""https://docs.google.com/spreadsheets/d/1iodCdmuK2GR3jzUwk8tpccY2JHQQA-87DLOtJP-ooyU/edit?usp=sharing"",""นราธิวาส!Q562"")+IMPORTRANGE(""https://docs.google.com/spreadsheets/d/1SDNX3JhDdYRuIOsj0Wh2M-Qa_eaXl0NbWmh"&amp;"AOTbfQAs/edit?usp=sharing"",""ปัตตานี!Q562"")+IMPORTRANGE(""https://docs.google.com/spreadsheets/d/16JDLGguT8s5DsGCND1KcwHP_AWR_zDMTqLHPLJUKhaU/edit?usp=sharing"",""พังงา!Q562"")+IMPORTRANGE(""https://docs.google.com/spreadsheets/d/17ht0gPKzzT3PObBL1XJkeR"&amp;"mntBXI7wGjpLV7QorqlTk/edit?usp=sharing"",""พัทลุง!Q562"")+IMPORTRANGE(""https://docs.google.com/spreadsheets/d/1rd4qoM1q_hsgaolqNGfrim9gbsoLxQsda4-vOz5x_BM/edit?usp=sharing"",""ภูเก็ต!Q562"")+IMPORTRANGE(""https://docs.google.com/spreadsheets/d/1woKwKjgoL"&amp;"ssDvPcPeVyezB5izizAn4X1JDrys69n6xI/edit?usp=sharing"",""ยะลา!Q562"")+IMPORTRANGE(""https://docs.google.com/spreadsheets/d/1qfrKjzMhm2HJfxQ-qVlJlJQ25Hne1d0khsySbZyGtPA/edit?usp=sharing"",""ระนอง!Q562"")+IMPORTRANGE(""https://docs.google.com/spreadsheets/d/"&amp;"1IbSCnFOKpZsnFogBHJnL_isstZVaOMnFiIN0fGTPZZw/edit?usp=sharing"",""สงขลา!Q562"")+IMPORTRANGE(""https://docs.google.com/spreadsheets/d/1q9nWasZJ-K8bFGvbE9n0qSRuKGA4Toe3Y89cKCiVtCU/edit?usp=sharing"",""สตูล!Q562"")+IMPORTRANGE(""https://docs.google.com/sprea"&amp;"dsheets/d/18T20gbkS_WBjdscyTOV05cvq_JqvqQ17C81mpxf7Ncs/edit?usp=sharing"",""สุราษฎร์ธานี!Q562"")"),0)</f>
        <v>0</v>
      </c>
      <c r="R562" s="49">
        <f ca="1">IFERROR(__xludf.DUMMYFUNCTION("IMPORTRANGE(""https://docs.google.com/spreadsheets/d/1kKUcYdkIfrgTSj8iHHHB2MD2FAtwyyocFgqGQn6ADyI/edit?usp=sharing"",""กระบี่!R562"")+IMPORTRANGE(""https://docs.google.com/spreadsheets/d/1GwtLaSlNZkLk7iDqcyZz22giiy40b_usZZBXYciEN1U/edit?usp=sharing"",""ชุ"&amp;"มพร!R562"")+IMPORTRANGE(""https://docs.google.com/spreadsheets/d/16pAz3pOhQEZBhvFNMa5KGgZS6iKWpsKX0pg6tQmwFpo/edit?usp=sharing"",""ตรัง!R562"")+IMPORTRANGE(""https://docs.google.com/spreadsheets/d/1Dj4jcHCTV9JXKCaMoheSXS52JE63kDKyG7bPXnFogHk/edit?usp=shar"&amp;"ing"",""นครศรีธรรมราช!R562"")+IMPORTRANGE(""https://docs.google.com/spreadsheets/d/1iodCdmuK2GR3jzUwk8tpccY2JHQQA-87DLOtJP-ooyU/edit?usp=sharing"",""นราธิวาส!R562"")+IMPORTRANGE(""https://docs.google.com/spreadsheets/d/1SDNX3JhDdYRuIOsj0Wh2M-Qa_eaXl0NbWmh"&amp;"AOTbfQAs/edit?usp=sharing"",""ปัตตานี!R562"")+IMPORTRANGE(""https://docs.google.com/spreadsheets/d/16JDLGguT8s5DsGCND1KcwHP_AWR_zDMTqLHPLJUKhaU/edit?usp=sharing"",""พังงา!R562"")+IMPORTRANGE(""https://docs.google.com/spreadsheets/d/17ht0gPKzzT3PObBL1XJkeR"&amp;"mntBXI7wGjpLV7QorqlTk/edit?usp=sharing"",""พัทลุง!R562"")+IMPORTRANGE(""https://docs.google.com/spreadsheets/d/1rd4qoM1q_hsgaolqNGfrim9gbsoLxQsda4-vOz5x_BM/edit?usp=sharing"",""ภูเก็ต!R562"")+IMPORTRANGE(""https://docs.google.com/spreadsheets/d/1woKwKjgoL"&amp;"ssDvPcPeVyezB5izizAn4X1JDrys69n6xI/edit?usp=sharing"",""ยะลา!R562"")+IMPORTRANGE(""https://docs.google.com/spreadsheets/d/1qfrKjzMhm2HJfxQ-qVlJlJQ25Hne1d0khsySbZyGtPA/edit?usp=sharing"",""ระนอง!R562"")+IMPORTRANGE(""https://docs.google.com/spreadsheets/d/"&amp;"1IbSCnFOKpZsnFogBHJnL_isstZVaOMnFiIN0fGTPZZw/edit?usp=sharing"",""สงขลา!R562"")+IMPORTRANGE(""https://docs.google.com/spreadsheets/d/1q9nWasZJ-K8bFGvbE9n0qSRuKGA4Toe3Y89cKCiVtCU/edit?usp=sharing"",""สตูล!R562"")+IMPORTRANGE(""https://docs.google.com/sprea"&amp;"dsheets/d/18T20gbkS_WBjdscyTOV05cvq_JqvqQ17C81mpxf7Ncs/edit?usp=sharing"",""สุราษฎร์ธานี!R562"")"),0)</f>
        <v>0</v>
      </c>
      <c r="S562" s="49">
        <f ca="1">IFERROR(__xludf.DUMMYFUNCTION("IMPORTRANGE(""https://docs.google.com/spreadsheets/d/1kKUcYdkIfrgTSj8iHHHB2MD2FAtwyyocFgqGQn6ADyI/edit?usp=sharing"",""กระบี่!S562"")+IMPORTRANGE(""https://docs.google.com/spreadsheets/d/1GwtLaSlNZkLk7iDqcyZz22giiy40b_usZZBXYciEN1U/edit?usp=sharing"",""ชุ"&amp;"มพร!S562"")+IMPORTRANGE(""https://docs.google.com/spreadsheets/d/16pAz3pOhQEZBhvFNMa5KGgZS6iKWpsKX0pg6tQmwFpo/edit?usp=sharing"",""ตรัง!S562"")+IMPORTRANGE(""https://docs.google.com/spreadsheets/d/1Dj4jcHCTV9JXKCaMoheSXS52JE63kDKyG7bPXnFogHk/edit?usp=shar"&amp;"ing"",""นครศรีธรรมราช!S562"")+IMPORTRANGE(""https://docs.google.com/spreadsheets/d/1iodCdmuK2GR3jzUwk8tpccY2JHQQA-87DLOtJP-ooyU/edit?usp=sharing"",""นราธิวาส!S562"")+IMPORTRANGE(""https://docs.google.com/spreadsheets/d/1SDNX3JhDdYRuIOsj0Wh2M-Qa_eaXl0NbWmh"&amp;"AOTbfQAs/edit?usp=sharing"",""ปัตตานี!S562"")+IMPORTRANGE(""https://docs.google.com/spreadsheets/d/16JDLGguT8s5DsGCND1KcwHP_AWR_zDMTqLHPLJUKhaU/edit?usp=sharing"",""พังงา!S562"")+IMPORTRANGE(""https://docs.google.com/spreadsheets/d/17ht0gPKzzT3PObBL1XJkeR"&amp;"mntBXI7wGjpLV7QorqlTk/edit?usp=sharing"",""พัทลุง!S562"")+IMPORTRANGE(""https://docs.google.com/spreadsheets/d/1rd4qoM1q_hsgaolqNGfrim9gbsoLxQsda4-vOz5x_BM/edit?usp=sharing"",""ภูเก็ต!S562"")+IMPORTRANGE(""https://docs.google.com/spreadsheets/d/1woKwKjgoL"&amp;"ssDvPcPeVyezB5izizAn4X1JDrys69n6xI/edit?usp=sharing"",""ยะลา!S562"")+IMPORTRANGE(""https://docs.google.com/spreadsheets/d/1qfrKjzMhm2HJfxQ-qVlJlJQ25Hne1d0khsySbZyGtPA/edit?usp=sharing"",""ระนอง!S562"")+IMPORTRANGE(""https://docs.google.com/spreadsheets/d/"&amp;"1IbSCnFOKpZsnFogBHJnL_isstZVaOMnFiIN0fGTPZZw/edit?usp=sharing"",""สงขลา!S562"")+IMPORTRANGE(""https://docs.google.com/spreadsheets/d/1q9nWasZJ-K8bFGvbE9n0qSRuKGA4Toe3Y89cKCiVtCU/edit?usp=sharing"",""สตูล!S562"")+IMPORTRANGE(""https://docs.google.com/sprea"&amp;"dsheets/d/18T20gbkS_WBjdscyTOV05cvq_JqvqQ17C81mpxf7Ncs/edit?usp=sharing"",""สุราษฎร์ธานี!S562"")"),0)</f>
        <v>0</v>
      </c>
      <c r="T562" s="49">
        <f t="shared" ca="1" si="397"/>
        <v>0</v>
      </c>
      <c r="U562" s="49">
        <f t="shared" ca="1" si="398"/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7">
        <f ca="1">IFERROR(__xludf.DUMMYFUNCTION("IMPORTRANGE(""https://docs.google.com/spreadsheets/d/1kKUcYdkIfrgTSj8iHHHB2MD2FAtwyyocFgqGQn6ADyI/edit?usp=sharing"",""กระบี่!L563"")+IMPORTRANGE(""https://docs.google.com/spreadsheets/d/1GwtLaSlNZkLk7iDqcyZz22giiy40b_usZZBXYciEN1U/edit?usp=sharing"",""ชุ"&amp;"มพร!L563"")+IMPORTRANGE(""https://docs.google.com/spreadsheets/d/16pAz3pOhQEZBhvFNMa5KGgZS6iKWpsKX0pg6tQmwFpo/edit?usp=sharing"",""ตรัง!L563"")+IMPORTRANGE(""https://docs.google.com/spreadsheets/d/1Dj4jcHCTV9JXKCaMoheSXS52JE63kDKyG7bPXnFogHk/edit?usp=shar"&amp;"ing"",""นครศรีธรรมราช!L563"")+IMPORTRANGE(""https://docs.google.com/spreadsheets/d/1iodCdmuK2GR3jzUwk8tpccY2JHQQA-87DLOtJP-ooyU/edit?usp=sharing"",""นราธิวาส!L563"")+IMPORTRANGE(""https://docs.google.com/spreadsheets/d/1SDNX3JhDdYRuIOsj0Wh2M-Qa_eaXl0NbWmh"&amp;"AOTbfQAs/edit?usp=sharing"",""ปัตตานี!L563"")+IMPORTRANGE(""https://docs.google.com/spreadsheets/d/16JDLGguT8s5DsGCND1KcwHP_AWR_zDMTqLHPLJUKhaU/edit?usp=sharing"",""พังงา!L563"")+IMPORTRANGE(""https://docs.google.com/spreadsheets/d/17ht0gPKzzT3PObBL1XJkeR"&amp;"mntBXI7wGjpLV7QorqlTk/edit?usp=sharing"",""พัทลุง!L563"")+IMPORTRANGE(""https://docs.google.com/spreadsheets/d/1rd4qoM1q_hsgaolqNGfrim9gbsoLxQsda4-vOz5x_BM/edit?usp=sharing"",""ภูเก็ต!L563"")+IMPORTRANGE(""https://docs.google.com/spreadsheets/d/1woKwKjgoL"&amp;"ssDvPcPeVyezB5izizAn4X1JDrys69n6xI/edit?usp=sharing"",""ยะลา!L563"")+IMPORTRANGE(""https://docs.google.com/spreadsheets/d/1qfrKjzMhm2HJfxQ-qVlJlJQ25Hne1d0khsySbZyGtPA/edit?usp=sharing"",""ระนอง!L563"")+IMPORTRANGE(""https://docs.google.com/spreadsheets/d/"&amp;"1IbSCnFOKpZsnFogBHJnL_isstZVaOMnFiIN0fGTPZZw/edit?usp=sharing"",""สงขลา!L563"")+IMPORTRANGE(""https://docs.google.com/spreadsheets/d/1q9nWasZJ-K8bFGvbE9n0qSRuKGA4Toe3Y89cKCiVtCU/edit?usp=sharing"",""สตูล!L563"")+IMPORTRANGE(""https://docs.google.com/sprea"&amp;"dsheets/d/18T20gbkS_WBjdscyTOV05cvq_JqvqQ17C81mpxf7Ncs/edit?usp=sharing"",""สุราษฎร์ธานี!L563"")"),0)</f>
        <v>0</v>
      </c>
      <c r="M563" s="47">
        <f ca="1">IFERROR(__xludf.DUMMYFUNCTION("IMPORTRANGE(""https://docs.google.com/spreadsheets/d/1kKUcYdkIfrgTSj8iHHHB2MD2FAtwyyocFgqGQn6ADyI/edit?usp=sharing"",""กระบี่!M563"")+IMPORTRANGE(""https://docs.google.com/spreadsheets/d/1GwtLaSlNZkLk7iDqcyZz22giiy40b_usZZBXYciEN1U/edit?usp=sharing"",""ชุ"&amp;"มพร!M563"")+IMPORTRANGE(""https://docs.google.com/spreadsheets/d/16pAz3pOhQEZBhvFNMa5KGgZS6iKWpsKX0pg6tQmwFpo/edit?usp=sharing"",""ตรัง!M563"")+IMPORTRANGE(""https://docs.google.com/spreadsheets/d/1Dj4jcHCTV9JXKCaMoheSXS52JE63kDKyG7bPXnFogHk/edit?usp=shar"&amp;"ing"",""นครศรีธรรมราช!M563"")+IMPORTRANGE(""https://docs.google.com/spreadsheets/d/1iodCdmuK2GR3jzUwk8tpccY2JHQQA-87DLOtJP-ooyU/edit?usp=sharing"",""นราธิวาส!M563"")+IMPORTRANGE(""https://docs.google.com/spreadsheets/d/1SDNX3JhDdYRuIOsj0Wh2M-Qa_eaXl0NbWmh"&amp;"AOTbfQAs/edit?usp=sharing"",""ปัตตานี!M563"")+IMPORTRANGE(""https://docs.google.com/spreadsheets/d/16JDLGguT8s5DsGCND1KcwHP_AWR_zDMTqLHPLJUKhaU/edit?usp=sharing"",""พังงา!M563"")+IMPORTRANGE(""https://docs.google.com/spreadsheets/d/17ht0gPKzzT3PObBL1XJkeR"&amp;"mntBXI7wGjpLV7QorqlTk/edit?usp=sharing"",""พัทลุง!M563"")+IMPORTRANGE(""https://docs.google.com/spreadsheets/d/1rd4qoM1q_hsgaolqNGfrim9gbsoLxQsda4-vOz5x_BM/edit?usp=sharing"",""ภูเก็ต!M563"")+IMPORTRANGE(""https://docs.google.com/spreadsheets/d/1woKwKjgoL"&amp;"ssDvPcPeVyezB5izizAn4X1JDrys69n6xI/edit?usp=sharing"",""ยะลา!M563"")+IMPORTRANGE(""https://docs.google.com/spreadsheets/d/1qfrKjzMhm2HJfxQ-qVlJlJQ25Hne1d0khsySbZyGtPA/edit?usp=sharing"",""ระนอง!M563"")+IMPORTRANGE(""https://docs.google.com/spreadsheets/d/"&amp;"1IbSCnFOKpZsnFogBHJnL_isstZVaOMnFiIN0fGTPZZw/edit?usp=sharing"",""สงขลา!M563"")+IMPORTRANGE(""https://docs.google.com/spreadsheets/d/1q9nWasZJ-K8bFGvbE9n0qSRuKGA4Toe3Y89cKCiVtCU/edit?usp=sharing"",""สตูล!M563"")+IMPORTRANGE(""https://docs.google.com/sprea"&amp;"dsheets/d/18T20gbkS_WBjdscyTOV05cvq_JqvqQ17C81mpxf7Ncs/edit?usp=sharing"",""สุราษฎร์ธานี!M563"")"),0)</f>
        <v>0</v>
      </c>
      <c r="N563" s="47">
        <f ca="1">IFERROR(__xludf.DUMMYFUNCTION("IMPORTRANGE(""https://docs.google.com/spreadsheets/d/1kKUcYdkIfrgTSj8iHHHB2MD2FAtwyyocFgqGQn6ADyI/edit?usp=sharing"",""กระบี่!N563"")+IMPORTRANGE(""https://docs.google.com/spreadsheets/d/1GwtLaSlNZkLk7iDqcyZz22giiy40b_usZZBXYciEN1U/edit?usp=sharing"",""ชุ"&amp;"มพร!N563"")+IMPORTRANGE(""https://docs.google.com/spreadsheets/d/16pAz3pOhQEZBhvFNMa5KGgZS6iKWpsKX0pg6tQmwFpo/edit?usp=sharing"",""ตรัง!N563"")+IMPORTRANGE(""https://docs.google.com/spreadsheets/d/1Dj4jcHCTV9JXKCaMoheSXS52JE63kDKyG7bPXnFogHk/edit?usp=shar"&amp;"ing"",""นครศรีธรรมราช!N563"")+IMPORTRANGE(""https://docs.google.com/spreadsheets/d/1iodCdmuK2GR3jzUwk8tpccY2JHQQA-87DLOtJP-ooyU/edit?usp=sharing"",""นราธิวาส!N563"")+IMPORTRANGE(""https://docs.google.com/spreadsheets/d/1SDNX3JhDdYRuIOsj0Wh2M-Qa_eaXl0NbWmh"&amp;"AOTbfQAs/edit?usp=sharing"",""ปัตตานี!N563"")+IMPORTRANGE(""https://docs.google.com/spreadsheets/d/16JDLGguT8s5DsGCND1KcwHP_AWR_zDMTqLHPLJUKhaU/edit?usp=sharing"",""พังงา!N563"")+IMPORTRANGE(""https://docs.google.com/spreadsheets/d/17ht0gPKzzT3PObBL1XJkeR"&amp;"mntBXI7wGjpLV7QorqlTk/edit?usp=sharing"",""พัทลุง!N563"")+IMPORTRANGE(""https://docs.google.com/spreadsheets/d/1rd4qoM1q_hsgaolqNGfrim9gbsoLxQsda4-vOz5x_BM/edit?usp=sharing"",""ภูเก็ต!N563"")+IMPORTRANGE(""https://docs.google.com/spreadsheets/d/1woKwKjgoL"&amp;"ssDvPcPeVyezB5izizAn4X1JDrys69n6xI/edit?usp=sharing"",""ยะลา!N563"")+IMPORTRANGE(""https://docs.google.com/spreadsheets/d/1qfrKjzMhm2HJfxQ-qVlJlJQ25Hne1d0khsySbZyGtPA/edit?usp=sharing"",""ระนอง!N563"")+IMPORTRANGE(""https://docs.google.com/spreadsheets/d/"&amp;"1IbSCnFOKpZsnFogBHJnL_isstZVaOMnFiIN0fGTPZZw/edit?usp=sharing"",""สงขลา!N563"")+IMPORTRANGE(""https://docs.google.com/spreadsheets/d/1q9nWasZJ-K8bFGvbE9n0qSRuKGA4Toe3Y89cKCiVtCU/edit?usp=sharing"",""สตูล!N563"")+IMPORTRANGE(""https://docs.google.com/sprea"&amp;"dsheets/d/18T20gbkS_WBjdscyTOV05cvq_JqvqQ17C81mpxf7Ncs/edit?usp=sharing"",""สุราษฎร์ธานี!N563"")"),0)</f>
        <v>0</v>
      </c>
      <c r="O563" s="47">
        <f t="shared" ca="1" si="394"/>
        <v>0</v>
      </c>
      <c r="P563" s="47">
        <f t="shared" ca="1" si="395"/>
        <v>0</v>
      </c>
      <c r="Q563" s="47">
        <f ca="1">IFERROR(__xludf.DUMMYFUNCTION("IMPORTRANGE(""https://docs.google.com/spreadsheets/d/1kKUcYdkIfrgTSj8iHHHB2MD2FAtwyyocFgqGQn6ADyI/edit?usp=sharing"",""กระบี่!Q563"")+IMPORTRANGE(""https://docs.google.com/spreadsheets/d/1GwtLaSlNZkLk7iDqcyZz22giiy40b_usZZBXYciEN1U/edit?usp=sharing"",""ชุ"&amp;"มพร!Q563"")+IMPORTRANGE(""https://docs.google.com/spreadsheets/d/16pAz3pOhQEZBhvFNMa5KGgZS6iKWpsKX0pg6tQmwFpo/edit?usp=sharing"",""ตรัง!Q563"")+IMPORTRANGE(""https://docs.google.com/spreadsheets/d/1Dj4jcHCTV9JXKCaMoheSXS52JE63kDKyG7bPXnFogHk/edit?usp=shar"&amp;"ing"",""นครศรีธรรมราช!Q563"")+IMPORTRANGE(""https://docs.google.com/spreadsheets/d/1iodCdmuK2GR3jzUwk8tpccY2JHQQA-87DLOtJP-ooyU/edit?usp=sharing"",""นราธิวาส!Q563"")+IMPORTRANGE(""https://docs.google.com/spreadsheets/d/1SDNX3JhDdYRuIOsj0Wh2M-Qa_eaXl0NbWmh"&amp;"AOTbfQAs/edit?usp=sharing"",""ปัตตานี!Q563"")+IMPORTRANGE(""https://docs.google.com/spreadsheets/d/16JDLGguT8s5DsGCND1KcwHP_AWR_zDMTqLHPLJUKhaU/edit?usp=sharing"",""พังงา!Q563"")+IMPORTRANGE(""https://docs.google.com/spreadsheets/d/17ht0gPKzzT3PObBL1XJkeR"&amp;"mntBXI7wGjpLV7QorqlTk/edit?usp=sharing"",""พัทลุง!Q563"")+IMPORTRANGE(""https://docs.google.com/spreadsheets/d/1rd4qoM1q_hsgaolqNGfrim9gbsoLxQsda4-vOz5x_BM/edit?usp=sharing"",""ภูเก็ต!Q563"")+IMPORTRANGE(""https://docs.google.com/spreadsheets/d/1woKwKjgoL"&amp;"ssDvPcPeVyezB5izizAn4X1JDrys69n6xI/edit?usp=sharing"",""ยะลา!Q563"")+IMPORTRANGE(""https://docs.google.com/spreadsheets/d/1qfrKjzMhm2HJfxQ-qVlJlJQ25Hne1d0khsySbZyGtPA/edit?usp=sharing"",""ระนอง!Q563"")+IMPORTRANGE(""https://docs.google.com/spreadsheets/d/"&amp;"1IbSCnFOKpZsnFogBHJnL_isstZVaOMnFiIN0fGTPZZw/edit?usp=sharing"",""สงขลา!Q563"")+IMPORTRANGE(""https://docs.google.com/spreadsheets/d/1q9nWasZJ-K8bFGvbE9n0qSRuKGA4Toe3Y89cKCiVtCU/edit?usp=sharing"",""สตูล!Q563"")+IMPORTRANGE(""https://docs.google.com/sprea"&amp;"dsheets/d/18T20gbkS_WBjdscyTOV05cvq_JqvqQ17C81mpxf7Ncs/edit?usp=sharing"",""สุราษฎร์ธานี!Q563"")"),0)</f>
        <v>0</v>
      </c>
      <c r="R563" s="47">
        <f ca="1">IFERROR(__xludf.DUMMYFUNCTION("IMPORTRANGE(""https://docs.google.com/spreadsheets/d/1kKUcYdkIfrgTSj8iHHHB2MD2FAtwyyocFgqGQn6ADyI/edit?usp=sharing"",""กระบี่!R563"")+IMPORTRANGE(""https://docs.google.com/spreadsheets/d/1GwtLaSlNZkLk7iDqcyZz22giiy40b_usZZBXYciEN1U/edit?usp=sharing"",""ชุ"&amp;"มพร!R563"")+IMPORTRANGE(""https://docs.google.com/spreadsheets/d/16pAz3pOhQEZBhvFNMa5KGgZS6iKWpsKX0pg6tQmwFpo/edit?usp=sharing"",""ตรัง!R563"")+IMPORTRANGE(""https://docs.google.com/spreadsheets/d/1Dj4jcHCTV9JXKCaMoheSXS52JE63kDKyG7bPXnFogHk/edit?usp=shar"&amp;"ing"",""นครศรีธรรมราช!R563"")+IMPORTRANGE(""https://docs.google.com/spreadsheets/d/1iodCdmuK2GR3jzUwk8tpccY2JHQQA-87DLOtJP-ooyU/edit?usp=sharing"",""นราธิวาส!R563"")+IMPORTRANGE(""https://docs.google.com/spreadsheets/d/1SDNX3JhDdYRuIOsj0Wh2M-Qa_eaXl0NbWmh"&amp;"AOTbfQAs/edit?usp=sharing"",""ปัตตานี!R563"")+IMPORTRANGE(""https://docs.google.com/spreadsheets/d/16JDLGguT8s5DsGCND1KcwHP_AWR_zDMTqLHPLJUKhaU/edit?usp=sharing"",""พังงา!R563"")+IMPORTRANGE(""https://docs.google.com/spreadsheets/d/17ht0gPKzzT3PObBL1XJkeR"&amp;"mntBXI7wGjpLV7QorqlTk/edit?usp=sharing"",""พัทลุง!R563"")+IMPORTRANGE(""https://docs.google.com/spreadsheets/d/1rd4qoM1q_hsgaolqNGfrim9gbsoLxQsda4-vOz5x_BM/edit?usp=sharing"",""ภูเก็ต!R563"")+IMPORTRANGE(""https://docs.google.com/spreadsheets/d/1woKwKjgoL"&amp;"ssDvPcPeVyezB5izizAn4X1JDrys69n6xI/edit?usp=sharing"",""ยะลา!R563"")+IMPORTRANGE(""https://docs.google.com/spreadsheets/d/1qfrKjzMhm2HJfxQ-qVlJlJQ25Hne1d0khsySbZyGtPA/edit?usp=sharing"",""ระนอง!R563"")+IMPORTRANGE(""https://docs.google.com/spreadsheets/d/"&amp;"1IbSCnFOKpZsnFogBHJnL_isstZVaOMnFiIN0fGTPZZw/edit?usp=sharing"",""สงขลา!R563"")+IMPORTRANGE(""https://docs.google.com/spreadsheets/d/1q9nWasZJ-K8bFGvbE9n0qSRuKGA4Toe3Y89cKCiVtCU/edit?usp=sharing"",""สตูล!R563"")+IMPORTRANGE(""https://docs.google.com/sprea"&amp;"dsheets/d/18T20gbkS_WBjdscyTOV05cvq_JqvqQ17C81mpxf7Ncs/edit?usp=sharing"",""สุราษฎร์ธานี!R563"")"),0)</f>
        <v>0</v>
      </c>
      <c r="S563" s="47">
        <f ca="1">IFERROR(__xludf.DUMMYFUNCTION("IMPORTRANGE(""https://docs.google.com/spreadsheets/d/1kKUcYdkIfrgTSj8iHHHB2MD2FAtwyyocFgqGQn6ADyI/edit?usp=sharing"",""กระบี่!S563"")+IMPORTRANGE(""https://docs.google.com/spreadsheets/d/1GwtLaSlNZkLk7iDqcyZz22giiy40b_usZZBXYciEN1U/edit?usp=sharing"",""ชุ"&amp;"มพร!S563"")+IMPORTRANGE(""https://docs.google.com/spreadsheets/d/16pAz3pOhQEZBhvFNMa5KGgZS6iKWpsKX0pg6tQmwFpo/edit?usp=sharing"",""ตรัง!S563"")+IMPORTRANGE(""https://docs.google.com/spreadsheets/d/1Dj4jcHCTV9JXKCaMoheSXS52JE63kDKyG7bPXnFogHk/edit?usp=shar"&amp;"ing"",""นครศรีธรรมราช!S563"")+IMPORTRANGE(""https://docs.google.com/spreadsheets/d/1iodCdmuK2GR3jzUwk8tpccY2JHQQA-87DLOtJP-ooyU/edit?usp=sharing"",""นราธิวาส!S563"")+IMPORTRANGE(""https://docs.google.com/spreadsheets/d/1SDNX3JhDdYRuIOsj0Wh2M-Qa_eaXl0NbWmh"&amp;"AOTbfQAs/edit?usp=sharing"",""ปัตตานี!S563"")+IMPORTRANGE(""https://docs.google.com/spreadsheets/d/16JDLGguT8s5DsGCND1KcwHP_AWR_zDMTqLHPLJUKhaU/edit?usp=sharing"",""พังงา!S563"")+IMPORTRANGE(""https://docs.google.com/spreadsheets/d/17ht0gPKzzT3PObBL1XJkeR"&amp;"mntBXI7wGjpLV7QorqlTk/edit?usp=sharing"",""พัทลุง!S563"")+IMPORTRANGE(""https://docs.google.com/spreadsheets/d/1rd4qoM1q_hsgaolqNGfrim9gbsoLxQsda4-vOz5x_BM/edit?usp=sharing"",""ภูเก็ต!S563"")+IMPORTRANGE(""https://docs.google.com/spreadsheets/d/1woKwKjgoL"&amp;"ssDvPcPeVyezB5izizAn4X1JDrys69n6xI/edit?usp=sharing"",""ยะลา!S563"")+IMPORTRANGE(""https://docs.google.com/spreadsheets/d/1qfrKjzMhm2HJfxQ-qVlJlJQ25Hne1d0khsySbZyGtPA/edit?usp=sharing"",""ระนอง!S563"")+IMPORTRANGE(""https://docs.google.com/spreadsheets/d/"&amp;"1IbSCnFOKpZsnFogBHJnL_isstZVaOMnFiIN0fGTPZZw/edit?usp=sharing"",""สงขลา!S563"")+IMPORTRANGE(""https://docs.google.com/spreadsheets/d/1q9nWasZJ-K8bFGvbE9n0qSRuKGA4Toe3Y89cKCiVtCU/edit?usp=sharing"",""สตูล!S563"")+IMPORTRANGE(""https://docs.google.com/sprea"&amp;"dsheets/d/18T20gbkS_WBjdscyTOV05cvq_JqvqQ17C81mpxf7Ncs/edit?usp=sharing"",""สุราษฎร์ธานี!S563"")"),0)</f>
        <v>0</v>
      </c>
      <c r="T563" s="47">
        <f t="shared" ca="1" si="397"/>
        <v>0</v>
      </c>
      <c r="U563" s="47">
        <f t="shared" ca="1" si="398"/>
        <v>0</v>
      </c>
    </row>
    <row r="564" spans="1:21" ht="19.5" hidden="1" x14ac:dyDescent="0.3">
      <c r="A564" s="138"/>
      <c r="B564" s="139"/>
      <c r="C564" s="386" t="s">
        <v>18</v>
      </c>
      <c r="D564" s="140" t="s">
        <v>38</v>
      </c>
      <c r="E564" s="141"/>
      <c r="F564" s="141"/>
      <c r="G564" s="142"/>
      <c r="H564" s="143"/>
      <c r="I564" s="135"/>
      <c r="J564" s="45"/>
      <c r="K564" s="46"/>
      <c r="L564" s="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247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247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247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247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247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247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247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247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247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336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93" t="s">
        <v>212</v>
      </c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 t="shared" ref="I575:J575" ca="1" si="407">I587</f>
        <v>48</v>
      </c>
      <c r="J575" s="385">
        <f t="shared" ca="1" si="407"/>
        <v>0</v>
      </c>
      <c r="K575" s="377">
        <f ca="1">IF(I575&gt;0,J575*100/I575,0)</f>
        <v>0</v>
      </c>
      <c r="L575" s="378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129" t="s">
        <v>18</v>
      </c>
      <c r="D576" s="13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132">
        <f t="shared" ref="L576:N576" ca="1" si="408">L577+L578</f>
        <v>2615011</v>
      </c>
      <c r="M576" s="132">
        <f t="shared" ca="1" si="408"/>
        <v>2615011</v>
      </c>
      <c r="N576" s="132">
        <f t="shared" ca="1" si="408"/>
        <v>0</v>
      </c>
      <c r="O576" s="132">
        <f t="shared" ref="O576:O584" ca="1" si="409">IF(L576&gt;0,N576*100/L576,0)</f>
        <v>0</v>
      </c>
      <c r="P576" s="132">
        <f t="shared" ref="P576:P584" ca="1" si="410">IF(M576&gt;0,N576*100/M576,0)</f>
        <v>0</v>
      </c>
      <c r="Q576" s="132">
        <f t="shared" ref="Q576:S576" ca="1" si="411">Q577+Q578</f>
        <v>0</v>
      </c>
      <c r="R576" s="132">
        <f t="shared" ca="1" si="411"/>
        <v>0</v>
      </c>
      <c r="S576" s="132">
        <f t="shared" ca="1" si="411"/>
        <v>0</v>
      </c>
      <c r="T576" s="132">
        <f t="shared" ref="T576:T584" ca="1" si="412">IF(Q576&gt;0,S576*100/Q576,0)</f>
        <v>0</v>
      </c>
      <c r="U576" s="132">
        <f t="shared" ref="U576:U584" ca="1" si="413"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9">
        <f t="shared" ref="L577:N577" ca="1" si="414">L580+L583</f>
        <v>0</v>
      </c>
      <c r="M577" s="49">
        <f t="shared" ca="1" si="414"/>
        <v>0</v>
      </c>
      <c r="N577" s="49">
        <f t="shared" ca="1" si="414"/>
        <v>0</v>
      </c>
      <c r="O577" s="49">
        <f t="shared" ca="1" si="409"/>
        <v>0</v>
      </c>
      <c r="P577" s="49">
        <f t="shared" ca="1" si="410"/>
        <v>0</v>
      </c>
      <c r="Q577" s="49">
        <f t="shared" ref="Q577:S577" ca="1" si="415">Q580+Q583</f>
        <v>0</v>
      </c>
      <c r="R577" s="49">
        <f t="shared" ca="1" si="415"/>
        <v>0</v>
      </c>
      <c r="S577" s="49">
        <f t="shared" ca="1" si="415"/>
        <v>0</v>
      </c>
      <c r="T577" s="49">
        <f t="shared" ca="1" si="412"/>
        <v>0</v>
      </c>
      <c r="U577" s="49">
        <f t="shared" ca="1" si="413"/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7">
        <f t="shared" ref="L578:N578" ca="1" si="416">L581+L584</f>
        <v>2615011</v>
      </c>
      <c r="M578" s="47">
        <f t="shared" ca="1" si="416"/>
        <v>2615011</v>
      </c>
      <c r="N578" s="47">
        <f t="shared" ca="1" si="416"/>
        <v>0</v>
      </c>
      <c r="O578" s="47">
        <f t="shared" ca="1" si="409"/>
        <v>0</v>
      </c>
      <c r="P578" s="47">
        <f t="shared" ca="1" si="410"/>
        <v>0</v>
      </c>
      <c r="Q578" s="47">
        <f t="shared" ref="Q578:S578" ca="1" si="417">Q581+Q584</f>
        <v>0</v>
      </c>
      <c r="R578" s="47">
        <f t="shared" ca="1" si="417"/>
        <v>0</v>
      </c>
      <c r="S578" s="47">
        <f t="shared" ca="1" si="417"/>
        <v>0</v>
      </c>
      <c r="T578" s="47">
        <f t="shared" ca="1" si="412"/>
        <v>0</v>
      </c>
      <c r="U578" s="47">
        <f t="shared" ca="1" si="413"/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7">
        <f t="shared" ref="L579:N579" ca="1" si="418">L580+L581</f>
        <v>2615011</v>
      </c>
      <c r="M579" s="47">
        <f t="shared" ca="1" si="418"/>
        <v>2615011</v>
      </c>
      <c r="N579" s="47">
        <f t="shared" ca="1" si="418"/>
        <v>0</v>
      </c>
      <c r="O579" s="47">
        <f t="shared" ca="1" si="409"/>
        <v>0</v>
      </c>
      <c r="P579" s="47">
        <f t="shared" ca="1" si="410"/>
        <v>0</v>
      </c>
      <c r="Q579" s="47">
        <f t="shared" ref="Q579:S579" ca="1" si="419">Q580+Q581</f>
        <v>0</v>
      </c>
      <c r="R579" s="47">
        <f t="shared" ca="1" si="419"/>
        <v>0</v>
      </c>
      <c r="S579" s="47">
        <f t="shared" ca="1" si="419"/>
        <v>0</v>
      </c>
      <c r="T579" s="47">
        <f t="shared" ca="1" si="412"/>
        <v>0</v>
      </c>
      <c r="U579" s="47">
        <f t="shared" ca="1" si="413"/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9">
        <f ca="1">IFERROR(__xludf.DUMMYFUNCTION("IMPORTRANGE(""https://docs.google.com/spreadsheets/d/1kKUcYdkIfrgTSj8iHHHB2MD2FAtwyyocFgqGQn6ADyI/edit?usp=sharing"",""กระบี่!L580"")+IMPORTRANGE(""https://docs.google.com/spreadsheets/d/1GwtLaSlNZkLk7iDqcyZz22giiy40b_usZZBXYciEN1U/edit?usp=sharing"",""ชุ"&amp;"มพร!L580"")+IMPORTRANGE(""https://docs.google.com/spreadsheets/d/16pAz3pOhQEZBhvFNMa5KGgZS6iKWpsKX0pg6tQmwFpo/edit?usp=sharing"",""ตรัง!L580"")+IMPORTRANGE(""https://docs.google.com/spreadsheets/d/1Dj4jcHCTV9JXKCaMoheSXS52JE63kDKyG7bPXnFogHk/edit?usp=shar"&amp;"ing"",""นครศรีธรรมราช!L580"")+IMPORTRANGE(""https://docs.google.com/spreadsheets/d/1iodCdmuK2GR3jzUwk8tpccY2JHQQA-87DLOtJP-ooyU/edit?usp=sharing"",""นราธิวาส!L580"")+IMPORTRANGE(""https://docs.google.com/spreadsheets/d/1SDNX3JhDdYRuIOsj0Wh2M-Qa_eaXl0NbWmh"&amp;"AOTbfQAs/edit?usp=sharing"",""ปัตตานี!L580"")+IMPORTRANGE(""https://docs.google.com/spreadsheets/d/16JDLGguT8s5DsGCND1KcwHP_AWR_zDMTqLHPLJUKhaU/edit?usp=sharing"",""พังงา!L580"")+IMPORTRANGE(""https://docs.google.com/spreadsheets/d/17ht0gPKzzT3PObBL1XJkeR"&amp;"mntBXI7wGjpLV7QorqlTk/edit?usp=sharing"",""พัทลุง!L580"")+IMPORTRANGE(""https://docs.google.com/spreadsheets/d/1rd4qoM1q_hsgaolqNGfrim9gbsoLxQsda4-vOz5x_BM/edit?usp=sharing"",""ภูเก็ต!L580"")+IMPORTRANGE(""https://docs.google.com/spreadsheets/d/1woKwKjgoL"&amp;"ssDvPcPeVyezB5izizAn4X1JDrys69n6xI/edit?usp=sharing"",""ยะลา!L580"")+IMPORTRANGE(""https://docs.google.com/spreadsheets/d/1qfrKjzMhm2HJfxQ-qVlJlJQ25Hne1d0khsySbZyGtPA/edit?usp=sharing"",""ระนอง!L580"")+IMPORTRANGE(""https://docs.google.com/spreadsheets/d/"&amp;"1IbSCnFOKpZsnFogBHJnL_isstZVaOMnFiIN0fGTPZZw/edit?usp=sharing"",""สงขลา!L580"")+IMPORTRANGE(""https://docs.google.com/spreadsheets/d/1q9nWasZJ-K8bFGvbE9n0qSRuKGA4Toe3Y89cKCiVtCU/edit?usp=sharing"",""สตูล!L580"")+IMPORTRANGE(""https://docs.google.com/sprea"&amp;"dsheets/d/18T20gbkS_WBjdscyTOV05cvq_JqvqQ17C81mpxf7Ncs/edit?usp=sharing"",""สุราษฎร์ธานี!L580"")"),0)</f>
        <v>0</v>
      </c>
      <c r="M580" s="49">
        <f ca="1">IFERROR(__xludf.DUMMYFUNCTION("IMPORTRANGE(""https://docs.google.com/spreadsheets/d/1kKUcYdkIfrgTSj8iHHHB2MD2FAtwyyocFgqGQn6ADyI/edit?usp=sharing"",""กระบี่!M580"")+IMPORTRANGE(""https://docs.google.com/spreadsheets/d/1GwtLaSlNZkLk7iDqcyZz22giiy40b_usZZBXYciEN1U/edit?usp=sharing"",""ชุ"&amp;"มพร!M580"")+IMPORTRANGE(""https://docs.google.com/spreadsheets/d/16pAz3pOhQEZBhvFNMa5KGgZS6iKWpsKX0pg6tQmwFpo/edit?usp=sharing"",""ตรัง!M580"")+IMPORTRANGE(""https://docs.google.com/spreadsheets/d/1Dj4jcHCTV9JXKCaMoheSXS52JE63kDKyG7bPXnFogHk/edit?usp=shar"&amp;"ing"",""นครศรีธรรมราช!M580"")+IMPORTRANGE(""https://docs.google.com/spreadsheets/d/1iodCdmuK2GR3jzUwk8tpccY2JHQQA-87DLOtJP-ooyU/edit?usp=sharing"",""นราธิวาส!M580"")+IMPORTRANGE(""https://docs.google.com/spreadsheets/d/1SDNX3JhDdYRuIOsj0Wh2M-Qa_eaXl0NbWmh"&amp;"AOTbfQAs/edit?usp=sharing"",""ปัตตานี!M580"")+IMPORTRANGE(""https://docs.google.com/spreadsheets/d/16JDLGguT8s5DsGCND1KcwHP_AWR_zDMTqLHPLJUKhaU/edit?usp=sharing"",""พังงา!M580"")+IMPORTRANGE(""https://docs.google.com/spreadsheets/d/17ht0gPKzzT3PObBL1XJkeR"&amp;"mntBXI7wGjpLV7QorqlTk/edit?usp=sharing"",""พัทลุง!M580"")+IMPORTRANGE(""https://docs.google.com/spreadsheets/d/1rd4qoM1q_hsgaolqNGfrim9gbsoLxQsda4-vOz5x_BM/edit?usp=sharing"",""ภูเก็ต!M580"")+IMPORTRANGE(""https://docs.google.com/spreadsheets/d/1woKwKjgoL"&amp;"ssDvPcPeVyezB5izizAn4X1JDrys69n6xI/edit?usp=sharing"",""ยะลา!M580"")+IMPORTRANGE(""https://docs.google.com/spreadsheets/d/1qfrKjzMhm2HJfxQ-qVlJlJQ25Hne1d0khsySbZyGtPA/edit?usp=sharing"",""ระนอง!M580"")+IMPORTRANGE(""https://docs.google.com/spreadsheets/d/"&amp;"1IbSCnFOKpZsnFogBHJnL_isstZVaOMnFiIN0fGTPZZw/edit?usp=sharing"",""สงขลา!M580"")+IMPORTRANGE(""https://docs.google.com/spreadsheets/d/1q9nWasZJ-K8bFGvbE9n0qSRuKGA4Toe3Y89cKCiVtCU/edit?usp=sharing"",""สตูล!M580"")+IMPORTRANGE(""https://docs.google.com/sprea"&amp;"dsheets/d/18T20gbkS_WBjdscyTOV05cvq_JqvqQ17C81mpxf7Ncs/edit?usp=sharing"",""สุราษฎร์ธานี!M580"")"),0)</f>
        <v>0</v>
      </c>
      <c r="N580" s="49">
        <f ca="1">IFERROR(__xludf.DUMMYFUNCTION("IMPORTRANGE(""https://docs.google.com/spreadsheets/d/1kKUcYdkIfrgTSj8iHHHB2MD2FAtwyyocFgqGQn6ADyI/edit?usp=sharing"",""กระบี่!N580"")+IMPORTRANGE(""https://docs.google.com/spreadsheets/d/1GwtLaSlNZkLk7iDqcyZz22giiy40b_usZZBXYciEN1U/edit?usp=sharing"",""ชุ"&amp;"มพร!N580"")+IMPORTRANGE(""https://docs.google.com/spreadsheets/d/16pAz3pOhQEZBhvFNMa5KGgZS6iKWpsKX0pg6tQmwFpo/edit?usp=sharing"",""ตรัง!N580"")+IMPORTRANGE(""https://docs.google.com/spreadsheets/d/1Dj4jcHCTV9JXKCaMoheSXS52JE63kDKyG7bPXnFogHk/edit?usp=shar"&amp;"ing"",""นครศรีธรรมราช!N580"")+IMPORTRANGE(""https://docs.google.com/spreadsheets/d/1iodCdmuK2GR3jzUwk8tpccY2JHQQA-87DLOtJP-ooyU/edit?usp=sharing"",""นราธิวาส!N580"")+IMPORTRANGE(""https://docs.google.com/spreadsheets/d/1SDNX3JhDdYRuIOsj0Wh2M-Qa_eaXl0NbWmh"&amp;"AOTbfQAs/edit?usp=sharing"",""ปัตตานี!N580"")+IMPORTRANGE(""https://docs.google.com/spreadsheets/d/16JDLGguT8s5DsGCND1KcwHP_AWR_zDMTqLHPLJUKhaU/edit?usp=sharing"",""พังงา!N580"")+IMPORTRANGE(""https://docs.google.com/spreadsheets/d/17ht0gPKzzT3PObBL1XJkeR"&amp;"mntBXI7wGjpLV7QorqlTk/edit?usp=sharing"",""พัทลุง!N580"")+IMPORTRANGE(""https://docs.google.com/spreadsheets/d/1rd4qoM1q_hsgaolqNGfrim9gbsoLxQsda4-vOz5x_BM/edit?usp=sharing"",""ภูเก็ต!N580"")+IMPORTRANGE(""https://docs.google.com/spreadsheets/d/1woKwKjgoL"&amp;"ssDvPcPeVyezB5izizAn4X1JDrys69n6xI/edit?usp=sharing"",""ยะลา!N580"")+IMPORTRANGE(""https://docs.google.com/spreadsheets/d/1qfrKjzMhm2HJfxQ-qVlJlJQ25Hne1d0khsySbZyGtPA/edit?usp=sharing"",""ระนอง!N580"")+IMPORTRANGE(""https://docs.google.com/spreadsheets/d/"&amp;"1IbSCnFOKpZsnFogBHJnL_isstZVaOMnFiIN0fGTPZZw/edit?usp=sharing"",""สงขลา!N580"")+IMPORTRANGE(""https://docs.google.com/spreadsheets/d/1q9nWasZJ-K8bFGvbE9n0qSRuKGA4Toe3Y89cKCiVtCU/edit?usp=sharing"",""สตูล!N580"")+IMPORTRANGE(""https://docs.google.com/sprea"&amp;"dsheets/d/18T20gbkS_WBjdscyTOV05cvq_JqvqQ17C81mpxf7Ncs/edit?usp=sharing"",""สุราษฎร์ธานี!N580"")"),0)</f>
        <v>0</v>
      </c>
      <c r="O580" s="49">
        <f t="shared" ca="1" si="409"/>
        <v>0</v>
      </c>
      <c r="P580" s="49">
        <f t="shared" ca="1" si="410"/>
        <v>0</v>
      </c>
      <c r="Q580" s="49">
        <f ca="1">IFERROR(__xludf.DUMMYFUNCTION("IMPORTRANGE(""https://docs.google.com/spreadsheets/d/1kKUcYdkIfrgTSj8iHHHB2MD2FAtwyyocFgqGQn6ADyI/edit?usp=sharing"",""กระบี่!Q580"")+IMPORTRANGE(""https://docs.google.com/spreadsheets/d/1GwtLaSlNZkLk7iDqcyZz22giiy40b_usZZBXYciEN1U/edit?usp=sharing"",""ชุ"&amp;"มพร!Q580"")+IMPORTRANGE(""https://docs.google.com/spreadsheets/d/16pAz3pOhQEZBhvFNMa5KGgZS6iKWpsKX0pg6tQmwFpo/edit?usp=sharing"",""ตรัง!Q580"")+IMPORTRANGE(""https://docs.google.com/spreadsheets/d/1Dj4jcHCTV9JXKCaMoheSXS52JE63kDKyG7bPXnFogHk/edit?usp=shar"&amp;"ing"",""นครศรีธรรมราช!Q580"")+IMPORTRANGE(""https://docs.google.com/spreadsheets/d/1iodCdmuK2GR3jzUwk8tpccY2JHQQA-87DLOtJP-ooyU/edit?usp=sharing"",""นราธิวาส!Q580"")+IMPORTRANGE(""https://docs.google.com/spreadsheets/d/1SDNX3JhDdYRuIOsj0Wh2M-Qa_eaXl0NbWmh"&amp;"AOTbfQAs/edit?usp=sharing"",""ปัตตานี!Q580"")+IMPORTRANGE(""https://docs.google.com/spreadsheets/d/16JDLGguT8s5DsGCND1KcwHP_AWR_zDMTqLHPLJUKhaU/edit?usp=sharing"",""พังงา!Q580"")+IMPORTRANGE(""https://docs.google.com/spreadsheets/d/17ht0gPKzzT3PObBL1XJkeR"&amp;"mntBXI7wGjpLV7QorqlTk/edit?usp=sharing"",""พัทลุง!Q580"")+IMPORTRANGE(""https://docs.google.com/spreadsheets/d/1rd4qoM1q_hsgaolqNGfrim9gbsoLxQsda4-vOz5x_BM/edit?usp=sharing"",""ภูเก็ต!Q580"")+IMPORTRANGE(""https://docs.google.com/spreadsheets/d/1woKwKjgoL"&amp;"ssDvPcPeVyezB5izizAn4X1JDrys69n6xI/edit?usp=sharing"",""ยะลา!Q580"")+IMPORTRANGE(""https://docs.google.com/spreadsheets/d/1qfrKjzMhm2HJfxQ-qVlJlJQ25Hne1d0khsySbZyGtPA/edit?usp=sharing"",""ระนอง!Q580"")+IMPORTRANGE(""https://docs.google.com/spreadsheets/d/"&amp;"1IbSCnFOKpZsnFogBHJnL_isstZVaOMnFiIN0fGTPZZw/edit?usp=sharing"",""สงขลา!Q580"")+IMPORTRANGE(""https://docs.google.com/spreadsheets/d/1q9nWasZJ-K8bFGvbE9n0qSRuKGA4Toe3Y89cKCiVtCU/edit?usp=sharing"",""สตูล!Q580"")+IMPORTRANGE(""https://docs.google.com/sprea"&amp;"dsheets/d/18T20gbkS_WBjdscyTOV05cvq_JqvqQ17C81mpxf7Ncs/edit?usp=sharing"",""สุราษฎร์ธานี!Q580"")"),0)</f>
        <v>0</v>
      </c>
      <c r="R580" s="49">
        <f ca="1">IFERROR(__xludf.DUMMYFUNCTION("IMPORTRANGE(""https://docs.google.com/spreadsheets/d/1kKUcYdkIfrgTSj8iHHHB2MD2FAtwyyocFgqGQn6ADyI/edit?usp=sharing"",""กระบี่!R580"")+IMPORTRANGE(""https://docs.google.com/spreadsheets/d/1GwtLaSlNZkLk7iDqcyZz22giiy40b_usZZBXYciEN1U/edit?usp=sharing"",""ชุ"&amp;"มพร!R580"")+IMPORTRANGE(""https://docs.google.com/spreadsheets/d/16pAz3pOhQEZBhvFNMa5KGgZS6iKWpsKX0pg6tQmwFpo/edit?usp=sharing"",""ตรัง!R580"")+IMPORTRANGE(""https://docs.google.com/spreadsheets/d/1Dj4jcHCTV9JXKCaMoheSXS52JE63kDKyG7bPXnFogHk/edit?usp=shar"&amp;"ing"",""นครศรีธรรมราช!R580"")+IMPORTRANGE(""https://docs.google.com/spreadsheets/d/1iodCdmuK2GR3jzUwk8tpccY2JHQQA-87DLOtJP-ooyU/edit?usp=sharing"",""นราธิวาส!R580"")+IMPORTRANGE(""https://docs.google.com/spreadsheets/d/1SDNX3JhDdYRuIOsj0Wh2M-Qa_eaXl0NbWmh"&amp;"AOTbfQAs/edit?usp=sharing"",""ปัตตานี!R580"")+IMPORTRANGE(""https://docs.google.com/spreadsheets/d/16JDLGguT8s5DsGCND1KcwHP_AWR_zDMTqLHPLJUKhaU/edit?usp=sharing"",""พังงา!R580"")+IMPORTRANGE(""https://docs.google.com/spreadsheets/d/17ht0gPKzzT3PObBL1XJkeR"&amp;"mntBXI7wGjpLV7QorqlTk/edit?usp=sharing"",""พัทลุง!R580"")+IMPORTRANGE(""https://docs.google.com/spreadsheets/d/1rd4qoM1q_hsgaolqNGfrim9gbsoLxQsda4-vOz5x_BM/edit?usp=sharing"",""ภูเก็ต!R580"")+IMPORTRANGE(""https://docs.google.com/spreadsheets/d/1woKwKjgoL"&amp;"ssDvPcPeVyezB5izizAn4X1JDrys69n6xI/edit?usp=sharing"",""ยะลา!R580"")+IMPORTRANGE(""https://docs.google.com/spreadsheets/d/1qfrKjzMhm2HJfxQ-qVlJlJQ25Hne1d0khsySbZyGtPA/edit?usp=sharing"",""ระนอง!R580"")+IMPORTRANGE(""https://docs.google.com/spreadsheets/d/"&amp;"1IbSCnFOKpZsnFogBHJnL_isstZVaOMnFiIN0fGTPZZw/edit?usp=sharing"",""สงขลา!R580"")+IMPORTRANGE(""https://docs.google.com/spreadsheets/d/1q9nWasZJ-K8bFGvbE9n0qSRuKGA4Toe3Y89cKCiVtCU/edit?usp=sharing"",""สตูล!R580"")+IMPORTRANGE(""https://docs.google.com/sprea"&amp;"dsheets/d/18T20gbkS_WBjdscyTOV05cvq_JqvqQ17C81mpxf7Ncs/edit?usp=sharing"",""สุราษฎร์ธานี!R580"")"),0)</f>
        <v>0</v>
      </c>
      <c r="S580" s="49">
        <f ca="1">IFERROR(__xludf.DUMMYFUNCTION("IMPORTRANGE(""https://docs.google.com/spreadsheets/d/1kKUcYdkIfrgTSj8iHHHB2MD2FAtwyyocFgqGQn6ADyI/edit?usp=sharing"",""กระบี่!S580"")+IMPORTRANGE(""https://docs.google.com/spreadsheets/d/1GwtLaSlNZkLk7iDqcyZz22giiy40b_usZZBXYciEN1U/edit?usp=sharing"",""ชุ"&amp;"มพร!S580"")+IMPORTRANGE(""https://docs.google.com/spreadsheets/d/16pAz3pOhQEZBhvFNMa5KGgZS6iKWpsKX0pg6tQmwFpo/edit?usp=sharing"",""ตรัง!S580"")+IMPORTRANGE(""https://docs.google.com/spreadsheets/d/1Dj4jcHCTV9JXKCaMoheSXS52JE63kDKyG7bPXnFogHk/edit?usp=shar"&amp;"ing"",""นครศรีธรรมราช!S580"")+IMPORTRANGE(""https://docs.google.com/spreadsheets/d/1iodCdmuK2GR3jzUwk8tpccY2JHQQA-87DLOtJP-ooyU/edit?usp=sharing"",""นราธิวาส!S580"")+IMPORTRANGE(""https://docs.google.com/spreadsheets/d/1SDNX3JhDdYRuIOsj0Wh2M-Qa_eaXl0NbWmh"&amp;"AOTbfQAs/edit?usp=sharing"",""ปัตตานี!S580"")+IMPORTRANGE(""https://docs.google.com/spreadsheets/d/16JDLGguT8s5DsGCND1KcwHP_AWR_zDMTqLHPLJUKhaU/edit?usp=sharing"",""พังงา!S580"")+IMPORTRANGE(""https://docs.google.com/spreadsheets/d/17ht0gPKzzT3PObBL1XJkeR"&amp;"mntBXI7wGjpLV7QorqlTk/edit?usp=sharing"",""พัทลุง!S580"")+IMPORTRANGE(""https://docs.google.com/spreadsheets/d/1rd4qoM1q_hsgaolqNGfrim9gbsoLxQsda4-vOz5x_BM/edit?usp=sharing"",""ภูเก็ต!S580"")+IMPORTRANGE(""https://docs.google.com/spreadsheets/d/1woKwKjgoL"&amp;"ssDvPcPeVyezB5izizAn4X1JDrys69n6xI/edit?usp=sharing"",""ยะลา!S580"")+IMPORTRANGE(""https://docs.google.com/spreadsheets/d/1qfrKjzMhm2HJfxQ-qVlJlJQ25Hne1d0khsySbZyGtPA/edit?usp=sharing"",""ระนอง!S580"")+IMPORTRANGE(""https://docs.google.com/spreadsheets/d/"&amp;"1IbSCnFOKpZsnFogBHJnL_isstZVaOMnFiIN0fGTPZZw/edit?usp=sharing"",""สงขลา!S580"")+IMPORTRANGE(""https://docs.google.com/spreadsheets/d/1q9nWasZJ-K8bFGvbE9n0qSRuKGA4Toe3Y89cKCiVtCU/edit?usp=sharing"",""สตูล!S580"")+IMPORTRANGE(""https://docs.google.com/sprea"&amp;"dsheets/d/18T20gbkS_WBjdscyTOV05cvq_JqvqQ17C81mpxf7Ncs/edit?usp=sharing"",""สุราษฎร์ธานี!S580"")"),0)</f>
        <v>0</v>
      </c>
      <c r="T580" s="49">
        <f t="shared" ca="1" si="412"/>
        <v>0</v>
      </c>
      <c r="U580" s="49">
        <f t="shared" ca="1" si="413"/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7">
        <f ca="1">IFERROR(__xludf.DUMMYFUNCTION("IMPORTRANGE(""https://docs.google.com/spreadsheets/d/1kKUcYdkIfrgTSj8iHHHB2MD2FAtwyyocFgqGQn6ADyI/edit?usp=sharing"",""กระบี่!L581"")+IMPORTRANGE(""https://docs.google.com/spreadsheets/d/1GwtLaSlNZkLk7iDqcyZz22giiy40b_usZZBXYciEN1U/edit?usp=sharing"",""ชุ"&amp;"มพร!L581"")+IMPORTRANGE(""https://docs.google.com/spreadsheets/d/16pAz3pOhQEZBhvFNMa5KGgZS6iKWpsKX0pg6tQmwFpo/edit?usp=sharing"",""ตรัง!L581"")+IMPORTRANGE(""https://docs.google.com/spreadsheets/d/1Dj4jcHCTV9JXKCaMoheSXS52JE63kDKyG7bPXnFogHk/edit?usp=shar"&amp;"ing"",""นครศรีธรรมราช!L581"")+IMPORTRANGE(""https://docs.google.com/spreadsheets/d/1iodCdmuK2GR3jzUwk8tpccY2JHQQA-87DLOtJP-ooyU/edit?usp=sharing"",""นราธิวาส!L581"")+IMPORTRANGE(""https://docs.google.com/spreadsheets/d/1SDNX3JhDdYRuIOsj0Wh2M-Qa_eaXl0NbWmh"&amp;"AOTbfQAs/edit?usp=sharing"",""ปัตตานี!L581"")+IMPORTRANGE(""https://docs.google.com/spreadsheets/d/16JDLGguT8s5DsGCND1KcwHP_AWR_zDMTqLHPLJUKhaU/edit?usp=sharing"",""พังงา!L581"")+IMPORTRANGE(""https://docs.google.com/spreadsheets/d/17ht0gPKzzT3PObBL1XJkeR"&amp;"mntBXI7wGjpLV7QorqlTk/edit?usp=sharing"",""พัทลุง!L581"")+IMPORTRANGE(""https://docs.google.com/spreadsheets/d/1rd4qoM1q_hsgaolqNGfrim9gbsoLxQsda4-vOz5x_BM/edit?usp=sharing"",""ภูเก็ต!L581"")+IMPORTRANGE(""https://docs.google.com/spreadsheets/d/1woKwKjgoL"&amp;"ssDvPcPeVyezB5izizAn4X1JDrys69n6xI/edit?usp=sharing"",""ยะลา!L581"")+IMPORTRANGE(""https://docs.google.com/spreadsheets/d/1qfrKjzMhm2HJfxQ-qVlJlJQ25Hne1d0khsySbZyGtPA/edit?usp=sharing"",""ระนอง!L581"")+IMPORTRANGE(""https://docs.google.com/spreadsheets/d/"&amp;"1IbSCnFOKpZsnFogBHJnL_isstZVaOMnFiIN0fGTPZZw/edit?usp=sharing"",""สงขลา!L581"")+IMPORTRANGE(""https://docs.google.com/spreadsheets/d/1q9nWasZJ-K8bFGvbE9n0qSRuKGA4Toe3Y89cKCiVtCU/edit?usp=sharing"",""สตูล!L581"")+IMPORTRANGE(""https://docs.google.com/sprea"&amp;"dsheets/d/18T20gbkS_WBjdscyTOV05cvq_JqvqQ17C81mpxf7Ncs/edit?usp=sharing"",""สุราษฎร์ธานี!L581"")"),2615011)</f>
        <v>2615011</v>
      </c>
      <c r="M581" s="47">
        <f ca="1">IFERROR(__xludf.DUMMYFUNCTION("IMPORTRANGE(""https://docs.google.com/spreadsheets/d/1kKUcYdkIfrgTSj8iHHHB2MD2FAtwyyocFgqGQn6ADyI/edit?usp=sharing"",""กระบี่!M581"")+IMPORTRANGE(""https://docs.google.com/spreadsheets/d/1GwtLaSlNZkLk7iDqcyZz22giiy40b_usZZBXYciEN1U/edit?usp=sharing"",""ชุ"&amp;"มพร!M581"")+IMPORTRANGE(""https://docs.google.com/spreadsheets/d/16pAz3pOhQEZBhvFNMa5KGgZS6iKWpsKX0pg6tQmwFpo/edit?usp=sharing"",""ตรัง!M581"")+IMPORTRANGE(""https://docs.google.com/spreadsheets/d/1Dj4jcHCTV9JXKCaMoheSXS52JE63kDKyG7bPXnFogHk/edit?usp=shar"&amp;"ing"",""นครศรีธรรมราช!M581"")+IMPORTRANGE(""https://docs.google.com/spreadsheets/d/1iodCdmuK2GR3jzUwk8tpccY2JHQQA-87DLOtJP-ooyU/edit?usp=sharing"",""นราธิวาส!M581"")+IMPORTRANGE(""https://docs.google.com/spreadsheets/d/1SDNX3JhDdYRuIOsj0Wh2M-Qa_eaXl0NbWmh"&amp;"AOTbfQAs/edit?usp=sharing"",""ปัตตานี!M581"")+IMPORTRANGE(""https://docs.google.com/spreadsheets/d/16JDLGguT8s5DsGCND1KcwHP_AWR_zDMTqLHPLJUKhaU/edit?usp=sharing"",""พังงา!M581"")+IMPORTRANGE(""https://docs.google.com/spreadsheets/d/17ht0gPKzzT3PObBL1XJkeR"&amp;"mntBXI7wGjpLV7QorqlTk/edit?usp=sharing"",""พัทลุง!M581"")+IMPORTRANGE(""https://docs.google.com/spreadsheets/d/1rd4qoM1q_hsgaolqNGfrim9gbsoLxQsda4-vOz5x_BM/edit?usp=sharing"",""ภูเก็ต!M581"")+IMPORTRANGE(""https://docs.google.com/spreadsheets/d/1woKwKjgoL"&amp;"ssDvPcPeVyezB5izizAn4X1JDrys69n6xI/edit?usp=sharing"",""ยะลา!M581"")+IMPORTRANGE(""https://docs.google.com/spreadsheets/d/1qfrKjzMhm2HJfxQ-qVlJlJQ25Hne1d0khsySbZyGtPA/edit?usp=sharing"",""ระนอง!M581"")+IMPORTRANGE(""https://docs.google.com/spreadsheets/d/"&amp;"1IbSCnFOKpZsnFogBHJnL_isstZVaOMnFiIN0fGTPZZw/edit?usp=sharing"",""สงขลา!M581"")+IMPORTRANGE(""https://docs.google.com/spreadsheets/d/1q9nWasZJ-K8bFGvbE9n0qSRuKGA4Toe3Y89cKCiVtCU/edit?usp=sharing"",""สตูล!M581"")+IMPORTRANGE(""https://docs.google.com/sprea"&amp;"dsheets/d/18T20gbkS_WBjdscyTOV05cvq_JqvqQ17C81mpxf7Ncs/edit?usp=sharing"",""สุราษฎร์ธานี!M581"")"),2615011)</f>
        <v>2615011</v>
      </c>
      <c r="N581" s="47">
        <f ca="1">IFERROR(__xludf.DUMMYFUNCTION("IMPORTRANGE(""https://docs.google.com/spreadsheets/d/1kKUcYdkIfrgTSj8iHHHB2MD2FAtwyyocFgqGQn6ADyI/edit?usp=sharing"",""กระบี่!N581"")+IMPORTRANGE(""https://docs.google.com/spreadsheets/d/1GwtLaSlNZkLk7iDqcyZz22giiy40b_usZZBXYciEN1U/edit?usp=sharing"",""ชุ"&amp;"มพร!N581"")+IMPORTRANGE(""https://docs.google.com/spreadsheets/d/16pAz3pOhQEZBhvFNMa5KGgZS6iKWpsKX0pg6tQmwFpo/edit?usp=sharing"",""ตรัง!N581"")+IMPORTRANGE(""https://docs.google.com/spreadsheets/d/1Dj4jcHCTV9JXKCaMoheSXS52JE63kDKyG7bPXnFogHk/edit?usp=shar"&amp;"ing"",""นครศรีธรรมราช!N581"")+IMPORTRANGE(""https://docs.google.com/spreadsheets/d/1iodCdmuK2GR3jzUwk8tpccY2JHQQA-87DLOtJP-ooyU/edit?usp=sharing"",""นราธิวาส!N581"")+IMPORTRANGE(""https://docs.google.com/spreadsheets/d/1SDNX3JhDdYRuIOsj0Wh2M-Qa_eaXl0NbWmh"&amp;"AOTbfQAs/edit?usp=sharing"",""ปัตตานี!N581"")+IMPORTRANGE(""https://docs.google.com/spreadsheets/d/16JDLGguT8s5DsGCND1KcwHP_AWR_zDMTqLHPLJUKhaU/edit?usp=sharing"",""พังงา!N581"")+IMPORTRANGE(""https://docs.google.com/spreadsheets/d/17ht0gPKzzT3PObBL1XJkeR"&amp;"mntBXI7wGjpLV7QorqlTk/edit?usp=sharing"",""พัทลุง!N581"")+IMPORTRANGE(""https://docs.google.com/spreadsheets/d/1rd4qoM1q_hsgaolqNGfrim9gbsoLxQsda4-vOz5x_BM/edit?usp=sharing"",""ภูเก็ต!N581"")+IMPORTRANGE(""https://docs.google.com/spreadsheets/d/1woKwKjgoL"&amp;"ssDvPcPeVyezB5izizAn4X1JDrys69n6xI/edit?usp=sharing"",""ยะลา!N581"")+IMPORTRANGE(""https://docs.google.com/spreadsheets/d/1qfrKjzMhm2HJfxQ-qVlJlJQ25Hne1d0khsySbZyGtPA/edit?usp=sharing"",""ระนอง!N581"")+IMPORTRANGE(""https://docs.google.com/spreadsheets/d/"&amp;"1IbSCnFOKpZsnFogBHJnL_isstZVaOMnFiIN0fGTPZZw/edit?usp=sharing"",""สงขลา!N581"")+IMPORTRANGE(""https://docs.google.com/spreadsheets/d/1q9nWasZJ-K8bFGvbE9n0qSRuKGA4Toe3Y89cKCiVtCU/edit?usp=sharing"",""สตูล!N581"")+IMPORTRANGE(""https://docs.google.com/sprea"&amp;"dsheets/d/18T20gbkS_WBjdscyTOV05cvq_JqvqQ17C81mpxf7Ncs/edit?usp=sharing"",""สุราษฎร์ธานี!N581"")"),0)</f>
        <v>0</v>
      </c>
      <c r="O581" s="47">
        <f t="shared" ca="1" si="409"/>
        <v>0</v>
      </c>
      <c r="P581" s="47">
        <f t="shared" ca="1" si="410"/>
        <v>0</v>
      </c>
      <c r="Q581" s="47">
        <f ca="1">IFERROR(__xludf.DUMMYFUNCTION("IMPORTRANGE(""https://docs.google.com/spreadsheets/d/1kKUcYdkIfrgTSj8iHHHB2MD2FAtwyyocFgqGQn6ADyI/edit?usp=sharing"",""กระบี่!Q581"")+IMPORTRANGE(""https://docs.google.com/spreadsheets/d/1GwtLaSlNZkLk7iDqcyZz22giiy40b_usZZBXYciEN1U/edit?usp=sharing"",""ชุ"&amp;"มพร!Q581"")+IMPORTRANGE(""https://docs.google.com/spreadsheets/d/16pAz3pOhQEZBhvFNMa5KGgZS6iKWpsKX0pg6tQmwFpo/edit?usp=sharing"",""ตรัง!Q581"")+IMPORTRANGE(""https://docs.google.com/spreadsheets/d/1Dj4jcHCTV9JXKCaMoheSXS52JE63kDKyG7bPXnFogHk/edit?usp=shar"&amp;"ing"",""นครศรีธรรมราช!Q581"")+IMPORTRANGE(""https://docs.google.com/spreadsheets/d/1iodCdmuK2GR3jzUwk8tpccY2JHQQA-87DLOtJP-ooyU/edit?usp=sharing"",""นราธิวาส!Q581"")+IMPORTRANGE(""https://docs.google.com/spreadsheets/d/1SDNX3JhDdYRuIOsj0Wh2M-Qa_eaXl0NbWmh"&amp;"AOTbfQAs/edit?usp=sharing"",""ปัตตานี!Q581"")+IMPORTRANGE(""https://docs.google.com/spreadsheets/d/16JDLGguT8s5DsGCND1KcwHP_AWR_zDMTqLHPLJUKhaU/edit?usp=sharing"",""พังงา!Q581"")+IMPORTRANGE(""https://docs.google.com/spreadsheets/d/17ht0gPKzzT3PObBL1XJkeR"&amp;"mntBXI7wGjpLV7QorqlTk/edit?usp=sharing"",""พัทลุง!Q581"")+IMPORTRANGE(""https://docs.google.com/spreadsheets/d/1rd4qoM1q_hsgaolqNGfrim9gbsoLxQsda4-vOz5x_BM/edit?usp=sharing"",""ภูเก็ต!Q581"")+IMPORTRANGE(""https://docs.google.com/spreadsheets/d/1woKwKjgoL"&amp;"ssDvPcPeVyezB5izizAn4X1JDrys69n6xI/edit?usp=sharing"",""ยะลา!Q581"")+IMPORTRANGE(""https://docs.google.com/spreadsheets/d/1qfrKjzMhm2HJfxQ-qVlJlJQ25Hne1d0khsySbZyGtPA/edit?usp=sharing"",""ระนอง!Q581"")+IMPORTRANGE(""https://docs.google.com/spreadsheets/d/"&amp;"1IbSCnFOKpZsnFogBHJnL_isstZVaOMnFiIN0fGTPZZw/edit?usp=sharing"",""สงขลา!Q581"")+IMPORTRANGE(""https://docs.google.com/spreadsheets/d/1q9nWasZJ-K8bFGvbE9n0qSRuKGA4Toe3Y89cKCiVtCU/edit?usp=sharing"",""สตูล!Q581"")+IMPORTRANGE(""https://docs.google.com/sprea"&amp;"dsheets/d/18T20gbkS_WBjdscyTOV05cvq_JqvqQ17C81mpxf7Ncs/edit?usp=sharing"",""สุราษฎร์ธานี!Q581"")"),0)</f>
        <v>0</v>
      </c>
      <c r="R581" s="47">
        <f ca="1">IFERROR(__xludf.DUMMYFUNCTION("IMPORTRANGE(""https://docs.google.com/spreadsheets/d/1kKUcYdkIfrgTSj8iHHHB2MD2FAtwyyocFgqGQn6ADyI/edit?usp=sharing"",""กระบี่!R581"")+IMPORTRANGE(""https://docs.google.com/spreadsheets/d/1GwtLaSlNZkLk7iDqcyZz22giiy40b_usZZBXYciEN1U/edit?usp=sharing"",""ชุ"&amp;"มพร!R581"")+IMPORTRANGE(""https://docs.google.com/spreadsheets/d/16pAz3pOhQEZBhvFNMa5KGgZS6iKWpsKX0pg6tQmwFpo/edit?usp=sharing"",""ตรัง!R581"")+IMPORTRANGE(""https://docs.google.com/spreadsheets/d/1Dj4jcHCTV9JXKCaMoheSXS52JE63kDKyG7bPXnFogHk/edit?usp=shar"&amp;"ing"",""นครศรีธรรมราช!R581"")+IMPORTRANGE(""https://docs.google.com/spreadsheets/d/1iodCdmuK2GR3jzUwk8tpccY2JHQQA-87DLOtJP-ooyU/edit?usp=sharing"",""นราธิวาส!R581"")+IMPORTRANGE(""https://docs.google.com/spreadsheets/d/1SDNX3JhDdYRuIOsj0Wh2M-Qa_eaXl0NbWmh"&amp;"AOTbfQAs/edit?usp=sharing"",""ปัตตานี!R581"")+IMPORTRANGE(""https://docs.google.com/spreadsheets/d/16JDLGguT8s5DsGCND1KcwHP_AWR_zDMTqLHPLJUKhaU/edit?usp=sharing"",""พังงา!R581"")+IMPORTRANGE(""https://docs.google.com/spreadsheets/d/17ht0gPKzzT3PObBL1XJkeR"&amp;"mntBXI7wGjpLV7QorqlTk/edit?usp=sharing"",""พัทลุง!R581"")+IMPORTRANGE(""https://docs.google.com/spreadsheets/d/1rd4qoM1q_hsgaolqNGfrim9gbsoLxQsda4-vOz5x_BM/edit?usp=sharing"",""ภูเก็ต!R581"")+IMPORTRANGE(""https://docs.google.com/spreadsheets/d/1woKwKjgoL"&amp;"ssDvPcPeVyezB5izizAn4X1JDrys69n6xI/edit?usp=sharing"",""ยะลา!R581"")+IMPORTRANGE(""https://docs.google.com/spreadsheets/d/1qfrKjzMhm2HJfxQ-qVlJlJQ25Hne1d0khsySbZyGtPA/edit?usp=sharing"",""ระนอง!R581"")+IMPORTRANGE(""https://docs.google.com/spreadsheets/d/"&amp;"1IbSCnFOKpZsnFogBHJnL_isstZVaOMnFiIN0fGTPZZw/edit?usp=sharing"",""สงขลา!R581"")+IMPORTRANGE(""https://docs.google.com/spreadsheets/d/1q9nWasZJ-K8bFGvbE9n0qSRuKGA4Toe3Y89cKCiVtCU/edit?usp=sharing"",""สตูล!R581"")+IMPORTRANGE(""https://docs.google.com/sprea"&amp;"dsheets/d/18T20gbkS_WBjdscyTOV05cvq_JqvqQ17C81mpxf7Ncs/edit?usp=sharing"",""สุราษฎร์ธานี!R581"")"),0)</f>
        <v>0</v>
      </c>
      <c r="S581" s="47">
        <f ca="1">IFERROR(__xludf.DUMMYFUNCTION("IMPORTRANGE(""https://docs.google.com/spreadsheets/d/1kKUcYdkIfrgTSj8iHHHB2MD2FAtwyyocFgqGQn6ADyI/edit?usp=sharing"",""กระบี่!S581"")+IMPORTRANGE(""https://docs.google.com/spreadsheets/d/1GwtLaSlNZkLk7iDqcyZz22giiy40b_usZZBXYciEN1U/edit?usp=sharing"",""ชุ"&amp;"มพร!S581"")+IMPORTRANGE(""https://docs.google.com/spreadsheets/d/16pAz3pOhQEZBhvFNMa5KGgZS6iKWpsKX0pg6tQmwFpo/edit?usp=sharing"",""ตรัง!S581"")+IMPORTRANGE(""https://docs.google.com/spreadsheets/d/1Dj4jcHCTV9JXKCaMoheSXS52JE63kDKyG7bPXnFogHk/edit?usp=shar"&amp;"ing"",""นครศรีธรรมราช!S581"")+IMPORTRANGE(""https://docs.google.com/spreadsheets/d/1iodCdmuK2GR3jzUwk8tpccY2JHQQA-87DLOtJP-ooyU/edit?usp=sharing"",""นราธิวาส!S581"")+IMPORTRANGE(""https://docs.google.com/spreadsheets/d/1SDNX3JhDdYRuIOsj0Wh2M-Qa_eaXl0NbWmh"&amp;"AOTbfQAs/edit?usp=sharing"",""ปัตตานี!S581"")+IMPORTRANGE(""https://docs.google.com/spreadsheets/d/16JDLGguT8s5DsGCND1KcwHP_AWR_zDMTqLHPLJUKhaU/edit?usp=sharing"",""พังงา!S581"")+IMPORTRANGE(""https://docs.google.com/spreadsheets/d/17ht0gPKzzT3PObBL1XJkeR"&amp;"mntBXI7wGjpLV7QorqlTk/edit?usp=sharing"",""พัทลุง!S581"")+IMPORTRANGE(""https://docs.google.com/spreadsheets/d/1rd4qoM1q_hsgaolqNGfrim9gbsoLxQsda4-vOz5x_BM/edit?usp=sharing"",""ภูเก็ต!S581"")+IMPORTRANGE(""https://docs.google.com/spreadsheets/d/1woKwKjgoL"&amp;"ssDvPcPeVyezB5izizAn4X1JDrys69n6xI/edit?usp=sharing"",""ยะลา!S581"")+IMPORTRANGE(""https://docs.google.com/spreadsheets/d/1qfrKjzMhm2HJfxQ-qVlJlJQ25Hne1d0khsySbZyGtPA/edit?usp=sharing"",""ระนอง!S581"")+IMPORTRANGE(""https://docs.google.com/spreadsheets/d/"&amp;"1IbSCnFOKpZsnFogBHJnL_isstZVaOMnFiIN0fGTPZZw/edit?usp=sharing"",""สงขลา!S581"")+IMPORTRANGE(""https://docs.google.com/spreadsheets/d/1q9nWasZJ-K8bFGvbE9n0qSRuKGA4Toe3Y89cKCiVtCU/edit?usp=sharing"",""สตูล!S581"")+IMPORTRANGE(""https://docs.google.com/sprea"&amp;"dsheets/d/18T20gbkS_WBjdscyTOV05cvq_JqvqQ17C81mpxf7Ncs/edit?usp=sharing"",""สุราษฎร์ธานี!S581"")"),0)</f>
        <v>0</v>
      </c>
      <c r="T581" s="47">
        <f t="shared" ca="1" si="412"/>
        <v>0</v>
      </c>
      <c r="U581" s="47">
        <f t="shared" ca="1" si="413"/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7">
        <f t="shared" ref="L582:N582" ca="1" si="420">L583+L584</f>
        <v>0</v>
      </c>
      <c r="M582" s="47">
        <f t="shared" ca="1" si="420"/>
        <v>0</v>
      </c>
      <c r="N582" s="47">
        <f t="shared" ca="1" si="420"/>
        <v>0</v>
      </c>
      <c r="O582" s="47">
        <f t="shared" ca="1" si="409"/>
        <v>0</v>
      </c>
      <c r="P582" s="47">
        <f t="shared" ca="1" si="410"/>
        <v>0</v>
      </c>
      <c r="Q582" s="47">
        <f t="shared" ref="Q582:S582" ca="1" si="421">Q583+Q584</f>
        <v>0</v>
      </c>
      <c r="R582" s="47">
        <f t="shared" ca="1" si="421"/>
        <v>0</v>
      </c>
      <c r="S582" s="47">
        <f t="shared" ca="1" si="421"/>
        <v>0</v>
      </c>
      <c r="T582" s="47">
        <f t="shared" ca="1" si="412"/>
        <v>0</v>
      </c>
      <c r="U582" s="47">
        <f t="shared" ca="1" si="413"/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9">
        <f ca="1">IFERROR(__xludf.DUMMYFUNCTION("IMPORTRANGE(""https://docs.google.com/spreadsheets/d/1kKUcYdkIfrgTSj8iHHHB2MD2FAtwyyocFgqGQn6ADyI/edit?usp=sharing"",""กระบี่!L583"")+IMPORTRANGE(""https://docs.google.com/spreadsheets/d/1GwtLaSlNZkLk7iDqcyZz22giiy40b_usZZBXYciEN1U/edit?usp=sharing"",""ชุ"&amp;"มพร!L583"")+IMPORTRANGE(""https://docs.google.com/spreadsheets/d/16pAz3pOhQEZBhvFNMa5KGgZS6iKWpsKX0pg6tQmwFpo/edit?usp=sharing"",""ตรัง!L583"")+IMPORTRANGE(""https://docs.google.com/spreadsheets/d/1Dj4jcHCTV9JXKCaMoheSXS52JE63kDKyG7bPXnFogHk/edit?usp=shar"&amp;"ing"",""นครศรีธรรมราช!L583"")+IMPORTRANGE(""https://docs.google.com/spreadsheets/d/1iodCdmuK2GR3jzUwk8tpccY2JHQQA-87DLOtJP-ooyU/edit?usp=sharing"",""นราธิวาส!L583"")+IMPORTRANGE(""https://docs.google.com/spreadsheets/d/1SDNX3JhDdYRuIOsj0Wh2M-Qa_eaXl0NbWmh"&amp;"AOTbfQAs/edit?usp=sharing"",""ปัตตานี!L583"")+IMPORTRANGE(""https://docs.google.com/spreadsheets/d/16JDLGguT8s5DsGCND1KcwHP_AWR_zDMTqLHPLJUKhaU/edit?usp=sharing"",""พังงา!L583"")+IMPORTRANGE(""https://docs.google.com/spreadsheets/d/17ht0gPKzzT3PObBL1XJkeR"&amp;"mntBXI7wGjpLV7QorqlTk/edit?usp=sharing"",""พัทลุง!L583"")+IMPORTRANGE(""https://docs.google.com/spreadsheets/d/1rd4qoM1q_hsgaolqNGfrim9gbsoLxQsda4-vOz5x_BM/edit?usp=sharing"",""ภูเก็ต!L583"")+IMPORTRANGE(""https://docs.google.com/spreadsheets/d/1woKwKjgoL"&amp;"ssDvPcPeVyezB5izizAn4X1JDrys69n6xI/edit?usp=sharing"",""ยะลา!L583"")+IMPORTRANGE(""https://docs.google.com/spreadsheets/d/1qfrKjzMhm2HJfxQ-qVlJlJQ25Hne1d0khsySbZyGtPA/edit?usp=sharing"",""ระนอง!L583"")+IMPORTRANGE(""https://docs.google.com/spreadsheets/d/"&amp;"1IbSCnFOKpZsnFogBHJnL_isstZVaOMnFiIN0fGTPZZw/edit?usp=sharing"",""สงขลา!L583"")+IMPORTRANGE(""https://docs.google.com/spreadsheets/d/1q9nWasZJ-K8bFGvbE9n0qSRuKGA4Toe3Y89cKCiVtCU/edit?usp=sharing"",""สตูล!L583"")+IMPORTRANGE(""https://docs.google.com/sprea"&amp;"dsheets/d/18T20gbkS_WBjdscyTOV05cvq_JqvqQ17C81mpxf7Ncs/edit?usp=sharing"",""สุราษฎร์ธานี!L583"")"),0)</f>
        <v>0</v>
      </c>
      <c r="M583" s="49">
        <f ca="1">IFERROR(__xludf.DUMMYFUNCTION("IMPORTRANGE(""https://docs.google.com/spreadsheets/d/1kKUcYdkIfrgTSj8iHHHB2MD2FAtwyyocFgqGQn6ADyI/edit?usp=sharing"",""กระบี่!M583"")+IMPORTRANGE(""https://docs.google.com/spreadsheets/d/1GwtLaSlNZkLk7iDqcyZz22giiy40b_usZZBXYciEN1U/edit?usp=sharing"",""ชุ"&amp;"มพร!M583"")+IMPORTRANGE(""https://docs.google.com/spreadsheets/d/16pAz3pOhQEZBhvFNMa5KGgZS6iKWpsKX0pg6tQmwFpo/edit?usp=sharing"",""ตรัง!M583"")+IMPORTRANGE(""https://docs.google.com/spreadsheets/d/1Dj4jcHCTV9JXKCaMoheSXS52JE63kDKyG7bPXnFogHk/edit?usp=shar"&amp;"ing"",""นครศรีธรรมราช!M583"")+IMPORTRANGE(""https://docs.google.com/spreadsheets/d/1iodCdmuK2GR3jzUwk8tpccY2JHQQA-87DLOtJP-ooyU/edit?usp=sharing"",""นราธิวาส!M583"")+IMPORTRANGE(""https://docs.google.com/spreadsheets/d/1SDNX3JhDdYRuIOsj0Wh2M-Qa_eaXl0NbWmh"&amp;"AOTbfQAs/edit?usp=sharing"",""ปัตตานี!M583"")+IMPORTRANGE(""https://docs.google.com/spreadsheets/d/16JDLGguT8s5DsGCND1KcwHP_AWR_zDMTqLHPLJUKhaU/edit?usp=sharing"",""พังงา!M583"")+IMPORTRANGE(""https://docs.google.com/spreadsheets/d/17ht0gPKzzT3PObBL1XJkeR"&amp;"mntBXI7wGjpLV7QorqlTk/edit?usp=sharing"",""พัทลุง!M583"")+IMPORTRANGE(""https://docs.google.com/spreadsheets/d/1rd4qoM1q_hsgaolqNGfrim9gbsoLxQsda4-vOz5x_BM/edit?usp=sharing"",""ภูเก็ต!M583"")+IMPORTRANGE(""https://docs.google.com/spreadsheets/d/1woKwKjgoL"&amp;"ssDvPcPeVyezB5izizAn4X1JDrys69n6xI/edit?usp=sharing"",""ยะลา!M583"")+IMPORTRANGE(""https://docs.google.com/spreadsheets/d/1qfrKjzMhm2HJfxQ-qVlJlJQ25Hne1d0khsySbZyGtPA/edit?usp=sharing"",""ระนอง!M583"")+IMPORTRANGE(""https://docs.google.com/spreadsheets/d/"&amp;"1IbSCnFOKpZsnFogBHJnL_isstZVaOMnFiIN0fGTPZZw/edit?usp=sharing"",""สงขลา!M583"")+IMPORTRANGE(""https://docs.google.com/spreadsheets/d/1q9nWasZJ-K8bFGvbE9n0qSRuKGA4Toe3Y89cKCiVtCU/edit?usp=sharing"",""สตูล!M583"")+IMPORTRANGE(""https://docs.google.com/sprea"&amp;"dsheets/d/18T20gbkS_WBjdscyTOV05cvq_JqvqQ17C81mpxf7Ncs/edit?usp=sharing"",""สุราษฎร์ธานี!M583"")"),0)</f>
        <v>0</v>
      </c>
      <c r="N583" s="49">
        <f ca="1">IFERROR(__xludf.DUMMYFUNCTION("IMPORTRANGE(""https://docs.google.com/spreadsheets/d/1kKUcYdkIfrgTSj8iHHHB2MD2FAtwyyocFgqGQn6ADyI/edit?usp=sharing"",""กระบี่!N583"")+IMPORTRANGE(""https://docs.google.com/spreadsheets/d/1GwtLaSlNZkLk7iDqcyZz22giiy40b_usZZBXYciEN1U/edit?usp=sharing"",""ชุ"&amp;"มพร!N583"")+IMPORTRANGE(""https://docs.google.com/spreadsheets/d/16pAz3pOhQEZBhvFNMa5KGgZS6iKWpsKX0pg6tQmwFpo/edit?usp=sharing"",""ตรัง!N583"")+IMPORTRANGE(""https://docs.google.com/spreadsheets/d/1Dj4jcHCTV9JXKCaMoheSXS52JE63kDKyG7bPXnFogHk/edit?usp=shar"&amp;"ing"",""นครศรีธรรมราช!N583"")+IMPORTRANGE(""https://docs.google.com/spreadsheets/d/1iodCdmuK2GR3jzUwk8tpccY2JHQQA-87DLOtJP-ooyU/edit?usp=sharing"",""นราธิวาส!N583"")+IMPORTRANGE(""https://docs.google.com/spreadsheets/d/1SDNX3JhDdYRuIOsj0Wh2M-Qa_eaXl0NbWmh"&amp;"AOTbfQAs/edit?usp=sharing"",""ปัตตานี!N583"")+IMPORTRANGE(""https://docs.google.com/spreadsheets/d/16JDLGguT8s5DsGCND1KcwHP_AWR_zDMTqLHPLJUKhaU/edit?usp=sharing"",""พังงา!N583"")+IMPORTRANGE(""https://docs.google.com/spreadsheets/d/17ht0gPKzzT3PObBL1XJkeR"&amp;"mntBXI7wGjpLV7QorqlTk/edit?usp=sharing"",""พัทลุง!N583"")+IMPORTRANGE(""https://docs.google.com/spreadsheets/d/1rd4qoM1q_hsgaolqNGfrim9gbsoLxQsda4-vOz5x_BM/edit?usp=sharing"",""ภูเก็ต!N583"")+IMPORTRANGE(""https://docs.google.com/spreadsheets/d/1woKwKjgoL"&amp;"ssDvPcPeVyezB5izizAn4X1JDrys69n6xI/edit?usp=sharing"",""ยะลา!N583"")+IMPORTRANGE(""https://docs.google.com/spreadsheets/d/1qfrKjzMhm2HJfxQ-qVlJlJQ25Hne1d0khsySbZyGtPA/edit?usp=sharing"",""ระนอง!N583"")+IMPORTRANGE(""https://docs.google.com/spreadsheets/d/"&amp;"1IbSCnFOKpZsnFogBHJnL_isstZVaOMnFiIN0fGTPZZw/edit?usp=sharing"",""สงขลา!N583"")+IMPORTRANGE(""https://docs.google.com/spreadsheets/d/1q9nWasZJ-K8bFGvbE9n0qSRuKGA4Toe3Y89cKCiVtCU/edit?usp=sharing"",""สตูล!N583"")+IMPORTRANGE(""https://docs.google.com/sprea"&amp;"dsheets/d/18T20gbkS_WBjdscyTOV05cvq_JqvqQ17C81mpxf7Ncs/edit?usp=sharing"",""สุราษฎร์ธานี!N583"")"),0)</f>
        <v>0</v>
      </c>
      <c r="O583" s="49">
        <f t="shared" ca="1" si="409"/>
        <v>0</v>
      </c>
      <c r="P583" s="49">
        <f t="shared" ca="1" si="410"/>
        <v>0</v>
      </c>
      <c r="Q583" s="49">
        <f ca="1">IFERROR(__xludf.DUMMYFUNCTION("IMPORTRANGE(""https://docs.google.com/spreadsheets/d/1kKUcYdkIfrgTSj8iHHHB2MD2FAtwyyocFgqGQn6ADyI/edit?usp=sharing"",""กระบี่!Q583"")+IMPORTRANGE(""https://docs.google.com/spreadsheets/d/1GwtLaSlNZkLk7iDqcyZz22giiy40b_usZZBXYciEN1U/edit?usp=sharing"",""ชุ"&amp;"มพร!Q583"")+IMPORTRANGE(""https://docs.google.com/spreadsheets/d/16pAz3pOhQEZBhvFNMa5KGgZS6iKWpsKX0pg6tQmwFpo/edit?usp=sharing"",""ตรัง!Q583"")+IMPORTRANGE(""https://docs.google.com/spreadsheets/d/1Dj4jcHCTV9JXKCaMoheSXS52JE63kDKyG7bPXnFogHk/edit?usp=shar"&amp;"ing"",""นครศรีธรรมราช!Q583"")+IMPORTRANGE(""https://docs.google.com/spreadsheets/d/1iodCdmuK2GR3jzUwk8tpccY2JHQQA-87DLOtJP-ooyU/edit?usp=sharing"",""นราธิวาส!Q583"")+IMPORTRANGE(""https://docs.google.com/spreadsheets/d/1SDNX3JhDdYRuIOsj0Wh2M-Qa_eaXl0NbWmh"&amp;"AOTbfQAs/edit?usp=sharing"",""ปัตตานี!Q583"")+IMPORTRANGE(""https://docs.google.com/spreadsheets/d/16JDLGguT8s5DsGCND1KcwHP_AWR_zDMTqLHPLJUKhaU/edit?usp=sharing"",""พังงา!Q583"")+IMPORTRANGE(""https://docs.google.com/spreadsheets/d/17ht0gPKzzT3PObBL1XJkeR"&amp;"mntBXI7wGjpLV7QorqlTk/edit?usp=sharing"",""พัทลุง!Q583"")+IMPORTRANGE(""https://docs.google.com/spreadsheets/d/1rd4qoM1q_hsgaolqNGfrim9gbsoLxQsda4-vOz5x_BM/edit?usp=sharing"",""ภูเก็ต!Q583"")+IMPORTRANGE(""https://docs.google.com/spreadsheets/d/1woKwKjgoL"&amp;"ssDvPcPeVyezB5izizAn4X1JDrys69n6xI/edit?usp=sharing"",""ยะลา!Q583"")+IMPORTRANGE(""https://docs.google.com/spreadsheets/d/1qfrKjzMhm2HJfxQ-qVlJlJQ25Hne1d0khsySbZyGtPA/edit?usp=sharing"",""ระนอง!Q583"")+IMPORTRANGE(""https://docs.google.com/spreadsheets/d/"&amp;"1IbSCnFOKpZsnFogBHJnL_isstZVaOMnFiIN0fGTPZZw/edit?usp=sharing"",""สงขลา!Q583"")+IMPORTRANGE(""https://docs.google.com/spreadsheets/d/1q9nWasZJ-K8bFGvbE9n0qSRuKGA4Toe3Y89cKCiVtCU/edit?usp=sharing"",""สตูล!Q583"")+IMPORTRANGE(""https://docs.google.com/sprea"&amp;"dsheets/d/18T20gbkS_WBjdscyTOV05cvq_JqvqQ17C81mpxf7Ncs/edit?usp=sharing"",""สุราษฎร์ธานี!Q583"")"),0)</f>
        <v>0</v>
      </c>
      <c r="R583" s="49">
        <f ca="1">IFERROR(__xludf.DUMMYFUNCTION("IMPORTRANGE(""https://docs.google.com/spreadsheets/d/1kKUcYdkIfrgTSj8iHHHB2MD2FAtwyyocFgqGQn6ADyI/edit?usp=sharing"",""กระบี่!R583"")+IMPORTRANGE(""https://docs.google.com/spreadsheets/d/1GwtLaSlNZkLk7iDqcyZz22giiy40b_usZZBXYciEN1U/edit?usp=sharing"",""ชุ"&amp;"มพร!R583"")+IMPORTRANGE(""https://docs.google.com/spreadsheets/d/16pAz3pOhQEZBhvFNMa5KGgZS6iKWpsKX0pg6tQmwFpo/edit?usp=sharing"",""ตรัง!R583"")+IMPORTRANGE(""https://docs.google.com/spreadsheets/d/1Dj4jcHCTV9JXKCaMoheSXS52JE63kDKyG7bPXnFogHk/edit?usp=shar"&amp;"ing"",""นครศรีธรรมราช!R583"")+IMPORTRANGE(""https://docs.google.com/spreadsheets/d/1iodCdmuK2GR3jzUwk8tpccY2JHQQA-87DLOtJP-ooyU/edit?usp=sharing"",""นราธิวาส!R583"")+IMPORTRANGE(""https://docs.google.com/spreadsheets/d/1SDNX3JhDdYRuIOsj0Wh2M-Qa_eaXl0NbWmh"&amp;"AOTbfQAs/edit?usp=sharing"",""ปัตตานี!R583"")+IMPORTRANGE(""https://docs.google.com/spreadsheets/d/16JDLGguT8s5DsGCND1KcwHP_AWR_zDMTqLHPLJUKhaU/edit?usp=sharing"",""พังงา!R583"")+IMPORTRANGE(""https://docs.google.com/spreadsheets/d/17ht0gPKzzT3PObBL1XJkeR"&amp;"mntBXI7wGjpLV7QorqlTk/edit?usp=sharing"",""พัทลุง!R583"")+IMPORTRANGE(""https://docs.google.com/spreadsheets/d/1rd4qoM1q_hsgaolqNGfrim9gbsoLxQsda4-vOz5x_BM/edit?usp=sharing"",""ภูเก็ต!R583"")+IMPORTRANGE(""https://docs.google.com/spreadsheets/d/1woKwKjgoL"&amp;"ssDvPcPeVyezB5izizAn4X1JDrys69n6xI/edit?usp=sharing"",""ยะลา!R583"")+IMPORTRANGE(""https://docs.google.com/spreadsheets/d/1qfrKjzMhm2HJfxQ-qVlJlJQ25Hne1d0khsySbZyGtPA/edit?usp=sharing"",""ระนอง!R583"")+IMPORTRANGE(""https://docs.google.com/spreadsheets/d/"&amp;"1IbSCnFOKpZsnFogBHJnL_isstZVaOMnFiIN0fGTPZZw/edit?usp=sharing"",""สงขลา!R583"")+IMPORTRANGE(""https://docs.google.com/spreadsheets/d/1q9nWasZJ-K8bFGvbE9n0qSRuKGA4Toe3Y89cKCiVtCU/edit?usp=sharing"",""สตูล!R583"")+IMPORTRANGE(""https://docs.google.com/sprea"&amp;"dsheets/d/18T20gbkS_WBjdscyTOV05cvq_JqvqQ17C81mpxf7Ncs/edit?usp=sharing"",""สุราษฎร์ธานี!R583"")"),0)</f>
        <v>0</v>
      </c>
      <c r="S583" s="49">
        <f ca="1">IFERROR(__xludf.DUMMYFUNCTION("IMPORTRANGE(""https://docs.google.com/spreadsheets/d/1kKUcYdkIfrgTSj8iHHHB2MD2FAtwyyocFgqGQn6ADyI/edit?usp=sharing"",""กระบี่!S583"")+IMPORTRANGE(""https://docs.google.com/spreadsheets/d/1GwtLaSlNZkLk7iDqcyZz22giiy40b_usZZBXYciEN1U/edit?usp=sharing"",""ชุ"&amp;"มพร!S583"")+IMPORTRANGE(""https://docs.google.com/spreadsheets/d/16pAz3pOhQEZBhvFNMa5KGgZS6iKWpsKX0pg6tQmwFpo/edit?usp=sharing"",""ตรัง!S583"")+IMPORTRANGE(""https://docs.google.com/spreadsheets/d/1Dj4jcHCTV9JXKCaMoheSXS52JE63kDKyG7bPXnFogHk/edit?usp=shar"&amp;"ing"",""นครศรีธรรมราช!S583"")+IMPORTRANGE(""https://docs.google.com/spreadsheets/d/1iodCdmuK2GR3jzUwk8tpccY2JHQQA-87DLOtJP-ooyU/edit?usp=sharing"",""นราธิวาส!S583"")+IMPORTRANGE(""https://docs.google.com/spreadsheets/d/1SDNX3JhDdYRuIOsj0Wh2M-Qa_eaXl0NbWmh"&amp;"AOTbfQAs/edit?usp=sharing"",""ปัตตานี!S583"")+IMPORTRANGE(""https://docs.google.com/spreadsheets/d/16JDLGguT8s5DsGCND1KcwHP_AWR_zDMTqLHPLJUKhaU/edit?usp=sharing"",""พังงา!S583"")+IMPORTRANGE(""https://docs.google.com/spreadsheets/d/17ht0gPKzzT3PObBL1XJkeR"&amp;"mntBXI7wGjpLV7QorqlTk/edit?usp=sharing"",""พัทลุง!S583"")+IMPORTRANGE(""https://docs.google.com/spreadsheets/d/1rd4qoM1q_hsgaolqNGfrim9gbsoLxQsda4-vOz5x_BM/edit?usp=sharing"",""ภูเก็ต!S583"")+IMPORTRANGE(""https://docs.google.com/spreadsheets/d/1woKwKjgoL"&amp;"ssDvPcPeVyezB5izizAn4X1JDrys69n6xI/edit?usp=sharing"",""ยะลา!S583"")+IMPORTRANGE(""https://docs.google.com/spreadsheets/d/1qfrKjzMhm2HJfxQ-qVlJlJQ25Hne1d0khsySbZyGtPA/edit?usp=sharing"",""ระนอง!S583"")+IMPORTRANGE(""https://docs.google.com/spreadsheets/d/"&amp;"1IbSCnFOKpZsnFogBHJnL_isstZVaOMnFiIN0fGTPZZw/edit?usp=sharing"",""สงขลา!S583"")+IMPORTRANGE(""https://docs.google.com/spreadsheets/d/1q9nWasZJ-K8bFGvbE9n0qSRuKGA4Toe3Y89cKCiVtCU/edit?usp=sharing"",""สตูล!S583"")+IMPORTRANGE(""https://docs.google.com/sprea"&amp;"dsheets/d/18T20gbkS_WBjdscyTOV05cvq_JqvqQ17C81mpxf7Ncs/edit?usp=sharing"",""สุราษฎร์ธานี!S583"")"),0)</f>
        <v>0</v>
      </c>
      <c r="T583" s="49">
        <f t="shared" ca="1" si="412"/>
        <v>0</v>
      </c>
      <c r="U583" s="49">
        <f t="shared" ca="1" si="413"/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7">
        <f ca="1">IFERROR(__xludf.DUMMYFUNCTION("IMPORTRANGE(""https://docs.google.com/spreadsheets/d/1kKUcYdkIfrgTSj8iHHHB2MD2FAtwyyocFgqGQn6ADyI/edit?usp=sharing"",""กระบี่!L584"")+IMPORTRANGE(""https://docs.google.com/spreadsheets/d/1GwtLaSlNZkLk7iDqcyZz22giiy40b_usZZBXYciEN1U/edit?usp=sharing"",""ชุ"&amp;"มพร!L584"")+IMPORTRANGE(""https://docs.google.com/spreadsheets/d/16pAz3pOhQEZBhvFNMa5KGgZS6iKWpsKX0pg6tQmwFpo/edit?usp=sharing"",""ตรัง!L584"")+IMPORTRANGE(""https://docs.google.com/spreadsheets/d/1Dj4jcHCTV9JXKCaMoheSXS52JE63kDKyG7bPXnFogHk/edit?usp=shar"&amp;"ing"",""นครศรีธรรมราช!L584"")+IMPORTRANGE(""https://docs.google.com/spreadsheets/d/1iodCdmuK2GR3jzUwk8tpccY2JHQQA-87DLOtJP-ooyU/edit?usp=sharing"",""นราธิวาส!L584"")+IMPORTRANGE(""https://docs.google.com/spreadsheets/d/1SDNX3JhDdYRuIOsj0Wh2M-Qa_eaXl0NbWmh"&amp;"AOTbfQAs/edit?usp=sharing"",""ปัตตานี!L584"")+IMPORTRANGE(""https://docs.google.com/spreadsheets/d/16JDLGguT8s5DsGCND1KcwHP_AWR_zDMTqLHPLJUKhaU/edit?usp=sharing"",""พังงา!L584"")+IMPORTRANGE(""https://docs.google.com/spreadsheets/d/17ht0gPKzzT3PObBL1XJkeR"&amp;"mntBXI7wGjpLV7QorqlTk/edit?usp=sharing"",""พัทลุง!L584"")+IMPORTRANGE(""https://docs.google.com/spreadsheets/d/1rd4qoM1q_hsgaolqNGfrim9gbsoLxQsda4-vOz5x_BM/edit?usp=sharing"",""ภูเก็ต!L584"")+IMPORTRANGE(""https://docs.google.com/spreadsheets/d/1woKwKjgoL"&amp;"ssDvPcPeVyezB5izizAn4X1JDrys69n6xI/edit?usp=sharing"",""ยะลา!L584"")+IMPORTRANGE(""https://docs.google.com/spreadsheets/d/1qfrKjzMhm2HJfxQ-qVlJlJQ25Hne1d0khsySbZyGtPA/edit?usp=sharing"",""ระนอง!L584"")+IMPORTRANGE(""https://docs.google.com/spreadsheets/d/"&amp;"1IbSCnFOKpZsnFogBHJnL_isstZVaOMnFiIN0fGTPZZw/edit?usp=sharing"",""สงขลา!L584"")+IMPORTRANGE(""https://docs.google.com/spreadsheets/d/1q9nWasZJ-K8bFGvbE9n0qSRuKGA4Toe3Y89cKCiVtCU/edit?usp=sharing"",""สตูล!L584"")+IMPORTRANGE(""https://docs.google.com/sprea"&amp;"dsheets/d/18T20gbkS_WBjdscyTOV05cvq_JqvqQ17C81mpxf7Ncs/edit?usp=sharing"",""สุราษฎร์ธานี!L584"")"),0)</f>
        <v>0</v>
      </c>
      <c r="M584" s="47">
        <f ca="1">IFERROR(__xludf.DUMMYFUNCTION("IMPORTRANGE(""https://docs.google.com/spreadsheets/d/1kKUcYdkIfrgTSj8iHHHB2MD2FAtwyyocFgqGQn6ADyI/edit?usp=sharing"",""กระบี่!M584"")+IMPORTRANGE(""https://docs.google.com/spreadsheets/d/1GwtLaSlNZkLk7iDqcyZz22giiy40b_usZZBXYciEN1U/edit?usp=sharing"",""ชุ"&amp;"มพร!M584"")+IMPORTRANGE(""https://docs.google.com/spreadsheets/d/16pAz3pOhQEZBhvFNMa5KGgZS6iKWpsKX0pg6tQmwFpo/edit?usp=sharing"",""ตรัง!M584"")+IMPORTRANGE(""https://docs.google.com/spreadsheets/d/1Dj4jcHCTV9JXKCaMoheSXS52JE63kDKyG7bPXnFogHk/edit?usp=shar"&amp;"ing"",""นครศรีธรรมราช!M584"")+IMPORTRANGE(""https://docs.google.com/spreadsheets/d/1iodCdmuK2GR3jzUwk8tpccY2JHQQA-87DLOtJP-ooyU/edit?usp=sharing"",""นราธิวาส!M584"")+IMPORTRANGE(""https://docs.google.com/spreadsheets/d/1SDNX3JhDdYRuIOsj0Wh2M-Qa_eaXl0NbWmh"&amp;"AOTbfQAs/edit?usp=sharing"",""ปัตตานี!M584"")+IMPORTRANGE(""https://docs.google.com/spreadsheets/d/16JDLGguT8s5DsGCND1KcwHP_AWR_zDMTqLHPLJUKhaU/edit?usp=sharing"",""พังงา!M584"")+IMPORTRANGE(""https://docs.google.com/spreadsheets/d/17ht0gPKzzT3PObBL1XJkeR"&amp;"mntBXI7wGjpLV7QorqlTk/edit?usp=sharing"",""พัทลุง!M584"")+IMPORTRANGE(""https://docs.google.com/spreadsheets/d/1rd4qoM1q_hsgaolqNGfrim9gbsoLxQsda4-vOz5x_BM/edit?usp=sharing"",""ภูเก็ต!M584"")+IMPORTRANGE(""https://docs.google.com/spreadsheets/d/1woKwKjgoL"&amp;"ssDvPcPeVyezB5izizAn4X1JDrys69n6xI/edit?usp=sharing"",""ยะลา!M584"")+IMPORTRANGE(""https://docs.google.com/spreadsheets/d/1qfrKjzMhm2HJfxQ-qVlJlJQ25Hne1d0khsySbZyGtPA/edit?usp=sharing"",""ระนอง!M584"")+IMPORTRANGE(""https://docs.google.com/spreadsheets/d/"&amp;"1IbSCnFOKpZsnFogBHJnL_isstZVaOMnFiIN0fGTPZZw/edit?usp=sharing"",""สงขลา!M584"")+IMPORTRANGE(""https://docs.google.com/spreadsheets/d/1q9nWasZJ-K8bFGvbE9n0qSRuKGA4Toe3Y89cKCiVtCU/edit?usp=sharing"",""สตูล!M584"")+IMPORTRANGE(""https://docs.google.com/sprea"&amp;"dsheets/d/18T20gbkS_WBjdscyTOV05cvq_JqvqQ17C81mpxf7Ncs/edit?usp=sharing"",""สุราษฎร์ธานี!M584"")"),0)</f>
        <v>0</v>
      </c>
      <c r="N584" s="47">
        <f ca="1">IFERROR(__xludf.DUMMYFUNCTION("IMPORTRANGE(""https://docs.google.com/spreadsheets/d/1kKUcYdkIfrgTSj8iHHHB2MD2FAtwyyocFgqGQn6ADyI/edit?usp=sharing"",""กระบี่!N584"")+IMPORTRANGE(""https://docs.google.com/spreadsheets/d/1GwtLaSlNZkLk7iDqcyZz22giiy40b_usZZBXYciEN1U/edit?usp=sharing"",""ชุ"&amp;"มพร!N584"")+IMPORTRANGE(""https://docs.google.com/spreadsheets/d/16pAz3pOhQEZBhvFNMa5KGgZS6iKWpsKX0pg6tQmwFpo/edit?usp=sharing"",""ตรัง!N584"")+IMPORTRANGE(""https://docs.google.com/spreadsheets/d/1Dj4jcHCTV9JXKCaMoheSXS52JE63kDKyG7bPXnFogHk/edit?usp=shar"&amp;"ing"",""นครศรีธรรมราช!N584"")+IMPORTRANGE(""https://docs.google.com/spreadsheets/d/1iodCdmuK2GR3jzUwk8tpccY2JHQQA-87DLOtJP-ooyU/edit?usp=sharing"",""นราธิวาส!N584"")+IMPORTRANGE(""https://docs.google.com/spreadsheets/d/1SDNX3JhDdYRuIOsj0Wh2M-Qa_eaXl0NbWmh"&amp;"AOTbfQAs/edit?usp=sharing"",""ปัตตานี!N584"")+IMPORTRANGE(""https://docs.google.com/spreadsheets/d/16JDLGguT8s5DsGCND1KcwHP_AWR_zDMTqLHPLJUKhaU/edit?usp=sharing"",""พังงา!N584"")+IMPORTRANGE(""https://docs.google.com/spreadsheets/d/17ht0gPKzzT3PObBL1XJkeR"&amp;"mntBXI7wGjpLV7QorqlTk/edit?usp=sharing"",""พัทลุง!N584"")+IMPORTRANGE(""https://docs.google.com/spreadsheets/d/1rd4qoM1q_hsgaolqNGfrim9gbsoLxQsda4-vOz5x_BM/edit?usp=sharing"",""ภูเก็ต!N584"")+IMPORTRANGE(""https://docs.google.com/spreadsheets/d/1woKwKjgoL"&amp;"ssDvPcPeVyezB5izizAn4X1JDrys69n6xI/edit?usp=sharing"",""ยะลา!N584"")+IMPORTRANGE(""https://docs.google.com/spreadsheets/d/1qfrKjzMhm2HJfxQ-qVlJlJQ25Hne1d0khsySbZyGtPA/edit?usp=sharing"",""ระนอง!N584"")+IMPORTRANGE(""https://docs.google.com/spreadsheets/d/"&amp;"1IbSCnFOKpZsnFogBHJnL_isstZVaOMnFiIN0fGTPZZw/edit?usp=sharing"",""สงขลา!N584"")+IMPORTRANGE(""https://docs.google.com/spreadsheets/d/1q9nWasZJ-K8bFGvbE9n0qSRuKGA4Toe3Y89cKCiVtCU/edit?usp=sharing"",""สตูล!N584"")+IMPORTRANGE(""https://docs.google.com/sprea"&amp;"dsheets/d/18T20gbkS_WBjdscyTOV05cvq_JqvqQ17C81mpxf7Ncs/edit?usp=sharing"",""สุราษฎร์ธานี!N584"")"),0)</f>
        <v>0</v>
      </c>
      <c r="O584" s="47">
        <f t="shared" ca="1" si="409"/>
        <v>0</v>
      </c>
      <c r="P584" s="47">
        <f t="shared" ca="1" si="410"/>
        <v>0</v>
      </c>
      <c r="Q584" s="47">
        <f ca="1">IFERROR(__xludf.DUMMYFUNCTION("IMPORTRANGE(""https://docs.google.com/spreadsheets/d/1kKUcYdkIfrgTSj8iHHHB2MD2FAtwyyocFgqGQn6ADyI/edit?usp=sharing"",""กระบี่!Q584"")+IMPORTRANGE(""https://docs.google.com/spreadsheets/d/1GwtLaSlNZkLk7iDqcyZz22giiy40b_usZZBXYciEN1U/edit?usp=sharing"",""ชุ"&amp;"มพร!Q584"")+IMPORTRANGE(""https://docs.google.com/spreadsheets/d/16pAz3pOhQEZBhvFNMa5KGgZS6iKWpsKX0pg6tQmwFpo/edit?usp=sharing"",""ตรัง!Q584"")+IMPORTRANGE(""https://docs.google.com/spreadsheets/d/1Dj4jcHCTV9JXKCaMoheSXS52JE63kDKyG7bPXnFogHk/edit?usp=shar"&amp;"ing"",""นครศรีธรรมราช!Q584"")+IMPORTRANGE(""https://docs.google.com/spreadsheets/d/1iodCdmuK2GR3jzUwk8tpccY2JHQQA-87DLOtJP-ooyU/edit?usp=sharing"",""นราธิวาส!Q584"")+IMPORTRANGE(""https://docs.google.com/spreadsheets/d/1SDNX3JhDdYRuIOsj0Wh2M-Qa_eaXl0NbWmh"&amp;"AOTbfQAs/edit?usp=sharing"",""ปัตตานี!Q584"")+IMPORTRANGE(""https://docs.google.com/spreadsheets/d/16JDLGguT8s5DsGCND1KcwHP_AWR_zDMTqLHPLJUKhaU/edit?usp=sharing"",""พังงา!Q584"")+IMPORTRANGE(""https://docs.google.com/spreadsheets/d/17ht0gPKzzT3PObBL1XJkeR"&amp;"mntBXI7wGjpLV7QorqlTk/edit?usp=sharing"",""พัทลุง!Q584"")+IMPORTRANGE(""https://docs.google.com/spreadsheets/d/1rd4qoM1q_hsgaolqNGfrim9gbsoLxQsda4-vOz5x_BM/edit?usp=sharing"",""ภูเก็ต!Q584"")+IMPORTRANGE(""https://docs.google.com/spreadsheets/d/1woKwKjgoL"&amp;"ssDvPcPeVyezB5izizAn4X1JDrys69n6xI/edit?usp=sharing"",""ยะลา!Q584"")+IMPORTRANGE(""https://docs.google.com/spreadsheets/d/1qfrKjzMhm2HJfxQ-qVlJlJQ25Hne1d0khsySbZyGtPA/edit?usp=sharing"",""ระนอง!Q584"")+IMPORTRANGE(""https://docs.google.com/spreadsheets/d/"&amp;"1IbSCnFOKpZsnFogBHJnL_isstZVaOMnFiIN0fGTPZZw/edit?usp=sharing"",""สงขลา!Q584"")+IMPORTRANGE(""https://docs.google.com/spreadsheets/d/1q9nWasZJ-K8bFGvbE9n0qSRuKGA4Toe3Y89cKCiVtCU/edit?usp=sharing"",""สตูล!Q584"")+IMPORTRANGE(""https://docs.google.com/sprea"&amp;"dsheets/d/18T20gbkS_WBjdscyTOV05cvq_JqvqQ17C81mpxf7Ncs/edit?usp=sharing"",""สุราษฎร์ธานี!Q584"")"),0)</f>
        <v>0</v>
      </c>
      <c r="R584" s="47">
        <f ca="1">IFERROR(__xludf.DUMMYFUNCTION("IMPORTRANGE(""https://docs.google.com/spreadsheets/d/1kKUcYdkIfrgTSj8iHHHB2MD2FAtwyyocFgqGQn6ADyI/edit?usp=sharing"",""กระบี่!R584"")+IMPORTRANGE(""https://docs.google.com/spreadsheets/d/1GwtLaSlNZkLk7iDqcyZz22giiy40b_usZZBXYciEN1U/edit?usp=sharing"",""ชุ"&amp;"มพร!R584"")+IMPORTRANGE(""https://docs.google.com/spreadsheets/d/16pAz3pOhQEZBhvFNMa5KGgZS6iKWpsKX0pg6tQmwFpo/edit?usp=sharing"",""ตรัง!R584"")+IMPORTRANGE(""https://docs.google.com/spreadsheets/d/1Dj4jcHCTV9JXKCaMoheSXS52JE63kDKyG7bPXnFogHk/edit?usp=shar"&amp;"ing"",""นครศรีธรรมราช!R584"")+IMPORTRANGE(""https://docs.google.com/spreadsheets/d/1iodCdmuK2GR3jzUwk8tpccY2JHQQA-87DLOtJP-ooyU/edit?usp=sharing"",""นราธิวาส!R584"")+IMPORTRANGE(""https://docs.google.com/spreadsheets/d/1SDNX3JhDdYRuIOsj0Wh2M-Qa_eaXl0NbWmh"&amp;"AOTbfQAs/edit?usp=sharing"",""ปัตตานี!R584"")+IMPORTRANGE(""https://docs.google.com/spreadsheets/d/16JDLGguT8s5DsGCND1KcwHP_AWR_zDMTqLHPLJUKhaU/edit?usp=sharing"",""พังงา!R584"")+IMPORTRANGE(""https://docs.google.com/spreadsheets/d/17ht0gPKzzT3PObBL1XJkeR"&amp;"mntBXI7wGjpLV7QorqlTk/edit?usp=sharing"",""พัทลุง!R584"")+IMPORTRANGE(""https://docs.google.com/spreadsheets/d/1rd4qoM1q_hsgaolqNGfrim9gbsoLxQsda4-vOz5x_BM/edit?usp=sharing"",""ภูเก็ต!R584"")+IMPORTRANGE(""https://docs.google.com/spreadsheets/d/1woKwKjgoL"&amp;"ssDvPcPeVyezB5izizAn4X1JDrys69n6xI/edit?usp=sharing"",""ยะลา!R584"")+IMPORTRANGE(""https://docs.google.com/spreadsheets/d/1qfrKjzMhm2HJfxQ-qVlJlJQ25Hne1d0khsySbZyGtPA/edit?usp=sharing"",""ระนอง!R584"")+IMPORTRANGE(""https://docs.google.com/spreadsheets/d/"&amp;"1IbSCnFOKpZsnFogBHJnL_isstZVaOMnFiIN0fGTPZZw/edit?usp=sharing"",""สงขลา!R584"")+IMPORTRANGE(""https://docs.google.com/spreadsheets/d/1q9nWasZJ-K8bFGvbE9n0qSRuKGA4Toe3Y89cKCiVtCU/edit?usp=sharing"",""สตูล!R584"")+IMPORTRANGE(""https://docs.google.com/sprea"&amp;"dsheets/d/18T20gbkS_WBjdscyTOV05cvq_JqvqQ17C81mpxf7Ncs/edit?usp=sharing"",""สุราษฎร์ธานี!R584"")"),0)</f>
        <v>0</v>
      </c>
      <c r="S584" s="47">
        <f ca="1">IFERROR(__xludf.DUMMYFUNCTION("IMPORTRANGE(""https://docs.google.com/spreadsheets/d/1kKUcYdkIfrgTSj8iHHHB2MD2FAtwyyocFgqGQn6ADyI/edit?usp=sharing"",""กระบี่!S584"")+IMPORTRANGE(""https://docs.google.com/spreadsheets/d/1GwtLaSlNZkLk7iDqcyZz22giiy40b_usZZBXYciEN1U/edit?usp=sharing"",""ชุ"&amp;"มพร!S584"")+IMPORTRANGE(""https://docs.google.com/spreadsheets/d/16pAz3pOhQEZBhvFNMa5KGgZS6iKWpsKX0pg6tQmwFpo/edit?usp=sharing"",""ตรัง!S584"")+IMPORTRANGE(""https://docs.google.com/spreadsheets/d/1Dj4jcHCTV9JXKCaMoheSXS52JE63kDKyG7bPXnFogHk/edit?usp=shar"&amp;"ing"",""นครศรีธรรมราช!S584"")+IMPORTRANGE(""https://docs.google.com/spreadsheets/d/1iodCdmuK2GR3jzUwk8tpccY2JHQQA-87DLOtJP-ooyU/edit?usp=sharing"",""นราธิวาส!S584"")+IMPORTRANGE(""https://docs.google.com/spreadsheets/d/1SDNX3JhDdYRuIOsj0Wh2M-Qa_eaXl0NbWmh"&amp;"AOTbfQAs/edit?usp=sharing"",""ปัตตานี!S584"")+IMPORTRANGE(""https://docs.google.com/spreadsheets/d/16JDLGguT8s5DsGCND1KcwHP_AWR_zDMTqLHPLJUKhaU/edit?usp=sharing"",""พังงา!S584"")+IMPORTRANGE(""https://docs.google.com/spreadsheets/d/17ht0gPKzzT3PObBL1XJkeR"&amp;"mntBXI7wGjpLV7QorqlTk/edit?usp=sharing"",""พัทลุง!S584"")+IMPORTRANGE(""https://docs.google.com/spreadsheets/d/1rd4qoM1q_hsgaolqNGfrim9gbsoLxQsda4-vOz5x_BM/edit?usp=sharing"",""ภูเก็ต!S584"")+IMPORTRANGE(""https://docs.google.com/spreadsheets/d/1woKwKjgoL"&amp;"ssDvPcPeVyezB5izizAn4X1JDrys69n6xI/edit?usp=sharing"",""ยะลา!S584"")+IMPORTRANGE(""https://docs.google.com/spreadsheets/d/1qfrKjzMhm2HJfxQ-qVlJlJQ25Hne1d0khsySbZyGtPA/edit?usp=sharing"",""ระนอง!S584"")+IMPORTRANGE(""https://docs.google.com/spreadsheets/d/"&amp;"1IbSCnFOKpZsnFogBHJnL_isstZVaOMnFiIN0fGTPZZw/edit?usp=sharing"",""สงขลา!S584"")+IMPORTRANGE(""https://docs.google.com/spreadsheets/d/1q9nWasZJ-K8bFGvbE9n0qSRuKGA4Toe3Y89cKCiVtCU/edit?usp=sharing"",""สตูล!S584"")+IMPORTRANGE(""https://docs.google.com/sprea"&amp;"dsheets/d/18T20gbkS_WBjdscyTOV05cvq_JqvqQ17C81mpxf7Ncs/edit?usp=sharing"",""สุราษฎร์ธานี!S584"")"),0)</f>
        <v>0</v>
      </c>
      <c r="T584" s="47">
        <f t="shared" ca="1" si="412"/>
        <v>0</v>
      </c>
      <c r="U584" s="47">
        <f t="shared" ca="1" si="413"/>
        <v>0</v>
      </c>
    </row>
    <row r="585" spans="1:21" ht="19.5" x14ac:dyDescent="0.3">
      <c r="A585" s="138"/>
      <c r="B585" s="139"/>
      <c r="C585" s="386" t="s">
        <v>18</v>
      </c>
      <c r="D585" s="140" t="s">
        <v>38</v>
      </c>
      <c r="E585" s="141"/>
      <c r="F585" s="141"/>
      <c r="G585" s="142"/>
      <c r="H585" s="143"/>
      <c r="I585" s="135"/>
      <c r="J585" s="45"/>
      <c r="K585" s="46"/>
      <c r="L585" s="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f ca="1">IFERROR(__xludf.DUMMYFUNCTION("IMPORTRANGE(""https://docs.google.com/spreadsheets/d/1kKUcYdkIfrgTSj8iHHHB2MD2FAtwyyocFgqGQn6ADyI/edit?usp=sharing"",""กระบี่!I586"")+IMPORTRANGE(""https://docs.google.com/spreadsheets/d/1GwtLaSlNZkLk7iDqcyZz22giiy40b_usZZBXYciEN1U/edit?usp=sharing"",""ชุ"&amp;"มพร!I586"")+IMPORTRANGE(""https://docs.google.com/spreadsheets/d/1Dj4jcHCTV9JXKCaMoheSXS52JE63kDKyG7bPXnFogHk/edit?usp=sharing"",""นครศรีธรรมราช!I586"")+IMPORTRANGE(""https://docs.google.com/spreadsheets/d/17ht0gPKzzT3PObBL1XJkeRmntBXI7wGjpLV7QorqlTk/edit"&amp;"?usp=sharing"",""พัทลุง!I586"")+IMPORTRANGE(""https://docs.google.com/spreadsheets/d/18T20gbkS_WBjdscyTOV05cvq_JqvqQ17C81mpxf7Ncs/edit?usp=sharing"",""สุราษฎร์ธานี!I586"")"),12)</f>
        <v>12</v>
      </c>
      <c r="J586" s="175">
        <f ca="1">IFERROR(__xludf.DUMMYFUNCTION("IMPORTRANGE(""https://docs.google.com/spreadsheets/d/1kKUcYdkIfrgTSj8iHHHB2MD2FAtwyyocFgqGQn6ADyI/edit?usp=sharing"",""กระบี่!J586"")+IMPORTRANGE(""https://docs.google.com/spreadsheets/d/1GwtLaSlNZkLk7iDqcyZz22giiy40b_usZZBXYciEN1U/edit?usp=sharing"",""ชุ"&amp;"มพร!J586"")+IMPORTRANGE(""https://docs.google.com/spreadsheets/d/1Dj4jcHCTV9JXKCaMoheSXS52JE63kDKyG7bPXnFogHk/edit?usp=sharing"",""นครศรีธรรมราช!J586"")+IMPORTRANGE(""https://docs.google.com/spreadsheets/d/17ht0gPKzzT3PObBL1XJkeRmntBXI7wGjpLV7QorqlTk/edit"&amp;"?usp=sharing"",""พัทลุง!J586"")+IMPORTRANGE(""https://docs.google.com/spreadsheets/d/18T20gbkS_WBjdscyTOV05cvq_JqvqQ17C81mpxf7Ncs/edit?usp=sharing"",""สุราษฎร์ธานี!J586"")"),0)</f>
        <v>0</v>
      </c>
      <c r="K586" s="176">
        <f t="shared" ref="K586:K587" ca="1" si="422"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f ca="1">IFERROR(__xludf.DUMMYFUNCTION("IMPORTRANGE(""https://docs.google.com/spreadsheets/d/1kKUcYdkIfrgTSj8iHHHB2MD2FAtwyyocFgqGQn6ADyI/edit?usp=sharing"",""กระบี่!I587"")+IMPORTRANGE(""https://docs.google.com/spreadsheets/d/1GwtLaSlNZkLk7iDqcyZz22giiy40b_usZZBXYciEN1U/edit?usp=sharing"",""ชุ"&amp;"มพร!I587"")+IMPORTRANGE(""https://docs.google.com/spreadsheets/d/1Dj4jcHCTV9JXKCaMoheSXS52JE63kDKyG7bPXnFogHk/edit?usp=sharing"",""นครศรีธรรมราช!I587"")+IMPORTRANGE(""https://docs.google.com/spreadsheets/d/17ht0gPKzzT3PObBL1XJkeRmntBXI7wGjpLV7QorqlTk/edit"&amp;"?usp=sharing"",""พัทลุง!I587"")+IMPORTRANGE(""https://docs.google.com/spreadsheets/d/18T20gbkS_WBjdscyTOV05cvq_JqvqQ17C81mpxf7Ncs/edit?usp=sharing"",""สุราษฎร์ธานี!I587"")"),48)</f>
        <v>48</v>
      </c>
      <c r="J587" s="167">
        <f ca="1">IFERROR(__xludf.DUMMYFUNCTION("IMPORTRANGE(""https://docs.google.com/spreadsheets/d/1kKUcYdkIfrgTSj8iHHHB2MD2FAtwyyocFgqGQn6ADyI/edit?usp=sharing"",""กระบี่!J587"")+IMPORTRANGE(""https://docs.google.com/spreadsheets/d/1GwtLaSlNZkLk7iDqcyZz22giiy40b_usZZBXYciEN1U/edit?usp=sharing"",""ชุ"&amp;"มพร!J587"")+IMPORTRANGE(""https://docs.google.com/spreadsheets/d/1Dj4jcHCTV9JXKCaMoheSXS52JE63kDKyG7bPXnFogHk/edit?usp=sharing"",""นครศรีธรรมราช!J587"")+IMPORTRANGE(""https://docs.google.com/spreadsheets/d/17ht0gPKzzT3PObBL1XJkeRmntBXI7wGjpLV7QorqlTk/edit"&amp;"?usp=sharing"",""พัทลุง!J587"")+IMPORTRANGE(""https://docs.google.com/spreadsheets/d/18T20gbkS_WBjdscyTOV05cvq_JqvqQ17C81mpxf7Ncs/edit?usp=sharing"",""สุราษฎร์ธานี!J587"")"),0)</f>
        <v>0</v>
      </c>
      <c r="K587" s="47">
        <f t="shared" ca="1" si="422"/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247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247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247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247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247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247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247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336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411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411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417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421">
        <f t="shared" ref="L599:N599" ca="1" si="423">L600+L601</f>
        <v>69050</v>
      </c>
      <c r="M599" s="421">
        <f t="shared" ca="1" si="423"/>
        <v>69050</v>
      </c>
      <c r="N599" s="421">
        <f t="shared" ca="1" si="423"/>
        <v>0</v>
      </c>
      <c r="O599" s="421">
        <f t="shared" ref="O599:O607" ca="1" si="424">IF(L599&gt;0,N599*100/L599,0)</f>
        <v>0</v>
      </c>
      <c r="P599" s="421">
        <f t="shared" ref="P599:P607" ca="1" si="425">IF(M599&gt;0,N599*100/M599,0)</f>
        <v>0</v>
      </c>
      <c r="Q599" s="421">
        <f t="shared" ref="Q599:S599" ca="1" si="426">Q600+Q601</f>
        <v>0</v>
      </c>
      <c r="R599" s="421">
        <f t="shared" ca="1" si="426"/>
        <v>0</v>
      </c>
      <c r="S599" s="421">
        <f t="shared" ca="1" si="426"/>
        <v>0</v>
      </c>
      <c r="T599" s="421">
        <f t="shared" ref="T599:T607" ca="1" si="427">IF(Q599&gt;0,S599*100/Q599,0)</f>
        <v>0</v>
      </c>
      <c r="U599" s="421">
        <f t="shared" ref="U599:U607" ca="1" si="428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331">
        <f t="shared" ref="L600:N600" ca="1" si="429">L603+L606</f>
        <v>0</v>
      </c>
      <c r="M600" s="331">
        <f t="shared" ca="1" si="429"/>
        <v>0</v>
      </c>
      <c r="N600" s="331">
        <f t="shared" ca="1" si="429"/>
        <v>0</v>
      </c>
      <c r="O600" s="331">
        <f t="shared" ca="1" si="424"/>
        <v>0</v>
      </c>
      <c r="P600" s="331">
        <f t="shared" ca="1" si="425"/>
        <v>0</v>
      </c>
      <c r="Q600" s="331">
        <f t="shared" ref="Q600:S600" ca="1" si="430">Q603+Q606</f>
        <v>0</v>
      </c>
      <c r="R600" s="331">
        <f t="shared" ca="1" si="430"/>
        <v>0</v>
      </c>
      <c r="S600" s="331">
        <f t="shared" ca="1" si="430"/>
        <v>0</v>
      </c>
      <c r="T600" s="331">
        <f t="shared" ca="1" si="427"/>
        <v>0</v>
      </c>
      <c r="U600" s="331">
        <f t="shared" ca="1" si="428"/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331">
        <f t="shared" ref="L601:N601" ca="1" si="431">L604+L607</f>
        <v>69050</v>
      </c>
      <c r="M601" s="331">
        <f t="shared" ca="1" si="431"/>
        <v>69050</v>
      </c>
      <c r="N601" s="331">
        <f t="shared" ca="1" si="431"/>
        <v>0</v>
      </c>
      <c r="O601" s="331">
        <f t="shared" ca="1" si="424"/>
        <v>0</v>
      </c>
      <c r="P601" s="331">
        <f t="shared" ca="1" si="425"/>
        <v>0</v>
      </c>
      <c r="Q601" s="331">
        <f t="shared" ref="Q601:S601" ca="1" si="432">Q604+Q607</f>
        <v>0</v>
      </c>
      <c r="R601" s="331">
        <f t="shared" ca="1" si="432"/>
        <v>0</v>
      </c>
      <c r="S601" s="331">
        <f t="shared" ca="1" si="432"/>
        <v>0</v>
      </c>
      <c r="T601" s="331">
        <f t="shared" ca="1" si="427"/>
        <v>0</v>
      </c>
      <c r="U601" s="331">
        <f t="shared" ca="1" si="428"/>
        <v>0</v>
      </c>
    </row>
    <row r="602" spans="1:21" ht="19.5" x14ac:dyDescent="0.3">
      <c r="A602" s="416"/>
      <c r="B602" s="326"/>
      <c r="C602" s="326"/>
      <c r="D602" s="427" t="s">
        <v>22</v>
      </c>
      <c r="E602" s="424"/>
      <c r="F602" s="424"/>
      <c r="G602" s="425"/>
      <c r="H602" s="419" t="s">
        <v>14</v>
      </c>
      <c r="I602" s="428"/>
      <c r="J602" s="428"/>
      <c r="K602" s="429"/>
      <c r="L602" s="331">
        <f t="shared" ref="L602:N602" ca="1" si="433">L603+L604</f>
        <v>69050</v>
      </c>
      <c r="M602" s="331">
        <f t="shared" ca="1" si="433"/>
        <v>69050</v>
      </c>
      <c r="N602" s="331">
        <f t="shared" ca="1" si="433"/>
        <v>0</v>
      </c>
      <c r="O602" s="331">
        <f t="shared" ca="1" si="424"/>
        <v>0</v>
      </c>
      <c r="P602" s="331">
        <f t="shared" ca="1" si="425"/>
        <v>0</v>
      </c>
      <c r="Q602" s="331">
        <f t="shared" ref="Q602:S602" ca="1" si="434">Q603+Q604</f>
        <v>0</v>
      </c>
      <c r="R602" s="331">
        <f t="shared" ca="1" si="434"/>
        <v>0</v>
      </c>
      <c r="S602" s="331">
        <f t="shared" ca="1" si="434"/>
        <v>0</v>
      </c>
      <c r="T602" s="331">
        <f t="shared" ca="1" si="427"/>
        <v>0</v>
      </c>
      <c r="U602" s="331">
        <f t="shared" ca="1" si="428"/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331">
        <f ca="1">IFERROR(__xludf.DUMMYFUNCTION("IMPORTRANGE(""https://docs.google.com/spreadsheets/d/1kKUcYdkIfrgTSj8iHHHB2MD2FAtwyyocFgqGQn6ADyI/edit?usp=sharing"",""กระบี่!L603"")+IMPORTRANGE(""https://docs.google.com/spreadsheets/d/1GwtLaSlNZkLk7iDqcyZz22giiy40b_usZZBXYciEN1U/edit?usp=sharing"",""ชุ"&amp;"มพร!L603"")+IMPORTRANGE(""https://docs.google.com/spreadsheets/d/16pAz3pOhQEZBhvFNMa5KGgZS6iKWpsKX0pg6tQmwFpo/edit?usp=sharing"",""ตรัง!L603"")+IMPORTRANGE(""https://docs.google.com/spreadsheets/d/1Dj4jcHCTV9JXKCaMoheSXS52JE63kDKyG7bPXnFogHk/edit?usp=shar"&amp;"ing"",""นครศรีธรรมราช!L603"")+IMPORTRANGE(""https://docs.google.com/spreadsheets/d/1iodCdmuK2GR3jzUwk8tpccY2JHQQA-87DLOtJP-ooyU/edit?usp=sharing"",""นราธิวาส!L603"")+IMPORTRANGE(""https://docs.google.com/spreadsheets/d/1SDNX3JhDdYRuIOsj0Wh2M-Qa_eaXl0NbWmh"&amp;"AOTbfQAs/edit?usp=sharing"",""ปัตตานี!L603"")+IMPORTRANGE(""https://docs.google.com/spreadsheets/d/16JDLGguT8s5DsGCND1KcwHP_AWR_zDMTqLHPLJUKhaU/edit?usp=sharing"",""พังงา!L603"")+IMPORTRANGE(""https://docs.google.com/spreadsheets/d/17ht0gPKzzT3PObBL1XJkeR"&amp;"mntBXI7wGjpLV7QorqlTk/edit?usp=sharing"",""พัทลุง!L603"")+IMPORTRANGE(""https://docs.google.com/spreadsheets/d/1rd4qoM1q_hsgaolqNGfrim9gbsoLxQsda4-vOz5x_BM/edit?usp=sharing"",""ภูเก็ต!L603"")+IMPORTRANGE(""https://docs.google.com/spreadsheets/d/1woKwKjgoL"&amp;"ssDvPcPeVyezB5izizAn4X1JDrys69n6xI/edit?usp=sharing"",""ยะลา!L603"")+IMPORTRANGE(""https://docs.google.com/spreadsheets/d/1qfrKjzMhm2HJfxQ-qVlJlJQ25Hne1d0khsySbZyGtPA/edit?usp=sharing"",""ระนอง!L603"")+IMPORTRANGE(""https://docs.google.com/spreadsheets/d/"&amp;"1IbSCnFOKpZsnFogBHJnL_isstZVaOMnFiIN0fGTPZZw/edit?usp=sharing"",""สงขลา!L603"")+IMPORTRANGE(""https://docs.google.com/spreadsheets/d/1q9nWasZJ-K8bFGvbE9n0qSRuKGA4Toe3Y89cKCiVtCU/edit?usp=sharing"",""สตูล!L603"")+IMPORTRANGE(""https://docs.google.com/sprea"&amp;"dsheets/d/18T20gbkS_WBjdscyTOV05cvq_JqvqQ17C81mpxf7Ncs/edit?usp=sharing"",""สุราษฎร์ธานี!L603"")"),0)</f>
        <v>0</v>
      </c>
      <c r="M603" s="331">
        <f ca="1">IFERROR(__xludf.DUMMYFUNCTION("IMPORTRANGE(""https://docs.google.com/spreadsheets/d/1kKUcYdkIfrgTSj8iHHHB2MD2FAtwyyocFgqGQn6ADyI/edit?usp=sharing"",""กระบี่!M603"")+IMPORTRANGE(""https://docs.google.com/spreadsheets/d/1GwtLaSlNZkLk7iDqcyZz22giiy40b_usZZBXYciEN1U/edit?usp=sharing"",""ชุ"&amp;"มพร!M603"")+IMPORTRANGE(""https://docs.google.com/spreadsheets/d/16pAz3pOhQEZBhvFNMa5KGgZS6iKWpsKX0pg6tQmwFpo/edit?usp=sharing"",""ตรัง!M603"")+IMPORTRANGE(""https://docs.google.com/spreadsheets/d/1Dj4jcHCTV9JXKCaMoheSXS52JE63kDKyG7bPXnFogHk/edit?usp=shar"&amp;"ing"",""นครศรีธรรมราช!M603"")+IMPORTRANGE(""https://docs.google.com/spreadsheets/d/1iodCdmuK2GR3jzUwk8tpccY2JHQQA-87DLOtJP-ooyU/edit?usp=sharing"",""นราธิวาส!M603"")+IMPORTRANGE(""https://docs.google.com/spreadsheets/d/1SDNX3JhDdYRuIOsj0Wh2M-Qa_eaXl0NbWmh"&amp;"AOTbfQAs/edit?usp=sharing"",""ปัตตานี!M603"")+IMPORTRANGE(""https://docs.google.com/spreadsheets/d/16JDLGguT8s5DsGCND1KcwHP_AWR_zDMTqLHPLJUKhaU/edit?usp=sharing"",""พังงา!M603"")+IMPORTRANGE(""https://docs.google.com/spreadsheets/d/17ht0gPKzzT3PObBL1XJkeR"&amp;"mntBXI7wGjpLV7QorqlTk/edit?usp=sharing"",""พัทลุง!M603"")+IMPORTRANGE(""https://docs.google.com/spreadsheets/d/1rd4qoM1q_hsgaolqNGfrim9gbsoLxQsda4-vOz5x_BM/edit?usp=sharing"",""ภูเก็ต!M603"")+IMPORTRANGE(""https://docs.google.com/spreadsheets/d/1woKwKjgoL"&amp;"ssDvPcPeVyezB5izizAn4X1JDrys69n6xI/edit?usp=sharing"",""ยะลา!M603"")+IMPORTRANGE(""https://docs.google.com/spreadsheets/d/1qfrKjzMhm2HJfxQ-qVlJlJQ25Hne1d0khsySbZyGtPA/edit?usp=sharing"",""ระนอง!M603"")+IMPORTRANGE(""https://docs.google.com/spreadsheets/d/"&amp;"1IbSCnFOKpZsnFogBHJnL_isstZVaOMnFiIN0fGTPZZw/edit?usp=sharing"",""สงขลา!M603"")+IMPORTRANGE(""https://docs.google.com/spreadsheets/d/1q9nWasZJ-K8bFGvbE9n0qSRuKGA4Toe3Y89cKCiVtCU/edit?usp=sharing"",""สตูล!M603"")+IMPORTRANGE(""https://docs.google.com/sprea"&amp;"dsheets/d/18T20gbkS_WBjdscyTOV05cvq_JqvqQ17C81mpxf7Ncs/edit?usp=sharing"",""สุราษฎร์ธานี!M603"")"),0)</f>
        <v>0</v>
      </c>
      <c r="N603" s="331">
        <f ca="1">IFERROR(__xludf.DUMMYFUNCTION("IMPORTRANGE(""https://docs.google.com/spreadsheets/d/1kKUcYdkIfrgTSj8iHHHB2MD2FAtwyyocFgqGQn6ADyI/edit?usp=sharing"",""กระบี่!N603"")+IMPORTRANGE(""https://docs.google.com/spreadsheets/d/1GwtLaSlNZkLk7iDqcyZz22giiy40b_usZZBXYciEN1U/edit?usp=sharing"",""ชุ"&amp;"มพร!N603"")+IMPORTRANGE(""https://docs.google.com/spreadsheets/d/16pAz3pOhQEZBhvFNMa5KGgZS6iKWpsKX0pg6tQmwFpo/edit?usp=sharing"",""ตรัง!N603"")+IMPORTRANGE(""https://docs.google.com/spreadsheets/d/1Dj4jcHCTV9JXKCaMoheSXS52JE63kDKyG7bPXnFogHk/edit?usp=shar"&amp;"ing"",""นครศรีธรรมราช!N603"")+IMPORTRANGE(""https://docs.google.com/spreadsheets/d/1iodCdmuK2GR3jzUwk8tpccY2JHQQA-87DLOtJP-ooyU/edit?usp=sharing"",""นราธิวาส!N603"")+IMPORTRANGE(""https://docs.google.com/spreadsheets/d/1SDNX3JhDdYRuIOsj0Wh2M-Qa_eaXl0NbWmh"&amp;"AOTbfQAs/edit?usp=sharing"",""ปัตตานี!N603"")+IMPORTRANGE(""https://docs.google.com/spreadsheets/d/16JDLGguT8s5DsGCND1KcwHP_AWR_zDMTqLHPLJUKhaU/edit?usp=sharing"",""พังงา!N603"")+IMPORTRANGE(""https://docs.google.com/spreadsheets/d/17ht0gPKzzT3PObBL1XJkeR"&amp;"mntBXI7wGjpLV7QorqlTk/edit?usp=sharing"",""พัทลุง!N603"")+IMPORTRANGE(""https://docs.google.com/spreadsheets/d/1rd4qoM1q_hsgaolqNGfrim9gbsoLxQsda4-vOz5x_BM/edit?usp=sharing"",""ภูเก็ต!N603"")+IMPORTRANGE(""https://docs.google.com/spreadsheets/d/1woKwKjgoL"&amp;"ssDvPcPeVyezB5izizAn4X1JDrys69n6xI/edit?usp=sharing"",""ยะลา!N603"")+IMPORTRANGE(""https://docs.google.com/spreadsheets/d/1qfrKjzMhm2HJfxQ-qVlJlJQ25Hne1d0khsySbZyGtPA/edit?usp=sharing"",""ระนอง!N603"")+IMPORTRANGE(""https://docs.google.com/spreadsheets/d/"&amp;"1IbSCnFOKpZsnFogBHJnL_isstZVaOMnFiIN0fGTPZZw/edit?usp=sharing"",""สงขลา!N603"")+IMPORTRANGE(""https://docs.google.com/spreadsheets/d/1q9nWasZJ-K8bFGvbE9n0qSRuKGA4Toe3Y89cKCiVtCU/edit?usp=sharing"",""สตูล!N603"")+IMPORTRANGE(""https://docs.google.com/sprea"&amp;"dsheets/d/18T20gbkS_WBjdscyTOV05cvq_JqvqQ17C81mpxf7Ncs/edit?usp=sharing"",""สุราษฎร์ธานี!N603"")"),0)</f>
        <v>0</v>
      </c>
      <c r="O603" s="331">
        <f t="shared" ca="1" si="424"/>
        <v>0</v>
      </c>
      <c r="P603" s="331">
        <f t="shared" ca="1" si="425"/>
        <v>0</v>
      </c>
      <c r="Q603" s="331">
        <f ca="1">IFERROR(__xludf.DUMMYFUNCTION("IMPORTRANGE(""https://docs.google.com/spreadsheets/d/1kKUcYdkIfrgTSj8iHHHB2MD2FAtwyyocFgqGQn6ADyI/edit?usp=sharing"",""กระบี่!Q603"")+IMPORTRANGE(""https://docs.google.com/spreadsheets/d/1GwtLaSlNZkLk7iDqcyZz22giiy40b_usZZBXYciEN1U/edit?usp=sharing"",""ชุ"&amp;"มพร!Q603"")+IMPORTRANGE(""https://docs.google.com/spreadsheets/d/16pAz3pOhQEZBhvFNMa5KGgZS6iKWpsKX0pg6tQmwFpo/edit?usp=sharing"",""ตรัง!Q603"")+IMPORTRANGE(""https://docs.google.com/spreadsheets/d/1Dj4jcHCTV9JXKCaMoheSXS52JE63kDKyG7bPXnFogHk/edit?usp=shar"&amp;"ing"",""นครศรีธรรมราช!Q603"")+IMPORTRANGE(""https://docs.google.com/spreadsheets/d/1iodCdmuK2GR3jzUwk8tpccY2JHQQA-87DLOtJP-ooyU/edit?usp=sharing"",""นราธิวาส!Q603"")+IMPORTRANGE(""https://docs.google.com/spreadsheets/d/1SDNX3JhDdYRuIOsj0Wh2M-Qa_eaXl0NbWmh"&amp;"AOTbfQAs/edit?usp=sharing"",""ปัตตานี!Q603"")+IMPORTRANGE(""https://docs.google.com/spreadsheets/d/16JDLGguT8s5DsGCND1KcwHP_AWR_zDMTqLHPLJUKhaU/edit?usp=sharing"",""พังงา!Q603"")+IMPORTRANGE(""https://docs.google.com/spreadsheets/d/17ht0gPKzzT3PObBL1XJkeR"&amp;"mntBXI7wGjpLV7QorqlTk/edit?usp=sharing"",""พัทลุง!Q603"")+IMPORTRANGE(""https://docs.google.com/spreadsheets/d/1rd4qoM1q_hsgaolqNGfrim9gbsoLxQsda4-vOz5x_BM/edit?usp=sharing"",""ภูเก็ต!Q603"")+IMPORTRANGE(""https://docs.google.com/spreadsheets/d/1woKwKjgoL"&amp;"ssDvPcPeVyezB5izizAn4X1JDrys69n6xI/edit?usp=sharing"",""ยะลา!Q603"")+IMPORTRANGE(""https://docs.google.com/spreadsheets/d/1qfrKjzMhm2HJfxQ-qVlJlJQ25Hne1d0khsySbZyGtPA/edit?usp=sharing"",""ระนอง!Q603"")+IMPORTRANGE(""https://docs.google.com/spreadsheets/d/"&amp;"1IbSCnFOKpZsnFogBHJnL_isstZVaOMnFiIN0fGTPZZw/edit?usp=sharing"",""สงขลา!Q603"")+IMPORTRANGE(""https://docs.google.com/spreadsheets/d/1q9nWasZJ-K8bFGvbE9n0qSRuKGA4Toe3Y89cKCiVtCU/edit?usp=sharing"",""สตูล!Q603"")+IMPORTRANGE(""https://docs.google.com/sprea"&amp;"dsheets/d/18T20gbkS_WBjdscyTOV05cvq_JqvqQ17C81mpxf7Ncs/edit?usp=sharing"",""สุราษฎร์ธานี!Q603"")"),0)</f>
        <v>0</v>
      </c>
      <c r="R603" s="331">
        <f ca="1">IFERROR(__xludf.DUMMYFUNCTION("IMPORTRANGE(""https://docs.google.com/spreadsheets/d/1kKUcYdkIfrgTSj8iHHHB2MD2FAtwyyocFgqGQn6ADyI/edit?usp=sharing"",""กระบี่!R603"")+IMPORTRANGE(""https://docs.google.com/spreadsheets/d/1GwtLaSlNZkLk7iDqcyZz22giiy40b_usZZBXYciEN1U/edit?usp=sharing"",""ชุ"&amp;"มพร!R603"")+IMPORTRANGE(""https://docs.google.com/spreadsheets/d/16pAz3pOhQEZBhvFNMa5KGgZS6iKWpsKX0pg6tQmwFpo/edit?usp=sharing"",""ตรัง!R603"")+IMPORTRANGE(""https://docs.google.com/spreadsheets/d/1Dj4jcHCTV9JXKCaMoheSXS52JE63kDKyG7bPXnFogHk/edit?usp=shar"&amp;"ing"",""นครศรีธรรมราช!R603"")+IMPORTRANGE(""https://docs.google.com/spreadsheets/d/1iodCdmuK2GR3jzUwk8tpccY2JHQQA-87DLOtJP-ooyU/edit?usp=sharing"",""นราธิวาส!R603"")+IMPORTRANGE(""https://docs.google.com/spreadsheets/d/1SDNX3JhDdYRuIOsj0Wh2M-Qa_eaXl0NbWmh"&amp;"AOTbfQAs/edit?usp=sharing"",""ปัตตานี!R603"")+IMPORTRANGE(""https://docs.google.com/spreadsheets/d/16JDLGguT8s5DsGCND1KcwHP_AWR_zDMTqLHPLJUKhaU/edit?usp=sharing"",""พังงา!R603"")+IMPORTRANGE(""https://docs.google.com/spreadsheets/d/17ht0gPKzzT3PObBL1XJkeR"&amp;"mntBXI7wGjpLV7QorqlTk/edit?usp=sharing"",""พัทลุง!R603"")+IMPORTRANGE(""https://docs.google.com/spreadsheets/d/1rd4qoM1q_hsgaolqNGfrim9gbsoLxQsda4-vOz5x_BM/edit?usp=sharing"",""ภูเก็ต!R603"")+IMPORTRANGE(""https://docs.google.com/spreadsheets/d/1woKwKjgoL"&amp;"ssDvPcPeVyezB5izizAn4X1JDrys69n6xI/edit?usp=sharing"",""ยะลา!R603"")+IMPORTRANGE(""https://docs.google.com/spreadsheets/d/1qfrKjzMhm2HJfxQ-qVlJlJQ25Hne1d0khsySbZyGtPA/edit?usp=sharing"",""ระนอง!R603"")+IMPORTRANGE(""https://docs.google.com/spreadsheets/d/"&amp;"1IbSCnFOKpZsnFogBHJnL_isstZVaOMnFiIN0fGTPZZw/edit?usp=sharing"",""สงขลา!R603"")+IMPORTRANGE(""https://docs.google.com/spreadsheets/d/1q9nWasZJ-K8bFGvbE9n0qSRuKGA4Toe3Y89cKCiVtCU/edit?usp=sharing"",""สตูล!R603"")+IMPORTRANGE(""https://docs.google.com/sprea"&amp;"dsheets/d/18T20gbkS_WBjdscyTOV05cvq_JqvqQ17C81mpxf7Ncs/edit?usp=sharing"",""สุราษฎร์ธานี!R603"")"),0)</f>
        <v>0</v>
      </c>
      <c r="S603" s="331">
        <f ca="1">IFERROR(__xludf.DUMMYFUNCTION("IMPORTRANGE(""https://docs.google.com/spreadsheets/d/1kKUcYdkIfrgTSj8iHHHB2MD2FAtwyyocFgqGQn6ADyI/edit?usp=sharing"",""กระบี่!S603"")+IMPORTRANGE(""https://docs.google.com/spreadsheets/d/1GwtLaSlNZkLk7iDqcyZz22giiy40b_usZZBXYciEN1U/edit?usp=sharing"",""ชุ"&amp;"มพร!S603"")+IMPORTRANGE(""https://docs.google.com/spreadsheets/d/16pAz3pOhQEZBhvFNMa5KGgZS6iKWpsKX0pg6tQmwFpo/edit?usp=sharing"",""ตรัง!S603"")+IMPORTRANGE(""https://docs.google.com/spreadsheets/d/1Dj4jcHCTV9JXKCaMoheSXS52JE63kDKyG7bPXnFogHk/edit?usp=shar"&amp;"ing"",""นครศรีธรรมราช!S603"")+IMPORTRANGE(""https://docs.google.com/spreadsheets/d/1iodCdmuK2GR3jzUwk8tpccY2JHQQA-87DLOtJP-ooyU/edit?usp=sharing"",""นราธิวาส!S603"")+IMPORTRANGE(""https://docs.google.com/spreadsheets/d/1SDNX3JhDdYRuIOsj0Wh2M-Qa_eaXl0NbWmh"&amp;"AOTbfQAs/edit?usp=sharing"",""ปัตตานี!S603"")+IMPORTRANGE(""https://docs.google.com/spreadsheets/d/16JDLGguT8s5DsGCND1KcwHP_AWR_zDMTqLHPLJUKhaU/edit?usp=sharing"",""พังงา!S603"")+IMPORTRANGE(""https://docs.google.com/spreadsheets/d/17ht0gPKzzT3PObBL1XJkeR"&amp;"mntBXI7wGjpLV7QorqlTk/edit?usp=sharing"",""พัทลุง!S603"")+IMPORTRANGE(""https://docs.google.com/spreadsheets/d/1rd4qoM1q_hsgaolqNGfrim9gbsoLxQsda4-vOz5x_BM/edit?usp=sharing"",""ภูเก็ต!S603"")+IMPORTRANGE(""https://docs.google.com/spreadsheets/d/1woKwKjgoL"&amp;"ssDvPcPeVyezB5izizAn4X1JDrys69n6xI/edit?usp=sharing"",""ยะลา!S603"")+IMPORTRANGE(""https://docs.google.com/spreadsheets/d/1qfrKjzMhm2HJfxQ-qVlJlJQ25Hne1d0khsySbZyGtPA/edit?usp=sharing"",""ระนอง!S603"")+IMPORTRANGE(""https://docs.google.com/spreadsheets/d/"&amp;"1IbSCnFOKpZsnFogBHJnL_isstZVaOMnFiIN0fGTPZZw/edit?usp=sharing"",""สงขลา!S603"")+IMPORTRANGE(""https://docs.google.com/spreadsheets/d/1q9nWasZJ-K8bFGvbE9n0qSRuKGA4Toe3Y89cKCiVtCU/edit?usp=sharing"",""สตูล!S603"")+IMPORTRANGE(""https://docs.google.com/sprea"&amp;"dsheets/d/18T20gbkS_WBjdscyTOV05cvq_JqvqQ17C81mpxf7Ncs/edit?usp=sharing"",""สุราษฎร์ธานี!S603"")"),0)</f>
        <v>0</v>
      </c>
      <c r="T603" s="331">
        <f t="shared" ca="1" si="427"/>
        <v>0</v>
      </c>
      <c r="U603" s="331">
        <f t="shared" ca="1" si="428"/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331">
        <f ca="1">IFERROR(__xludf.DUMMYFUNCTION("IMPORTRANGE(""https://docs.google.com/spreadsheets/d/1kKUcYdkIfrgTSj8iHHHB2MD2FAtwyyocFgqGQn6ADyI/edit?usp=sharing"",""กระบี่!L604"")+IMPORTRANGE(""https://docs.google.com/spreadsheets/d/1GwtLaSlNZkLk7iDqcyZz22giiy40b_usZZBXYciEN1U/edit?usp=sharing"",""ชุ"&amp;"มพร!L604"")+IMPORTRANGE(""https://docs.google.com/spreadsheets/d/16pAz3pOhQEZBhvFNMa5KGgZS6iKWpsKX0pg6tQmwFpo/edit?usp=sharing"",""ตรัง!L604"")+IMPORTRANGE(""https://docs.google.com/spreadsheets/d/1Dj4jcHCTV9JXKCaMoheSXS52JE63kDKyG7bPXnFogHk/edit?usp=shar"&amp;"ing"",""นครศรีธรรมราช!L604"")+IMPORTRANGE(""https://docs.google.com/spreadsheets/d/1iodCdmuK2GR3jzUwk8tpccY2JHQQA-87DLOtJP-ooyU/edit?usp=sharing"",""นราธิวาส!L604"")+IMPORTRANGE(""https://docs.google.com/spreadsheets/d/1SDNX3JhDdYRuIOsj0Wh2M-Qa_eaXl0NbWmh"&amp;"AOTbfQAs/edit?usp=sharing"",""ปัตตานี!L604"")+IMPORTRANGE(""https://docs.google.com/spreadsheets/d/16JDLGguT8s5DsGCND1KcwHP_AWR_zDMTqLHPLJUKhaU/edit?usp=sharing"",""พังงา!L604"")+IMPORTRANGE(""https://docs.google.com/spreadsheets/d/17ht0gPKzzT3PObBL1XJkeR"&amp;"mntBXI7wGjpLV7QorqlTk/edit?usp=sharing"",""พัทลุง!L604"")+IMPORTRANGE(""https://docs.google.com/spreadsheets/d/1rd4qoM1q_hsgaolqNGfrim9gbsoLxQsda4-vOz5x_BM/edit?usp=sharing"",""ภูเก็ต!L604"")+IMPORTRANGE(""https://docs.google.com/spreadsheets/d/1woKwKjgoL"&amp;"ssDvPcPeVyezB5izizAn4X1JDrys69n6xI/edit?usp=sharing"",""ยะลา!L604"")+IMPORTRANGE(""https://docs.google.com/spreadsheets/d/1qfrKjzMhm2HJfxQ-qVlJlJQ25Hne1d0khsySbZyGtPA/edit?usp=sharing"",""ระนอง!L604"")+IMPORTRANGE(""https://docs.google.com/spreadsheets/d/"&amp;"1IbSCnFOKpZsnFogBHJnL_isstZVaOMnFiIN0fGTPZZw/edit?usp=sharing"",""สงขลา!L604"")+IMPORTRANGE(""https://docs.google.com/spreadsheets/d/1q9nWasZJ-K8bFGvbE9n0qSRuKGA4Toe3Y89cKCiVtCU/edit?usp=sharing"",""สตูล!L604"")+IMPORTRANGE(""https://docs.google.com/sprea"&amp;"dsheets/d/18T20gbkS_WBjdscyTOV05cvq_JqvqQ17C81mpxf7Ncs/edit?usp=sharing"",""สุราษฎร์ธานี!L604"")"),69050)</f>
        <v>69050</v>
      </c>
      <c r="M604" s="331">
        <f ca="1">IFERROR(__xludf.DUMMYFUNCTION("IMPORTRANGE(""https://docs.google.com/spreadsheets/d/1kKUcYdkIfrgTSj8iHHHB2MD2FAtwyyocFgqGQn6ADyI/edit?usp=sharing"",""กระบี่!M604"")+IMPORTRANGE(""https://docs.google.com/spreadsheets/d/1GwtLaSlNZkLk7iDqcyZz22giiy40b_usZZBXYciEN1U/edit?usp=sharing"",""ชุ"&amp;"มพร!M604"")+IMPORTRANGE(""https://docs.google.com/spreadsheets/d/16pAz3pOhQEZBhvFNMa5KGgZS6iKWpsKX0pg6tQmwFpo/edit?usp=sharing"",""ตรัง!M604"")+IMPORTRANGE(""https://docs.google.com/spreadsheets/d/1Dj4jcHCTV9JXKCaMoheSXS52JE63kDKyG7bPXnFogHk/edit?usp=shar"&amp;"ing"",""นครศรีธรรมราช!M604"")+IMPORTRANGE(""https://docs.google.com/spreadsheets/d/1iodCdmuK2GR3jzUwk8tpccY2JHQQA-87DLOtJP-ooyU/edit?usp=sharing"",""นราธิวาส!M604"")+IMPORTRANGE(""https://docs.google.com/spreadsheets/d/1SDNX3JhDdYRuIOsj0Wh2M-Qa_eaXl0NbWmh"&amp;"AOTbfQAs/edit?usp=sharing"",""ปัตตานี!M604"")+IMPORTRANGE(""https://docs.google.com/spreadsheets/d/16JDLGguT8s5DsGCND1KcwHP_AWR_zDMTqLHPLJUKhaU/edit?usp=sharing"",""พังงา!M604"")+IMPORTRANGE(""https://docs.google.com/spreadsheets/d/17ht0gPKzzT3PObBL1XJkeR"&amp;"mntBXI7wGjpLV7QorqlTk/edit?usp=sharing"",""พัทลุง!M604"")+IMPORTRANGE(""https://docs.google.com/spreadsheets/d/1rd4qoM1q_hsgaolqNGfrim9gbsoLxQsda4-vOz5x_BM/edit?usp=sharing"",""ภูเก็ต!M604"")+IMPORTRANGE(""https://docs.google.com/spreadsheets/d/1woKwKjgoL"&amp;"ssDvPcPeVyezB5izizAn4X1JDrys69n6xI/edit?usp=sharing"",""ยะลา!M604"")+IMPORTRANGE(""https://docs.google.com/spreadsheets/d/1qfrKjzMhm2HJfxQ-qVlJlJQ25Hne1d0khsySbZyGtPA/edit?usp=sharing"",""ระนอง!M604"")+IMPORTRANGE(""https://docs.google.com/spreadsheets/d/"&amp;"1IbSCnFOKpZsnFogBHJnL_isstZVaOMnFiIN0fGTPZZw/edit?usp=sharing"",""สงขลา!M604"")+IMPORTRANGE(""https://docs.google.com/spreadsheets/d/1q9nWasZJ-K8bFGvbE9n0qSRuKGA4Toe3Y89cKCiVtCU/edit?usp=sharing"",""สตูล!M604"")+IMPORTRANGE(""https://docs.google.com/sprea"&amp;"dsheets/d/18T20gbkS_WBjdscyTOV05cvq_JqvqQ17C81mpxf7Ncs/edit?usp=sharing"",""สุราษฎร์ธานี!M604"")"),69050)</f>
        <v>69050</v>
      </c>
      <c r="N604" s="331">
        <f ca="1">IFERROR(__xludf.DUMMYFUNCTION("IMPORTRANGE(""https://docs.google.com/spreadsheets/d/1kKUcYdkIfrgTSj8iHHHB2MD2FAtwyyocFgqGQn6ADyI/edit?usp=sharing"",""กระบี่!N604"")+IMPORTRANGE(""https://docs.google.com/spreadsheets/d/1GwtLaSlNZkLk7iDqcyZz22giiy40b_usZZBXYciEN1U/edit?usp=sharing"",""ชุ"&amp;"มพร!N604"")+IMPORTRANGE(""https://docs.google.com/spreadsheets/d/16pAz3pOhQEZBhvFNMa5KGgZS6iKWpsKX0pg6tQmwFpo/edit?usp=sharing"",""ตรัง!N604"")+IMPORTRANGE(""https://docs.google.com/spreadsheets/d/1Dj4jcHCTV9JXKCaMoheSXS52JE63kDKyG7bPXnFogHk/edit?usp=shar"&amp;"ing"",""นครศรีธรรมราช!N604"")+IMPORTRANGE(""https://docs.google.com/spreadsheets/d/1iodCdmuK2GR3jzUwk8tpccY2JHQQA-87DLOtJP-ooyU/edit?usp=sharing"",""นราธิวาส!N604"")+IMPORTRANGE(""https://docs.google.com/spreadsheets/d/1SDNX3JhDdYRuIOsj0Wh2M-Qa_eaXl0NbWmh"&amp;"AOTbfQAs/edit?usp=sharing"",""ปัตตานี!N604"")+IMPORTRANGE(""https://docs.google.com/spreadsheets/d/16JDLGguT8s5DsGCND1KcwHP_AWR_zDMTqLHPLJUKhaU/edit?usp=sharing"",""พังงา!N604"")+IMPORTRANGE(""https://docs.google.com/spreadsheets/d/17ht0gPKzzT3PObBL1XJkeR"&amp;"mntBXI7wGjpLV7QorqlTk/edit?usp=sharing"",""พัทลุง!N604"")+IMPORTRANGE(""https://docs.google.com/spreadsheets/d/1rd4qoM1q_hsgaolqNGfrim9gbsoLxQsda4-vOz5x_BM/edit?usp=sharing"",""ภูเก็ต!N604"")+IMPORTRANGE(""https://docs.google.com/spreadsheets/d/1woKwKjgoL"&amp;"ssDvPcPeVyezB5izizAn4X1JDrys69n6xI/edit?usp=sharing"",""ยะลา!N604"")+IMPORTRANGE(""https://docs.google.com/spreadsheets/d/1qfrKjzMhm2HJfxQ-qVlJlJQ25Hne1d0khsySbZyGtPA/edit?usp=sharing"",""ระนอง!N604"")+IMPORTRANGE(""https://docs.google.com/spreadsheets/d/"&amp;"1IbSCnFOKpZsnFogBHJnL_isstZVaOMnFiIN0fGTPZZw/edit?usp=sharing"",""สงขลา!N604"")+IMPORTRANGE(""https://docs.google.com/spreadsheets/d/1q9nWasZJ-K8bFGvbE9n0qSRuKGA4Toe3Y89cKCiVtCU/edit?usp=sharing"",""สตูล!N604"")+IMPORTRANGE(""https://docs.google.com/sprea"&amp;"dsheets/d/18T20gbkS_WBjdscyTOV05cvq_JqvqQ17C81mpxf7Ncs/edit?usp=sharing"",""สุราษฎร์ธานี!N604"")"),0)</f>
        <v>0</v>
      </c>
      <c r="O604" s="331">
        <f t="shared" ca="1" si="424"/>
        <v>0</v>
      </c>
      <c r="P604" s="331">
        <f t="shared" ca="1" si="425"/>
        <v>0</v>
      </c>
      <c r="Q604" s="331">
        <f ca="1">IFERROR(__xludf.DUMMYFUNCTION("IMPORTRANGE(""https://docs.google.com/spreadsheets/d/1kKUcYdkIfrgTSj8iHHHB2MD2FAtwyyocFgqGQn6ADyI/edit?usp=sharing"",""กระบี่!Q604"")+IMPORTRANGE(""https://docs.google.com/spreadsheets/d/1GwtLaSlNZkLk7iDqcyZz22giiy40b_usZZBXYciEN1U/edit?usp=sharing"",""ชุ"&amp;"มพร!Q604"")+IMPORTRANGE(""https://docs.google.com/spreadsheets/d/16pAz3pOhQEZBhvFNMa5KGgZS6iKWpsKX0pg6tQmwFpo/edit?usp=sharing"",""ตรัง!Q604"")+IMPORTRANGE(""https://docs.google.com/spreadsheets/d/1Dj4jcHCTV9JXKCaMoheSXS52JE63kDKyG7bPXnFogHk/edit?usp=shar"&amp;"ing"",""นครศรีธรรมราช!Q604"")+IMPORTRANGE(""https://docs.google.com/spreadsheets/d/1iodCdmuK2GR3jzUwk8tpccY2JHQQA-87DLOtJP-ooyU/edit?usp=sharing"",""นราธิวาส!Q604"")+IMPORTRANGE(""https://docs.google.com/spreadsheets/d/1SDNX3JhDdYRuIOsj0Wh2M-Qa_eaXl0NbWmh"&amp;"AOTbfQAs/edit?usp=sharing"",""ปัตตานี!Q604"")+IMPORTRANGE(""https://docs.google.com/spreadsheets/d/16JDLGguT8s5DsGCND1KcwHP_AWR_zDMTqLHPLJUKhaU/edit?usp=sharing"",""พังงา!Q604"")+IMPORTRANGE(""https://docs.google.com/spreadsheets/d/17ht0gPKzzT3PObBL1XJkeR"&amp;"mntBXI7wGjpLV7QorqlTk/edit?usp=sharing"",""พัทลุง!Q604"")+IMPORTRANGE(""https://docs.google.com/spreadsheets/d/1rd4qoM1q_hsgaolqNGfrim9gbsoLxQsda4-vOz5x_BM/edit?usp=sharing"",""ภูเก็ต!Q604"")+IMPORTRANGE(""https://docs.google.com/spreadsheets/d/1woKwKjgoL"&amp;"ssDvPcPeVyezB5izizAn4X1JDrys69n6xI/edit?usp=sharing"",""ยะลา!Q604"")+IMPORTRANGE(""https://docs.google.com/spreadsheets/d/1qfrKjzMhm2HJfxQ-qVlJlJQ25Hne1d0khsySbZyGtPA/edit?usp=sharing"",""ระนอง!Q604"")+IMPORTRANGE(""https://docs.google.com/spreadsheets/d/"&amp;"1IbSCnFOKpZsnFogBHJnL_isstZVaOMnFiIN0fGTPZZw/edit?usp=sharing"",""สงขลา!Q604"")+IMPORTRANGE(""https://docs.google.com/spreadsheets/d/1q9nWasZJ-K8bFGvbE9n0qSRuKGA4Toe3Y89cKCiVtCU/edit?usp=sharing"",""สตูล!Q604"")+IMPORTRANGE(""https://docs.google.com/sprea"&amp;"dsheets/d/18T20gbkS_WBjdscyTOV05cvq_JqvqQ17C81mpxf7Ncs/edit?usp=sharing"",""สุราษฎร์ธานี!Q604"")"),0)</f>
        <v>0</v>
      </c>
      <c r="R604" s="331">
        <f ca="1">IFERROR(__xludf.DUMMYFUNCTION("IMPORTRANGE(""https://docs.google.com/spreadsheets/d/1kKUcYdkIfrgTSj8iHHHB2MD2FAtwyyocFgqGQn6ADyI/edit?usp=sharing"",""กระบี่!R604"")+IMPORTRANGE(""https://docs.google.com/spreadsheets/d/1GwtLaSlNZkLk7iDqcyZz22giiy40b_usZZBXYciEN1U/edit?usp=sharing"",""ชุ"&amp;"มพร!R604"")+IMPORTRANGE(""https://docs.google.com/spreadsheets/d/16pAz3pOhQEZBhvFNMa5KGgZS6iKWpsKX0pg6tQmwFpo/edit?usp=sharing"",""ตรัง!R604"")+IMPORTRANGE(""https://docs.google.com/spreadsheets/d/1Dj4jcHCTV9JXKCaMoheSXS52JE63kDKyG7bPXnFogHk/edit?usp=shar"&amp;"ing"",""นครศรีธรรมราช!R604"")+IMPORTRANGE(""https://docs.google.com/spreadsheets/d/1iodCdmuK2GR3jzUwk8tpccY2JHQQA-87DLOtJP-ooyU/edit?usp=sharing"",""นราธิวาส!R604"")+IMPORTRANGE(""https://docs.google.com/spreadsheets/d/1SDNX3JhDdYRuIOsj0Wh2M-Qa_eaXl0NbWmh"&amp;"AOTbfQAs/edit?usp=sharing"",""ปัตตานี!R604"")+IMPORTRANGE(""https://docs.google.com/spreadsheets/d/16JDLGguT8s5DsGCND1KcwHP_AWR_zDMTqLHPLJUKhaU/edit?usp=sharing"",""พังงา!R604"")+IMPORTRANGE(""https://docs.google.com/spreadsheets/d/17ht0gPKzzT3PObBL1XJkeR"&amp;"mntBXI7wGjpLV7QorqlTk/edit?usp=sharing"",""พัทลุง!R604"")+IMPORTRANGE(""https://docs.google.com/spreadsheets/d/1rd4qoM1q_hsgaolqNGfrim9gbsoLxQsda4-vOz5x_BM/edit?usp=sharing"",""ภูเก็ต!R604"")+IMPORTRANGE(""https://docs.google.com/spreadsheets/d/1woKwKjgoL"&amp;"ssDvPcPeVyezB5izizAn4X1JDrys69n6xI/edit?usp=sharing"",""ยะลา!R604"")+IMPORTRANGE(""https://docs.google.com/spreadsheets/d/1qfrKjzMhm2HJfxQ-qVlJlJQ25Hne1d0khsySbZyGtPA/edit?usp=sharing"",""ระนอง!R604"")+IMPORTRANGE(""https://docs.google.com/spreadsheets/d/"&amp;"1IbSCnFOKpZsnFogBHJnL_isstZVaOMnFiIN0fGTPZZw/edit?usp=sharing"",""สงขลา!R604"")+IMPORTRANGE(""https://docs.google.com/spreadsheets/d/1q9nWasZJ-K8bFGvbE9n0qSRuKGA4Toe3Y89cKCiVtCU/edit?usp=sharing"",""สตูล!R604"")+IMPORTRANGE(""https://docs.google.com/sprea"&amp;"dsheets/d/18T20gbkS_WBjdscyTOV05cvq_JqvqQ17C81mpxf7Ncs/edit?usp=sharing"",""สุราษฎร์ธานี!R604"")"),0)</f>
        <v>0</v>
      </c>
      <c r="S604" s="331">
        <f ca="1">IFERROR(__xludf.DUMMYFUNCTION("IMPORTRANGE(""https://docs.google.com/spreadsheets/d/1kKUcYdkIfrgTSj8iHHHB2MD2FAtwyyocFgqGQn6ADyI/edit?usp=sharing"",""กระบี่!S604"")+IMPORTRANGE(""https://docs.google.com/spreadsheets/d/1GwtLaSlNZkLk7iDqcyZz22giiy40b_usZZBXYciEN1U/edit?usp=sharing"",""ชุ"&amp;"มพร!S604"")+IMPORTRANGE(""https://docs.google.com/spreadsheets/d/16pAz3pOhQEZBhvFNMa5KGgZS6iKWpsKX0pg6tQmwFpo/edit?usp=sharing"",""ตรัง!S604"")+IMPORTRANGE(""https://docs.google.com/spreadsheets/d/1Dj4jcHCTV9JXKCaMoheSXS52JE63kDKyG7bPXnFogHk/edit?usp=shar"&amp;"ing"",""นครศรีธรรมราช!S604"")+IMPORTRANGE(""https://docs.google.com/spreadsheets/d/1iodCdmuK2GR3jzUwk8tpccY2JHQQA-87DLOtJP-ooyU/edit?usp=sharing"",""นราธิวาส!S604"")+IMPORTRANGE(""https://docs.google.com/spreadsheets/d/1SDNX3JhDdYRuIOsj0Wh2M-Qa_eaXl0NbWmh"&amp;"AOTbfQAs/edit?usp=sharing"",""ปัตตานี!S604"")+IMPORTRANGE(""https://docs.google.com/spreadsheets/d/16JDLGguT8s5DsGCND1KcwHP_AWR_zDMTqLHPLJUKhaU/edit?usp=sharing"",""พังงา!S604"")+IMPORTRANGE(""https://docs.google.com/spreadsheets/d/17ht0gPKzzT3PObBL1XJkeR"&amp;"mntBXI7wGjpLV7QorqlTk/edit?usp=sharing"",""พัทลุง!S604"")+IMPORTRANGE(""https://docs.google.com/spreadsheets/d/1rd4qoM1q_hsgaolqNGfrim9gbsoLxQsda4-vOz5x_BM/edit?usp=sharing"",""ภูเก็ต!S604"")+IMPORTRANGE(""https://docs.google.com/spreadsheets/d/1woKwKjgoL"&amp;"ssDvPcPeVyezB5izizAn4X1JDrys69n6xI/edit?usp=sharing"",""ยะลา!S604"")+IMPORTRANGE(""https://docs.google.com/spreadsheets/d/1qfrKjzMhm2HJfxQ-qVlJlJQ25Hne1d0khsySbZyGtPA/edit?usp=sharing"",""ระนอง!S604"")+IMPORTRANGE(""https://docs.google.com/spreadsheets/d/"&amp;"1IbSCnFOKpZsnFogBHJnL_isstZVaOMnFiIN0fGTPZZw/edit?usp=sharing"",""สงขลา!S604"")+IMPORTRANGE(""https://docs.google.com/spreadsheets/d/1q9nWasZJ-K8bFGvbE9n0qSRuKGA4Toe3Y89cKCiVtCU/edit?usp=sharing"",""สตูล!S604"")+IMPORTRANGE(""https://docs.google.com/sprea"&amp;"dsheets/d/18T20gbkS_WBjdscyTOV05cvq_JqvqQ17C81mpxf7Ncs/edit?usp=sharing"",""สุราษฎร์ธานี!S604"")"),0)</f>
        <v>0</v>
      </c>
      <c r="T604" s="331">
        <f t="shared" ca="1" si="427"/>
        <v>0</v>
      </c>
      <c r="U604" s="331">
        <f t="shared" ca="1" si="428"/>
        <v>0</v>
      </c>
    </row>
    <row r="605" spans="1:21" ht="19.5" x14ac:dyDescent="0.3">
      <c r="A605" s="416"/>
      <c r="B605" s="326"/>
      <c r="C605" s="326"/>
      <c r="D605" s="427" t="s">
        <v>23</v>
      </c>
      <c r="E605" s="326"/>
      <c r="F605" s="424"/>
      <c r="G605" s="425"/>
      <c r="H605" s="430" t="s">
        <v>14</v>
      </c>
      <c r="I605" s="428"/>
      <c r="J605" s="428"/>
      <c r="K605" s="429"/>
      <c r="L605" s="331">
        <f t="shared" ref="L605:N605" ca="1" si="435">L606+L607</f>
        <v>0</v>
      </c>
      <c r="M605" s="331">
        <f t="shared" ca="1" si="435"/>
        <v>0</v>
      </c>
      <c r="N605" s="331">
        <f t="shared" ca="1" si="435"/>
        <v>0</v>
      </c>
      <c r="O605" s="331">
        <f t="shared" ca="1" si="424"/>
        <v>0</v>
      </c>
      <c r="P605" s="331">
        <f t="shared" ca="1" si="425"/>
        <v>0</v>
      </c>
      <c r="Q605" s="331">
        <f t="shared" ref="Q605:S605" ca="1" si="436">Q606+Q607</f>
        <v>0</v>
      </c>
      <c r="R605" s="331">
        <f t="shared" ca="1" si="436"/>
        <v>0</v>
      </c>
      <c r="S605" s="331">
        <f t="shared" ca="1" si="436"/>
        <v>0</v>
      </c>
      <c r="T605" s="331">
        <f t="shared" ca="1" si="427"/>
        <v>0</v>
      </c>
      <c r="U605" s="331">
        <f t="shared" ca="1" si="428"/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331">
        <f ca="1">IFERROR(__xludf.DUMMYFUNCTION("IMPORTRANGE(""https://docs.google.com/spreadsheets/d/1kKUcYdkIfrgTSj8iHHHB2MD2FAtwyyocFgqGQn6ADyI/edit?usp=sharing"",""กระบี่!L606"")+IMPORTRANGE(""https://docs.google.com/spreadsheets/d/1GwtLaSlNZkLk7iDqcyZz22giiy40b_usZZBXYciEN1U/edit?usp=sharing"",""ชุ"&amp;"มพร!L606"")+IMPORTRANGE(""https://docs.google.com/spreadsheets/d/16pAz3pOhQEZBhvFNMa5KGgZS6iKWpsKX0pg6tQmwFpo/edit?usp=sharing"",""ตรัง!L606"")+IMPORTRANGE(""https://docs.google.com/spreadsheets/d/1Dj4jcHCTV9JXKCaMoheSXS52JE63kDKyG7bPXnFogHk/edit?usp=shar"&amp;"ing"",""นครศรีธรรมราช!L606"")+IMPORTRANGE(""https://docs.google.com/spreadsheets/d/1iodCdmuK2GR3jzUwk8tpccY2JHQQA-87DLOtJP-ooyU/edit?usp=sharing"",""นราธิวาส!L606"")+IMPORTRANGE(""https://docs.google.com/spreadsheets/d/1SDNX3JhDdYRuIOsj0Wh2M-Qa_eaXl0NbWmh"&amp;"AOTbfQAs/edit?usp=sharing"",""ปัตตานี!L606"")+IMPORTRANGE(""https://docs.google.com/spreadsheets/d/16JDLGguT8s5DsGCND1KcwHP_AWR_zDMTqLHPLJUKhaU/edit?usp=sharing"",""พังงา!L606"")+IMPORTRANGE(""https://docs.google.com/spreadsheets/d/17ht0gPKzzT3PObBL1XJkeR"&amp;"mntBXI7wGjpLV7QorqlTk/edit?usp=sharing"",""พัทลุง!L606"")+IMPORTRANGE(""https://docs.google.com/spreadsheets/d/1rd4qoM1q_hsgaolqNGfrim9gbsoLxQsda4-vOz5x_BM/edit?usp=sharing"",""ภูเก็ต!L606"")+IMPORTRANGE(""https://docs.google.com/spreadsheets/d/1woKwKjgoL"&amp;"ssDvPcPeVyezB5izizAn4X1JDrys69n6xI/edit?usp=sharing"",""ยะลา!L606"")+IMPORTRANGE(""https://docs.google.com/spreadsheets/d/1qfrKjzMhm2HJfxQ-qVlJlJQ25Hne1d0khsySbZyGtPA/edit?usp=sharing"",""ระนอง!L606"")+IMPORTRANGE(""https://docs.google.com/spreadsheets/d/"&amp;"1IbSCnFOKpZsnFogBHJnL_isstZVaOMnFiIN0fGTPZZw/edit?usp=sharing"",""สงขลา!L606"")+IMPORTRANGE(""https://docs.google.com/spreadsheets/d/1q9nWasZJ-K8bFGvbE9n0qSRuKGA4Toe3Y89cKCiVtCU/edit?usp=sharing"",""สตูล!L606"")+IMPORTRANGE(""https://docs.google.com/sprea"&amp;"dsheets/d/18T20gbkS_WBjdscyTOV05cvq_JqvqQ17C81mpxf7Ncs/edit?usp=sharing"",""สุราษฎร์ธานี!L606"")"),0)</f>
        <v>0</v>
      </c>
      <c r="M606" s="331">
        <f ca="1">IFERROR(__xludf.DUMMYFUNCTION("IMPORTRANGE(""https://docs.google.com/spreadsheets/d/1kKUcYdkIfrgTSj8iHHHB2MD2FAtwyyocFgqGQn6ADyI/edit?usp=sharing"",""กระบี่!M606"")+IMPORTRANGE(""https://docs.google.com/spreadsheets/d/1GwtLaSlNZkLk7iDqcyZz22giiy40b_usZZBXYciEN1U/edit?usp=sharing"",""ชุ"&amp;"มพร!M606"")+IMPORTRANGE(""https://docs.google.com/spreadsheets/d/16pAz3pOhQEZBhvFNMa5KGgZS6iKWpsKX0pg6tQmwFpo/edit?usp=sharing"",""ตรัง!M606"")+IMPORTRANGE(""https://docs.google.com/spreadsheets/d/1Dj4jcHCTV9JXKCaMoheSXS52JE63kDKyG7bPXnFogHk/edit?usp=shar"&amp;"ing"",""นครศรีธรรมราช!M606"")+IMPORTRANGE(""https://docs.google.com/spreadsheets/d/1iodCdmuK2GR3jzUwk8tpccY2JHQQA-87DLOtJP-ooyU/edit?usp=sharing"",""นราธิวาส!M606"")+IMPORTRANGE(""https://docs.google.com/spreadsheets/d/1SDNX3JhDdYRuIOsj0Wh2M-Qa_eaXl0NbWmh"&amp;"AOTbfQAs/edit?usp=sharing"",""ปัตตานี!M606"")+IMPORTRANGE(""https://docs.google.com/spreadsheets/d/16JDLGguT8s5DsGCND1KcwHP_AWR_zDMTqLHPLJUKhaU/edit?usp=sharing"",""พังงา!M606"")+IMPORTRANGE(""https://docs.google.com/spreadsheets/d/17ht0gPKzzT3PObBL1XJkeR"&amp;"mntBXI7wGjpLV7QorqlTk/edit?usp=sharing"",""พัทลุง!M606"")+IMPORTRANGE(""https://docs.google.com/spreadsheets/d/1rd4qoM1q_hsgaolqNGfrim9gbsoLxQsda4-vOz5x_BM/edit?usp=sharing"",""ภูเก็ต!M606"")+IMPORTRANGE(""https://docs.google.com/spreadsheets/d/1woKwKjgoL"&amp;"ssDvPcPeVyezB5izizAn4X1JDrys69n6xI/edit?usp=sharing"",""ยะลา!M606"")+IMPORTRANGE(""https://docs.google.com/spreadsheets/d/1qfrKjzMhm2HJfxQ-qVlJlJQ25Hne1d0khsySbZyGtPA/edit?usp=sharing"",""ระนอง!M606"")+IMPORTRANGE(""https://docs.google.com/spreadsheets/d/"&amp;"1IbSCnFOKpZsnFogBHJnL_isstZVaOMnFiIN0fGTPZZw/edit?usp=sharing"",""สงขลา!M606"")+IMPORTRANGE(""https://docs.google.com/spreadsheets/d/1q9nWasZJ-K8bFGvbE9n0qSRuKGA4Toe3Y89cKCiVtCU/edit?usp=sharing"",""สตูล!M606"")+IMPORTRANGE(""https://docs.google.com/sprea"&amp;"dsheets/d/18T20gbkS_WBjdscyTOV05cvq_JqvqQ17C81mpxf7Ncs/edit?usp=sharing"",""สุราษฎร์ธานี!M606"")"),0)</f>
        <v>0</v>
      </c>
      <c r="N606" s="331">
        <f ca="1">IFERROR(__xludf.DUMMYFUNCTION("IMPORTRANGE(""https://docs.google.com/spreadsheets/d/1kKUcYdkIfrgTSj8iHHHB2MD2FAtwyyocFgqGQn6ADyI/edit?usp=sharing"",""กระบี่!N606"")+IMPORTRANGE(""https://docs.google.com/spreadsheets/d/1GwtLaSlNZkLk7iDqcyZz22giiy40b_usZZBXYciEN1U/edit?usp=sharing"",""ชุ"&amp;"มพร!N606"")+IMPORTRANGE(""https://docs.google.com/spreadsheets/d/16pAz3pOhQEZBhvFNMa5KGgZS6iKWpsKX0pg6tQmwFpo/edit?usp=sharing"",""ตรัง!N606"")+IMPORTRANGE(""https://docs.google.com/spreadsheets/d/1Dj4jcHCTV9JXKCaMoheSXS52JE63kDKyG7bPXnFogHk/edit?usp=shar"&amp;"ing"",""นครศรีธรรมราช!N606"")+IMPORTRANGE(""https://docs.google.com/spreadsheets/d/1iodCdmuK2GR3jzUwk8tpccY2JHQQA-87DLOtJP-ooyU/edit?usp=sharing"",""นราธิวาส!N606"")+IMPORTRANGE(""https://docs.google.com/spreadsheets/d/1SDNX3JhDdYRuIOsj0Wh2M-Qa_eaXl0NbWmh"&amp;"AOTbfQAs/edit?usp=sharing"",""ปัตตานี!N606"")+IMPORTRANGE(""https://docs.google.com/spreadsheets/d/16JDLGguT8s5DsGCND1KcwHP_AWR_zDMTqLHPLJUKhaU/edit?usp=sharing"",""พังงา!N606"")+IMPORTRANGE(""https://docs.google.com/spreadsheets/d/17ht0gPKzzT3PObBL1XJkeR"&amp;"mntBXI7wGjpLV7QorqlTk/edit?usp=sharing"",""พัทลุง!N606"")+IMPORTRANGE(""https://docs.google.com/spreadsheets/d/1rd4qoM1q_hsgaolqNGfrim9gbsoLxQsda4-vOz5x_BM/edit?usp=sharing"",""ภูเก็ต!N606"")+IMPORTRANGE(""https://docs.google.com/spreadsheets/d/1woKwKjgoL"&amp;"ssDvPcPeVyezB5izizAn4X1JDrys69n6xI/edit?usp=sharing"",""ยะลา!N606"")+IMPORTRANGE(""https://docs.google.com/spreadsheets/d/1qfrKjzMhm2HJfxQ-qVlJlJQ25Hne1d0khsySbZyGtPA/edit?usp=sharing"",""ระนอง!N606"")+IMPORTRANGE(""https://docs.google.com/spreadsheets/d/"&amp;"1IbSCnFOKpZsnFogBHJnL_isstZVaOMnFiIN0fGTPZZw/edit?usp=sharing"",""สงขลา!N606"")+IMPORTRANGE(""https://docs.google.com/spreadsheets/d/1q9nWasZJ-K8bFGvbE9n0qSRuKGA4Toe3Y89cKCiVtCU/edit?usp=sharing"",""สตูล!N606"")+IMPORTRANGE(""https://docs.google.com/sprea"&amp;"dsheets/d/18T20gbkS_WBjdscyTOV05cvq_JqvqQ17C81mpxf7Ncs/edit?usp=sharing"",""สุราษฎร์ธานี!N606"")"),0)</f>
        <v>0</v>
      </c>
      <c r="O606" s="331">
        <f t="shared" ca="1" si="424"/>
        <v>0</v>
      </c>
      <c r="P606" s="331">
        <f t="shared" ca="1" si="425"/>
        <v>0</v>
      </c>
      <c r="Q606" s="331">
        <f ca="1">IFERROR(__xludf.DUMMYFUNCTION("IMPORTRANGE(""https://docs.google.com/spreadsheets/d/1kKUcYdkIfrgTSj8iHHHB2MD2FAtwyyocFgqGQn6ADyI/edit?usp=sharing"",""กระบี่!Q606"")+IMPORTRANGE(""https://docs.google.com/spreadsheets/d/1GwtLaSlNZkLk7iDqcyZz22giiy40b_usZZBXYciEN1U/edit?usp=sharing"",""ชุ"&amp;"มพร!Q606"")+IMPORTRANGE(""https://docs.google.com/spreadsheets/d/16pAz3pOhQEZBhvFNMa5KGgZS6iKWpsKX0pg6tQmwFpo/edit?usp=sharing"",""ตรัง!Q606"")+IMPORTRANGE(""https://docs.google.com/spreadsheets/d/1Dj4jcHCTV9JXKCaMoheSXS52JE63kDKyG7bPXnFogHk/edit?usp=shar"&amp;"ing"",""นครศรีธรรมราช!Q606"")+IMPORTRANGE(""https://docs.google.com/spreadsheets/d/1iodCdmuK2GR3jzUwk8tpccY2JHQQA-87DLOtJP-ooyU/edit?usp=sharing"",""นราธิวาส!Q606"")+IMPORTRANGE(""https://docs.google.com/spreadsheets/d/1SDNX3JhDdYRuIOsj0Wh2M-Qa_eaXl0NbWmh"&amp;"AOTbfQAs/edit?usp=sharing"",""ปัตตานี!Q606"")+IMPORTRANGE(""https://docs.google.com/spreadsheets/d/16JDLGguT8s5DsGCND1KcwHP_AWR_zDMTqLHPLJUKhaU/edit?usp=sharing"",""พังงา!Q606"")+IMPORTRANGE(""https://docs.google.com/spreadsheets/d/17ht0gPKzzT3PObBL1XJkeR"&amp;"mntBXI7wGjpLV7QorqlTk/edit?usp=sharing"",""พัทลุง!Q606"")+IMPORTRANGE(""https://docs.google.com/spreadsheets/d/1rd4qoM1q_hsgaolqNGfrim9gbsoLxQsda4-vOz5x_BM/edit?usp=sharing"",""ภูเก็ต!Q606"")+IMPORTRANGE(""https://docs.google.com/spreadsheets/d/1woKwKjgoL"&amp;"ssDvPcPeVyezB5izizAn4X1JDrys69n6xI/edit?usp=sharing"",""ยะลา!Q606"")+IMPORTRANGE(""https://docs.google.com/spreadsheets/d/1qfrKjzMhm2HJfxQ-qVlJlJQ25Hne1d0khsySbZyGtPA/edit?usp=sharing"",""ระนอง!Q606"")+IMPORTRANGE(""https://docs.google.com/spreadsheets/d/"&amp;"1IbSCnFOKpZsnFogBHJnL_isstZVaOMnFiIN0fGTPZZw/edit?usp=sharing"",""สงขลา!Q606"")+IMPORTRANGE(""https://docs.google.com/spreadsheets/d/1q9nWasZJ-K8bFGvbE9n0qSRuKGA4Toe3Y89cKCiVtCU/edit?usp=sharing"",""สตูล!Q606"")+IMPORTRANGE(""https://docs.google.com/sprea"&amp;"dsheets/d/18T20gbkS_WBjdscyTOV05cvq_JqvqQ17C81mpxf7Ncs/edit?usp=sharing"",""สุราษฎร์ธานี!Q606"")"),0)</f>
        <v>0</v>
      </c>
      <c r="R606" s="331">
        <f ca="1">IFERROR(__xludf.DUMMYFUNCTION("IMPORTRANGE(""https://docs.google.com/spreadsheets/d/1kKUcYdkIfrgTSj8iHHHB2MD2FAtwyyocFgqGQn6ADyI/edit?usp=sharing"",""กระบี่!R606"")+IMPORTRANGE(""https://docs.google.com/spreadsheets/d/1GwtLaSlNZkLk7iDqcyZz22giiy40b_usZZBXYciEN1U/edit?usp=sharing"",""ชุ"&amp;"มพร!R606"")+IMPORTRANGE(""https://docs.google.com/spreadsheets/d/16pAz3pOhQEZBhvFNMa5KGgZS6iKWpsKX0pg6tQmwFpo/edit?usp=sharing"",""ตรัง!R606"")+IMPORTRANGE(""https://docs.google.com/spreadsheets/d/1Dj4jcHCTV9JXKCaMoheSXS52JE63kDKyG7bPXnFogHk/edit?usp=shar"&amp;"ing"",""นครศรีธรรมราช!R606"")+IMPORTRANGE(""https://docs.google.com/spreadsheets/d/1iodCdmuK2GR3jzUwk8tpccY2JHQQA-87DLOtJP-ooyU/edit?usp=sharing"",""นราธิวาส!R606"")+IMPORTRANGE(""https://docs.google.com/spreadsheets/d/1SDNX3JhDdYRuIOsj0Wh2M-Qa_eaXl0NbWmh"&amp;"AOTbfQAs/edit?usp=sharing"",""ปัตตานี!R606"")+IMPORTRANGE(""https://docs.google.com/spreadsheets/d/16JDLGguT8s5DsGCND1KcwHP_AWR_zDMTqLHPLJUKhaU/edit?usp=sharing"",""พังงา!R606"")+IMPORTRANGE(""https://docs.google.com/spreadsheets/d/17ht0gPKzzT3PObBL1XJkeR"&amp;"mntBXI7wGjpLV7QorqlTk/edit?usp=sharing"",""พัทลุง!R606"")+IMPORTRANGE(""https://docs.google.com/spreadsheets/d/1rd4qoM1q_hsgaolqNGfrim9gbsoLxQsda4-vOz5x_BM/edit?usp=sharing"",""ภูเก็ต!R606"")+IMPORTRANGE(""https://docs.google.com/spreadsheets/d/1woKwKjgoL"&amp;"ssDvPcPeVyezB5izizAn4X1JDrys69n6xI/edit?usp=sharing"",""ยะลา!R606"")+IMPORTRANGE(""https://docs.google.com/spreadsheets/d/1qfrKjzMhm2HJfxQ-qVlJlJQ25Hne1d0khsySbZyGtPA/edit?usp=sharing"",""ระนอง!R606"")+IMPORTRANGE(""https://docs.google.com/spreadsheets/d/"&amp;"1IbSCnFOKpZsnFogBHJnL_isstZVaOMnFiIN0fGTPZZw/edit?usp=sharing"",""สงขลา!R606"")+IMPORTRANGE(""https://docs.google.com/spreadsheets/d/1q9nWasZJ-K8bFGvbE9n0qSRuKGA4Toe3Y89cKCiVtCU/edit?usp=sharing"",""สตูล!R606"")+IMPORTRANGE(""https://docs.google.com/sprea"&amp;"dsheets/d/18T20gbkS_WBjdscyTOV05cvq_JqvqQ17C81mpxf7Ncs/edit?usp=sharing"",""สุราษฎร์ธานี!R606"")"),0)</f>
        <v>0</v>
      </c>
      <c r="S606" s="331">
        <f ca="1">IFERROR(__xludf.DUMMYFUNCTION("IMPORTRANGE(""https://docs.google.com/spreadsheets/d/1kKUcYdkIfrgTSj8iHHHB2MD2FAtwyyocFgqGQn6ADyI/edit?usp=sharing"",""กระบี่!S606"")+IMPORTRANGE(""https://docs.google.com/spreadsheets/d/1GwtLaSlNZkLk7iDqcyZz22giiy40b_usZZBXYciEN1U/edit?usp=sharing"",""ชุ"&amp;"มพร!S606"")+IMPORTRANGE(""https://docs.google.com/spreadsheets/d/16pAz3pOhQEZBhvFNMa5KGgZS6iKWpsKX0pg6tQmwFpo/edit?usp=sharing"",""ตรัง!S606"")+IMPORTRANGE(""https://docs.google.com/spreadsheets/d/1Dj4jcHCTV9JXKCaMoheSXS52JE63kDKyG7bPXnFogHk/edit?usp=shar"&amp;"ing"",""นครศรีธรรมราช!S606"")+IMPORTRANGE(""https://docs.google.com/spreadsheets/d/1iodCdmuK2GR3jzUwk8tpccY2JHQQA-87DLOtJP-ooyU/edit?usp=sharing"",""นราธิวาส!S606"")+IMPORTRANGE(""https://docs.google.com/spreadsheets/d/1SDNX3JhDdYRuIOsj0Wh2M-Qa_eaXl0NbWmh"&amp;"AOTbfQAs/edit?usp=sharing"",""ปัตตานี!S606"")+IMPORTRANGE(""https://docs.google.com/spreadsheets/d/16JDLGguT8s5DsGCND1KcwHP_AWR_zDMTqLHPLJUKhaU/edit?usp=sharing"",""พังงา!S606"")+IMPORTRANGE(""https://docs.google.com/spreadsheets/d/17ht0gPKzzT3PObBL1XJkeR"&amp;"mntBXI7wGjpLV7QorqlTk/edit?usp=sharing"",""พัทลุง!S606"")+IMPORTRANGE(""https://docs.google.com/spreadsheets/d/1rd4qoM1q_hsgaolqNGfrim9gbsoLxQsda4-vOz5x_BM/edit?usp=sharing"",""ภูเก็ต!S606"")+IMPORTRANGE(""https://docs.google.com/spreadsheets/d/1woKwKjgoL"&amp;"ssDvPcPeVyezB5izizAn4X1JDrys69n6xI/edit?usp=sharing"",""ยะลา!S606"")+IMPORTRANGE(""https://docs.google.com/spreadsheets/d/1qfrKjzMhm2HJfxQ-qVlJlJQ25Hne1d0khsySbZyGtPA/edit?usp=sharing"",""ระนอง!S606"")+IMPORTRANGE(""https://docs.google.com/spreadsheets/d/"&amp;"1IbSCnFOKpZsnFogBHJnL_isstZVaOMnFiIN0fGTPZZw/edit?usp=sharing"",""สงขลา!S606"")+IMPORTRANGE(""https://docs.google.com/spreadsheets/d/1q9nWasZJ-K8bFGvbE9n0qSRuKGA4Toe3Y89cKCiVtCU/edit?usp=sharing"",""สตูล!S606"")+IMPORTRANGE(""https://docs.google.com/sprea"&amp;"dsheets/d/18T20gbkS_WBjdscyTOV05cvq_JqvqQ17C81mpxf7Ncs/edit?usp=sharing"",""สุราษฎร์ธานี!S606"")"),0)</f>
        <v>0</v>
      </c>
      <c r="T606" s="331">
        <f t="shared" ca="1" si="427"/>
        <v>0</v>
      </c>
      <c r="U606" s="331">
        <f t="shared" ca="1" si="428"/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331">
        <f ca="1">IFERROR(__xludf.DUMMYFUNCTION("IMPORTRANGE(""https://docs.google.com/spreadsheets/d/1kKUcYdkIfrgTSj8iHHHB2MD2FAtwyyocFgqGQn6ADyI/edit?usp=sharing"",""กระบี่!L607"")+IMPORTRANGE(""https://docs.google.com/spreadsheets/d/1GwtLaSlNZkLk7iDqcyZz22giiy40b_usZZBXYciEN1U/edit?usp=sharing"",""ชุ"&amp;"มพร!L607"")+IMPORTRANGE(""https://docs.google.com/spreadsheets/d/16pAz3pOhQEZBhvFNMa5KGgZS6iKWpsKX0pg6tQmwFpo/edit?usp=sharing"",""ตรัง!L607"")+IMPORTRANGE(""https://docs.google.com/spreadsheets/d/1Dj4jcHCTV9JXKCaMoheSXS52JE63kDKyG7bPXnFogHk/edit?usp=shar"&amp;"ing"",""นครศรีธรรมราช!L607"")+IMPORTRANGE(""https://docs.google.com/spreadsheets/d/1iodCdmuK2GR3jzUwk8tpccY2JHQQA-87DLOtJP-ooyU/edit?usp=sharing"",""นราธิวาส!L607"")+IMPORTRANGE(""https://docs.google.com/spreadsheets/d/1SDNX3JhDdYRuIOsj0Wh2M-Qa_eaXl0NbWmh"&amp;"AOTbfQAs/edit?usp=sharing"",""ปัตตานี!L607"")+IMPORTRANGE(""https://docs.google.com/spreadsheets/d/16JDLGguT8s5DsGCND1KcwHP_AWR_zDMTqLHPLJUKhaU/edit?usp=sharing"",""พังงา!L607"")+IMPORTRANGE(""https://docs.google.com/spreadsheets/d/17ht0gPKzzT3PObBL1XJkeR"&amp;"mntBXI7wGjpLV7QorqlTk/edit?usp=sharing"",""พัทลุง!L607"")+IMPORTRANGE(""https://docs.google.com/spreadsheets/d/1rd4qoM1q_hsgaolqNGfrim9gbsoLxQsda4-vOz5x_BM/edit?usp=sharing"",""ภูเก็ต!L607"")+IMPORTRANGE(""https://docs.google.com/spreadsheets/d/1woKwKjgoL"&amp;"ssDvPcPeVyezB5izizAn4X1JDrys69n6xI/edit?usp=sharing"",""ยะลา!L607"")+IMPORTRANGE(""https://docs.google.com/spreadsheets/d/1qfrKjzMhm2HJfxQ-qVlJlJQ25Hne1d0khsySbZyGtPA/edit?usp=sharing"",""ระนอง!L607"")+IMPORTRANGE(""https://docs.google.com/spreadsheets/d/"&amp;"1IbSCnFOKpZsnFogBHJnL_isstZVaOMnFiIN0fGTPZZw/edit?usp=sharing"",""สงขลา!L607"")+IMPORTRANGE(""https://docs.google.com/spreadsheets/d/1q9nWasZJ-K8bFGvbE9n0qSRuKGA4Toe3Y89cKCiVtCU/edit?usp=sharing"",""สตูล!L607"")+IMPORTRANGE(""https://docs.google.com/sprea"&amp;"dsheets/d/18T20gbkS_WBjdscyTOV05cvq_JqvqQ17C81mpxf7Ncs/edit?usp=sharing"",""สุราษฎร์ธานี!L607"")"),0)</f>
        <v>0</v>
      </c>
      <c r="M607" s="331">
        <f ca="1">IFERROR(__xludf.DUMMYFUNCTION("IMPORTRANGE(""https://docs.google.com/spreadsheets/d/1kKUcYdkIfrgTSj8iHHHB2MD2FAtwyyocFgqGQn6ADyI/edit?usp=sharing"",""กระบี่!M607"")+IMPORTRANGE(""https://docs.google.com/spreadsheets/d/1GwtLaSlNZkLk7iDqcyZz22giiy40b_usZZBXYciEN1U/edit?usp=sharing"",""ชุ"&amp;"มพร!M607"")+IMPORTRANGE(""https://docs.google.com/spreadsheets/d/16pAz3pOhQEZBhvFNMa5KGgZS6iKWpsKX0pg6tQmwFpo/edit?usp=sharing"",""ตรัง!M607"")+IMPORTRANGE(""https://docs.google.com/spreadsheets/d/1Dj4jcHCTV9JXKCaMoheSXS52JE63kDKyG7bPXnFogHk/edit?usp=shar"&amp;"ing"",""นครศรีธรรมราช!M607"")+IMPORTRANGE(""https://docs.google.com/spreadsheets/d/1iodCdmuK2GR3jzUwk8tpccY2JHQQA-87DLOtJP-ooyU/edit?usp=sharing"",""นราธิวาส!M607"")+IMPORTRANGE(""https://docs.google.com/spreadsheets/d/1SDNX3JhDdYRuIOsj0Wh2M-Qa_eaXl0NbWmh"&amp;"AOTbfQAs/edit?usp=sharing"",""ปัตตานี!M607"")+IMPORTRANGE(""https://docs.google.com/spreadsheets/d/16JDLGguT8s5DsGCND1KcwHP_AWR_zDMTqLHPLJUKhaU/edit?usp=sharing"",""พังงา!M607"")+IMPORTRANGE(""https://docs.google.com/spreadsheets/d/17ht0gPKzzT3PObBL1XJkeR"&amp;"mntBXI7wGjpLV7QorqlTk/edit?usp=sharing"",""พัทลุง!M607"")+IMPORTRANGE(""https://docs.google.com/spreadsheets/d/1rd4qoM1q_hsgaolqNGfrim9gbsoLxQsda4-vOz5x_BM/edit?usp=sharing"",""ภูเก็ต!M607"")+IMPORTRANGE(""https://docs.google.com/spreadsheets/d/1woKwKjgoL"&amp;"ssDvPcPeVyezB5izizAn4X1JDrys69n6xI/edit?usp=sharing"",""ยะลา!M607"")+IMPORTRANGE(""https://docs.google.com/spreadsheets/d/1qfrKjzMhm2HJfxQ-qVlJlJQ25Hne1d0khsySbZyGtPA/edit?usp=sharing"",""ระนอง!M607"")+IMPORTRANGE(""https://docs.google.com/spreadsheets/d/"&amp;"1IbSCnFOKpZsnFogBHJnL_isstZVaOMnFiIN0fGTPZZw/edit?usp=sharing"",""สงขลา!M607"")+IMPORTRANGE(""https://docs.google.com/spreadsheets/d/1q9nWasZJ-K8bFGvbE9n0qSRuKGA4Toe3Y89cKCiVtCU/edit?usp=sharing"",""สตูล!M607"")+IMPORTRANGE(""https://docs.google.com/sprea"&amp;"dsheets/d/18T20gbkS_WBjdscyTOV05cvq_JqvqQ17C81mpxf7Ncs/edit?usp=sharing"",""สุราษฎร์ธานี!M607"")"),0)</f>
        <v>0</v>
      </c>
      <c r="N607" s="331">
        <f ca="1">IFERROR(__xludf.DUMMYFUNCTION("IMPORTRANGE(""https://docs.google.com/spreadsheets/d/1kKUcYdkIfrgTSj8iHHHB2MD2FAtwyyocFgqGQn6ADyI/edit?usp=sharing"",""กระบี่!N607"")+IMPORTRANGE(""https://docs.google.com/spreadsheets/d/1GwtLaSlNZkLk7iDqcyZz22giiy40b_usZZBXYciEN1U/edit?usp=sharing"",""ชุ"&amp;"มพร!N607"")+IMPORTRANGE(""https://docs.google.com/spreadsheets/d/16pAz3pOhQEZBhvFNMa5KGgZS6iKWpsKX0pg6tQmwFpo/edit?usp=sharing"",""ตรัง!N607"")+IMPORTRANGE(""https://docs.google.com/spreadsheets/d/1Dj4jcHCTV9JXKCaMoheSXS52JE63kDKyG7bPXnFogHk/edit?usp=shar"&amp;"ing"",""นครศรีธรรมราช!N607"")+IMPORTRANGE(""https://docs.google.com/spreadsheets/d/1iodCdmuK2GR3jzUwk8tpccY2JHQQA-87DLOtJP-ooyU/edit?usp=sharing"",""นราธิวาส!N607"")+IMPORTRANGE(""https://docs.google.com/spreadsheets/d/1SDNX3JhDdYRuIOsj0Wh2M-Qa_eaXl0NbWmh"&amp;"AOTbfQAs/edit?usp=sharing"",""ปัตตานี!N607"")+IMPORTRANGE(""https://docs.google.com/spreadsheets/d/16JDLGguT8s5DsGCND1KcwHP_AWR_zDMTqLHPLJUKhaU/edit?usp=sharing"",""พังงา!N607"")+IMPORTRANGE(""https://docs.google.com/spreadsheets/d/17ht0gPKzzT3PObBL1XJkeR"&amp;"mntBXI7wGjpLV7QorqlTk/edit?usp=sharing"",""พัทลุง!N607"")+IMPORTRANGE(""https://docs.google.com/spreadsheets/d/1rd4qoM1q_hsgaolqNGfrim9gbsoLxQsda4-vOz5x_BM/edit?usp=sharing"",""ภูเก็ต!N607"")+IMPORTRANGE(""https://docs.google.com/spreadsheets/d/1woKwKjgoL"&amp;"ssDvPcPeVyezB5izizAn4X1JDrys69n6xI/edit?usp=sharing"",""ยะลา!N607"")+IMPORTRANGE(""https://docs.google.com/spreadsheets/d/1qfrKjzMhm2HJfxQ-qVlJlJQ25Hne1d0khsySbZyGtPA/edit?usp=sharing"",""ระนอง!N607"")+IMPORTRANGE(""https://docs.google.com/spreadsheets/d/"&amp;"1IbSCnFOKpZsnFogBHJnL_isstZVaOMnFiIN0fGTPZZw/edit?usp=sharing"",""สงขลา!N607"")+IMPORTRANGE(""https://docs.google.com/spreadsheets/d/1q9nWasZJ-K8bFGvbE9n0qSRuKGA4Toe3Y89cKCiVtCU/edit?usp=sharing"",""สตูล!N607"")+IMPORTRANGE(""https://docs.google.com/sprea"&amp;"dsheets/d/18T20gbkS_WBjdscyTOV05cvq_JqvqQ17C81mpxf7Ncs/edit?usp=sharing"",""สุราษฎร์ธานี!N607"")"),0)</f>
        <v>0</v>
      </c>
      <c r="O607" s="331">
        <f t="shared" ca="1" si="424"/>
        <v>0</v>
      </c>
      <c r="P607" s="331">
        <f t="shared" ca="1" si="425"/>
        <v>0</v>
      </c>
      <c r="Q607" s="331">
        <f ca="1">IFERROR(__xludf.DUMMYFUNCTION("IMPORTRANGE(""https://docs.google.com/spreadsheets/d/1kKUcYdkIfrgTSj8iHHHB2MD2FAtwyyocFgqGQn6ADyI/edit?usp=sharing"",""กระบี่!Q607"")+IMPORTRANGE(""https://docs.google.com/spreadsheets/d/1GwtLaSlNZkLk7iDqcyZz22giiy40b_usZZBXYciEN1U/edit?usp=sharing"",""ชุ"&amp;"มพร!Q607"")+IMPORTRANGE(""https://docs.google.com/spreadsheets/d/16pAz3pOhQEZBhvFNMa5KGgZS6iKWpsKX0pg6tQmwFpo/edit?usp=sharing"",""ตรัง!Q607"")+IMPORTRANGE(""https://docs.google.com/spreadsheets/d/1Dj4jcHCTV9JXKCaMoheSXS52JE63kDKyG7bPXnFogHk/edit?usp=shar"&amp;"ing"",""นครศรีธรรมราช!Q607"")+IMPORTRANGE(""https://docs.google.com/spreadsheets/d/1iodCdmuK2GR3jzUwk8tpccY2JHQQA-87DLOtJP-ooyU/edit?usp=sharing"",""นราธิวาส!Q607"")+IMPORTRANGE(""https://docs.google.com/spreadsheets/d/1SDNX3JhDdYRuIOsj0Wh2M-Qa_eaXl0NbWmh"&amp;"AOTbfQAs/edit?usp=sharing"",""ปัตตานี!Q607"")+IMPORTRANGE(""https://docs.google.com/spreadsheets/d/16JDLGguT8s5DsGCND1KcwHP_AWR_zDMTqLHPLJUKhaU/edit?usp=sharing"",""พังงา!Q607"")+IMPORTRANGE(""https://docs.google.com/spreadsheets/d/17ht0gPKzzT3PObBL1XJkeR"&amp;"mntBXI7wGjpLV7QorqlTk/edit?usp=sharing"",""พัทลุง!Q607"")+IMPORTRANGE(""https://docs.google.com/spreadsheets/d/1rd4qoM1q_hsgaolqNGfrim9gbsoLxQsda4-vOz5x_BM/edit?usp=sharing"",""ภูเก็ต!Q607"")+IMPORTRANGE(""https://docs.google.com/spreadsheets/d/1woKwKjgoL"&amp;"ssDvPcPeVyezB5izizAn4X1JDrys69n6xI/edit?usp=sharing"",""ยะลา!Q607"")+IMPORTRANGE(""https://docs.google.com/spreadsheets/d/1qfrKjzMhm2HJfxQ-qVlJlJQ25Hne1d0khsySbZyGtPA/edit?usp=sharing"",""ระนอง!Q607"")+IMPORTRANGE(""https://docs.google.com/spreadsheets/d/"&amp;"1IbSCnFOKpZsnFogBHJnL_isstZVaOMnFiIN0fGTPZZw/edit?usp=sharing"",""สงขลา!Q607"")+IMPORTRANGE(""https://docs.google.com/spreadsheets/d/1q9nWasZJ-K8bFGvbE9n0qSRuKGA4Toe3Y89cKCiVtCU/edit?usp=sharing"",""สตูล!Q607"")+IMPORTRANGE(""https://docs.google.com/sprea"&amp;"dsheets/d/18T20gbkS_WBjdscyTOV05cvq_JqvqQ17C81mpxf7Ncs/edit?usp=sharing"",""สุราษฎร์ธานี!Q607"")"),0)</f>
        <v>0</v>
      </c>
      <c r="R607" s="331">
        <f ca="1">IFERROR(__xludf.DUMMYFUNCTION("IMPORTRANGE(""https://docs.google.com/spreadsheets/d/1kKUcYdkIfrgTSj8iHHHB2MD2FAtwyyocFgqGQn6ADyI/edit?usp=sharing"",""กระบี่!R607"")+IMPORTRANGE(""https://docs.google.com/spreadsheets/d/1GwtLaSlNZkLk7iDqcyZz22giiy40b_usZZBXYciEN1U/edit?usp=sharing"",""ชุ"&amp;"มพร!R607"")+IMPORTRANGE(""https://docs.google.com/spreadsheets/d/16pAz3pOhQEZBhvFNMa5KGgZS6iKWpsKX0pg6tQmwFpo/edit?usp=sharing"",""ตรัง!R607"")+IMPORTRANGE(""https://docs.google.com/spreadsheets/d/1Dj4jcHCTV9JXKCaMoheSXS52JE63kDKyG7bPXnFogHk/edit?usp=shar"&amp;"ing"",""นครศรีธรรมราช!R607"")+IMPORTRANGE(""https://docs.google.com/spreadsheets/d/1iodCdmuK2GR3jzUwk8tpccY2JHQQA-87DLOtJP-ooyU/edit?usp=sharing"",""นราธิวาส!R607"")+IMPORTRANGE(""https://docs.google.com/spreadsheets/d/1SDNX3JhDdYRuIOsj0Wh2M-Qa_eaXl0NbWmh"&amp;"AOTbfQAs/edit?usp=sharing"",""ปัตตานี!R607"")+IMPORTRANGE(""https://docs.google.com/spreadsheets/d/16JDLGguT8s5DsGCND1KcwHP_AWR_zDMTqLHPLJUKhaU/edit?usp=sharing"",""พังงา!R607"")+IMPORTRANGE(""https://docs.google.com/spreadsheets/d/17ht0gPKzzT3PObBL1XJkeR"&amp;"mntBXI7wGjpLV7QorqlTk/edit?usp=sharing"",""พัทลุง!R607"")+IMPORTRANGE(""https://docs.google.com/spreadsheets/d/1rd4qoM1q_hsgaolqNGfrim9gbsoLxQsda4-vOz5x_BM/edit?usp=sharing"",""ภูเก็ต!R607"")+IMPORTRANGE(""https://docs.google.com/spreadsheets/d/1woKwKjgoL"&amp;"ssDvPcPeVyezB5izizAn4X1JDrys69n6xI/edit?usp=sharing"",""ยะลา!R607"")+IMPORTRANGE(""https://docs.google.com/spreadsheets/d/1qfrKjzMhm2HJfxQ-qVlJlJQ25Hne1d0khsySbZyGtPA/edit?usp=sharing"",""ระนอง!R607"")+IMPORTRANGE(""https://docs.google.com/spreadsheets/d/"&amp;"1IbSCnFOKpZsnFogBHJnL_isstZVaOMnFiIN0fGTPZZw/edit?usp=sharing"",""สงขลา!R607"")+IMPORTRANGE(""https://docs.google.com/spreadsheets/d/1q9nWasZJ-K8bFGvbE9n0qSRuKGA4Toe3Y89cKCiVtCU/edit?usp=sharing"",""สตูล!R607"")+IMPORTRANGE(""https://docs.google.com/sprea"&amp;"dsheets/d/18T20gbkS_WBjdscyTOV05cvq_JqvqQ17C81mpxf7Ncs/edit?usp=sharing"",""สุราษฎร์ธานี!R607"")"),0)</f>
        <v>0</v>
      </c>
      <c r="S607" s="331">
        <f ca="1">IFERROR(__xludf.DUMMYFUNCTION("IMPORTRANGE(""https://docs.google.com/spreadsheets/d/1kKUcYdkIfrgTSj8iHHHB2MD2FAtwyyocFgqGQn6ADyI/edit?usp=sharing"",""กระบี่!S607"")+IMPORTRANGE(""https://docs.google.com/spreadsheets/d/1GwtLaSlNZkLk7iDqcyZz22giiy40b_usZZBXYciEN1U/edit?usp=sharing"",""ชุ"&amp;"มพร!S607"")+IMPORTRANGE(""https://docs.google.com/spreadsheets/d/16pAz3pOhQEZBhvFNMa5KGgZS6iKWpsKX0pg6tQmwFpo/edit?usp=sharing"",""ตรัง!S607"")+IMPORTRANGE(""https://docs.google.com/spreadsheets/d/1Dj4jcHCTV9JXKCaMoheSXS52JE63kDKyG7bPXnFogHk/edit?usp=shar"&amp;"ing"",""นครศรีธรรมราช!S607"")+IMPORTRANGE(""https://docs.google.com/spreadsheets/d/1iodCdmuK2GR3jzUwk8tpccY2JHQQA-87DLOtJP-ooyU/edit?usp=sharing"",""นราธิวาส!S607"")+IMPORTRANGE(""https://docs.google.com/spreadsheets/d/1SDNX3JhDdYRuIOsj0Wh2M-Qa_eaXl0NbWmh"&amp;"AOTbfQAs/edit?usp=sharing"",""ปัตตานี!S607"")+IMPORTRANGE(""https://docs.google.com/spreadsheets/d/16JDLGguT8s5DsGCND1KcwHP_AWR_zDMTqLHPLJUKhaU/edit?usp=sharing"",""พังงา!S607"")+IMPORTRANGE(""https://docs.google.com/spreadsheets/d/17ht0gPKzzT3PObBL1XJkeR"&amp;"mntBXI7wGjpLV7QorqlTk/edit?usp=sharing"",""พัทลุง!S607"")+IMPORTRANGE(""https://docs.google.com/spreadsheets/d/1rd4qoM1q_hsgaolqNGfrim9gbsoLxQsda4-vOz5x_BM/edit?usp=sharing"",""ภูเก็ต!S607"")+IMPORTRANGE(""https://docs.google.com/spreadsheets/d/1woKwKjgoL"&amp;"ssDvPcPeVyezB5izizAn4X1JDrys69n6xI/edit?usp=sharing"",""ยะลา!S607"")+IMPORTRANGE(""https://docs.google.com/spreadsheets/d/1qfrKjzMhm2HJfxQ-qVlJlJQ25Hne1d0khsySbZyGtPA/edit?usp=sharing"",""ระนอง!S607"")+IMPORTRANGE(""https://docs.google.com/spreadsheets/d/"&amp;"1IbSCnFOKpZsnFogBHJnL_isstZVaOMnFiIN0fGTPZZw/edit?usp=sharing"",""สงขลา!S607"")+IMPORTRANGE(""https://docs.google.com/spreadsheets/d/1q9nWasZJ-K8bFGvbE9n0qSRuKGA4Toe3Y89cKCiVtCU/edit?usp=sharing"",""สตูล!S607"")+IMPORTRANGE(""https://docs.google.com/sprea"&amp;"dsheets/d/18T20gbkS_WBjdscyTOV05cvq_JqvqQ17C81mpxf7Ncs/edit?usp=sharing"",""สุราษฎร์ธานี!S607"")"),0)</f>
        <v>0</v>
      </c>
      <c r="T607" s="331">
        <f t="shared" ca="1" si="427"/>
        <v>0</v>
      </c>
      <c r="U607" s="331">
        <f t="shared" ca="1" si="428"/>
        <v>0</v>
      </c>
    </row>
    <row r="608" spans="1:21" ht="19.5" hidden="1" x14ac:dyDescent="0.3">
      <c r="A608" s="432"/>
      <c r="B608" s="433"/>
      <c r="C608" s="417" t="s">
        <v>18</v>
      </c>
      <c r="D608" s="434" t="s">
        <v>38</v>
      </c>
      <c r="E608" s="435"/>
      <c r="F608" s="435"/>
      <c r="G608" s="436"/>
      <c r="H608" s="437"/>
      <c r="I608" s="428"/>
      <c r="J608" s="428"/>
      <c r="K608" s="429"/>
      <c r="L608" s="332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hidden="1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332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hidden="1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332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hidden="1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332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8.75" hidden="1" x14ac:dyDescent="0.25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448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455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56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46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463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t="shared" ref="I615:J615" ca="1" si="437">I626</f>
        <v>550</v>
      </c>
      <c r="J615" s="468">
        <f t="shared" ca="1" si="437"/>
        <v>0</v>
      </c>
      <c r="K615" s="469">
        <f ca="1">IF(I615&gt;0,J615*100/I615,0)</f>
        <v>0</v>
      </c>
      <c r="L615" s="470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188" t="s">
        <v>18</v>
      </c>
      <c r="D616" s="532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132">
        <f t="shared" ref="L616:N616" ca="1" si="438">L617+L618</f>
        <v>0</v>
      </c>
      <c r="M616" s="132">
        <f t="shared" ca="1" si="438"/>
        <v>0</v>
      </c>
      <c r="N616" s="132">
        <f t="shared" ca="1" si="438"/>
        <v>0</v>
      </c>
      <c r="O616" s="132">
        <f t="shared" ref="O616:O624" ca="1" si="439">IF(L616&gt;0,N616*100/L616,0)</f>
        <v>0</v>
      </c>
      <c r="P616" s="132">
        <f t="shared" ref="P616:P624" ca="1" si="440">IF(M616&gt;0,N616*100/M616,0)</f>
        <v>0</v>
      </c>
      <c r="Q616" s="132">
        <f t="shared" ref="Q616:S616" ca="1" si="441">Q617+Q618</f>
        <v>83175</v>
      </c>
      <c r="R616" s="132">
        <f t="shared" ca="1" si="441"/>
        <v>83175</v>
      </c>
      <c r="S616" s="132">
        <f t="shared" ca="1" si="441"/>
        <v>17864</v>
      </c>
      <c r="T616" s="132">
        <f t="shared" ref="T616:T624" ca="1" si="442">IF(Q616&gt;0,S616*100/Q616,0)</f>
        <v>21.477607454162911</v>
      </c>
      <c r="U616" s="132">
        <f t="shared" ref="U616:U624" ca="1" si="443">IF(R616&gt;0,S616*100/R616,0)</f>
        <v>21.477607454162911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9">
        <f t="shared" ref="L617:N617" ca="1" si="444">L620+L623</f>
        <v>0</v>
      </c>
      <c r="M617" s="49">
        <f t="shared" ca="1" si="444"/>
        <v>0</v>
      </c>
      <c r="N617" s="49">
        <f t="shared" ca="1" si="444"/>
        <v>0</v>
      </c>
      <c r="O617" s="49">
        <f t="shared" ca="1" si="439"/>
        <v>0</v>
      </c>
      <c r="P617" s="49">
        <f t="shared" ca="1" si="440"/>
        <v>0</v>
      </c>
      <c r="Q617" s="49">
        <f t="shared" ref="Q617:S617" ca="1" si="445">Q620+Q623</f>
        <v>0</v>
      </c>
      <c r="R617" s="49">
        <f t="shared" ca="1" si="445"/>
        <v>0</v>
      </c>
      <c r="S617" s="49">
        <f t="shared" ca="1" si="445"/>
        <v>0</v>
      </c>
      <c r="T617" s="49">
        <f t="shared" ca="1" si="442"/>
        <v>0</v>
      </c>
      <c r="U617" s="49">
        <f t="shared" ca="1" si="443"/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7">
        <f t="shared" ref="L618:N618" ca="1" si="446">L621+L624</f>
        <v>0</v>
      </c>
      <c r="M618" s="47">
        <f t="shared" ca="1" si="446"/>
        <v>0</v>
      </c>
      <c r="N618" s="47">
        <f t="shared" ca="1" si="446"/>
        <v>0</v>
      </c>
      <c r="O618" s="47">
        <f t="shared" ca="1" si="439"/>
        <v>0</v>
      </c>
      <c r="P618" s="47">
        <f t="shared" ca="1" si="440"/>
        <v>0</v>
      </c>
      <c r="Q618" s="47">
        <f t="shared" ref="Q618:S618" ca="1" si="447">Q621+Q624</f>
        <v>83175</v>
      </c>
      <c r="R618" s="47">
        <f t="shared" ca="1" si="447"/>
        <v>83175</v>
      </c>
      <c r="S618" s="47">
        <f t="shared" ca="1" si="447"/>
        <v>17864</v>
      </c>
      <c r="T618" s="47">
        <f t="shared" ca="1" si="442"/>
        <v>21.477607454162911</v>
      </c>
      <c r="U618" s="47">
        <f t="shared" ca="1" si="443"/>
        <v>21.477607454162911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7">
        <f t="shared" ref="L619:N619" ca="1" si="448">L620+L621</f>
        <v>0</v>
      </c>
      <c r="M619" s="47">
        <f t="shared" ca="1" si="448"/>
        <v>0</v>
      </c>
      <c r="N619" s="47">
        <f t="shared" ca="1" si="448"/>
        <v>0</v>
      </c>
      <c r="O619" s="47">
        <f t="shared" ca="1" si="439"/>
        <v>0</v>
      </c>
      <c r="P619" s="47">
        <f t="shared" ca="1" si="440"/>
        <v>0</v>
      </c>
      <c r="Q619" s="47">
        <f t="shared" ref="Q619:S619" ca="1" si="449">Q620+Q621</f>
        <v>83175</v>
      </c>
      <c r="R619" s="47">
        <f t="shared" ca="1" si="449"/>
        <v>83175</v>
      </c>
      <c r="S619" s="47">
        <f t="shared" ca="1" si="449"/>
        <v>17864</v>
      </c>
      <c r="T619" s="47">
        <f t="shared" ca="1" si="442"/>
        <v>21.477607454162911</v>
      </c>
      <c r="U619" s="47">
        <f t="shared" ca="1" si="443"/>
        <v>21.477607454162911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9">
        <f ca="1">IFERROR(__xludf.DUMMYFUNCTION("IMPORTRANGE(""https://docs.google.com/spreadsheets/d/1kKUcYdkIfrgTSj8iHHHB2MD2FAtwyyocFgqGQn6ADyI/edit?usp=sharing"",""กระบี่!L620"")+IMPORTRANGE(""https://docs.google.com/spreadsheets/d/1GwtLaSlNZkLk7iDqcyZz22giiy40b_usZZBXYciEN1U/edit?usp=sharing"",""ชุ"&amp;"มพร!L620"")+IMPORTRANGE(""https://docs.google.com/spreadsheets/d/16pAz3pOhQEZBhvFNMa5KGgZS6iKWpsKX0pg6tQmwFpo/edit?usp=sharing"",""ตรัง!L620"")+IMPORTRANGE(""https://docs.google.com/spreadsheets/d/1Dj4jcHCTV9JXKCaMoheSXS52JE63kDKyG7bPXnFogHk/edit?usp=shar"&amp;"ing"",""นครศรีธรรมราช!L620"")+IMPORTRANGE(""https://docs.google.com/spreadsheets/d/1iodCdmuK2GR3jzUwk8tpccY2JHQQA-87DLOtJP-ooyU/edit?usp=sharing"",""นราธิวาส!L620"")+IMPORTRANGE(""https://docs.google.com/spreadsheets/d/1SDNX3JhDdYRuIOsj0Wh2M-Qa_eaXl0NbWmh"&amp;"AOTbfQAs/edit?usp=sharing"",""ปัตตานี!L620"")+IMPORTRANGE(""https://docs.google.com/spreadsheets/d/16JDLGguT8s5DsGCND1KcwHP_AWR_zDMTqLHPLJUKhaU/edit?usp=sharing"",""พังงา!L620"")+IMPORTRANGE(""https://docs.google.com/spreadsheets/d/17ht0gPKzzT3PObBL1XJkeR"&amp;"mntBXI7wGjpLV7QorqlTk/edit?usp=sharing"",""พัทลุง!L620"")+IMPORTRANGE(""https://docs.google.com/spreadsheets/d/1rd4qoM1q_hsgaolqNGfrim9gbsoLxQsda4-vOz5x_BM/edit?usp=sharing"",""ภูเก็ต!L620"")+IMPORTRANGE(""https://docs.google.com/spreadsheets/d/1woKwKjgoL"&amp;"ssDvPcPeVyezB5izizAn4X1JDrys69n6xI/edit?usp=sharing"",""ยะลา!L620"")+IMPORTRANGE(""https://docs.google.com/spreadsheets/d/1qfrKjzMhm2HJfxQ-qVlJlJQ25Hne1d0khsySbZyGtPA/edit?usp=sharing"",""ระนอง!L620"")+IMPORTRANGE(""https://docs.google.com/spreadsheets/d/"&amp;"1IbSCnFOKpZsnFogBHJnL_isstZVaOMnFiIN0fGTPZZw/edit?usp=sharing"",""สงขลา!L620"")+IMPORTRANGE(""https://docs.google.com/spreadsheets/d/1q9nWasZJ-K8bFGvbE9n0qSRuKGA4Toe3Y89cKCiVtCU/edit?usp=sharing"",""สตูล!L620"")+IMPORTRANGE(""https://docs.google.com/sprea"&amp;"dsheets/d/18T20gbkS_WBjdscyTOV05cvq_JqvqQ17C81mpxf7Ncs/edit?usp=sharing"",""สุราษฎร์ธานี!L620"")"),0)</f>
        <v>0</v>
      </c>
      <c r="M620" s="49">
        <f ca="1">IFERROR(__xludf.DUMMYFUNCTION("IMPORTRANGE(""https://docs.google.com/spreadsheets/d/1kKUcYdkIfrgTSj8iHHHB2MD2FAtwyyocFgqGQn6ADyI/edit?usp=sharing"",""กระบี่!M620"")+IMPORTRANGE(""https://docs.google.com/spreadsheets/d/1GwtLaSlNZkLk7iDqcyZz22giiy40b_usZZBXYciEN1U/edit?usp=sharing"",""ชุ"&amp;"มพร!M620"")+IMPORTRANGE(""https://docs.google.com/spreadsheets/d/16pAz3pOhQEZBhvFNMa5KGgZS6iKWpsKX0pg6tQmwFpo/edit?usp=sharing"",""ตรัง!M620"")+IMPORTRANGE(""https://docs.google.com/spreadsheets/d/1Dj4jcHCTV9JXKCaMoheSXS52JE63kDKyG7bPXnFogHk/edit?usp=shar"&amp;"ing"",""นครศรีธรรมราช!M620"")+IMPORTRANGE(""https://docs.google.com/spreadsheets/d/1iodCdmuK2GR3jzUwk8tpccY2JHQQA-87DLOtJP-ooyU/edit?usp=sharing"",""นราธิวาส!M620"")+IMPORTRANGE(""https://docs.google.com/spreadsheets/d/1SDNX3JhDdYRuIOsj0Wh2M-Qa_eaXl0NbWmh"&amp;"AOTbfQAs/edit?usp=sharing"",""ปัตตานี!M620"")+IMPORTRANGE(""https://docs.google.com/spreadsheets/d/16JDLGguT8s5DsGCND1KcwHP_AWR_zDMTqLHPLJUKhaU/edit?usp=sharing"",""พังงา!M620"")+IMPORTRANGE(""https://docs.google.com/spreadsheets/d/17ht0gPKzzT3PObBL1XJkeR"&amp;"mntBXI7wGjpLV7QorqlTk/edit?usp=sharing"",""พัทลุง!M620"")+IMPORTRANGE(""https://docs.google.com/spreadsheets/d/1rd4qoM1q_hsgaolqNGfrim9gbsoLxQsda4-vOz5x_BM/edit?usp=sharing"",""ภูเก็ต!M620"")+IMPORTRANGE(""https://docs.google.com/spreadsheets/d/1woKwKjgoL"&amp;"ssDvPcPeVyezB5izizAn4X1JDrys69n6xI/edit?usp=sharing"",""ยะลา!M620"")+IMPORTRANGE(""https://docs.google.com/spreadsheets/d/1qfrKjzMhm2HJfxQ-qVlJlJQ25Hne1d0khsySbZyGtPA/edit?usp=sharing"",""ระนอง!M620"")+IMPORTRANGE(""https://docs.google.com/spreadsheets/d/"&amp;"1IbSCnFOKpZsnFogBHJnL_isstZVaOMnFiIN0fGTPZZw/edit?usp=sharing"",""สงขลา!M620"")+IMPORTRANGE(""https://docs.google.com/spreadsheets/d/1q9nWasZJ-K8bFGvbE9n0qSRuKGA4Toe3Y89cKCiVtCU/edit?usp=sharing"",""สตูล!M620"")+IMPORTRANGE(""https://docs.google.com/sprea"&amp;"dsheets/d/18T20gbkS_WBjdscyTOV05cvq_JqvqQ17C81mpxf7Ncs/edit?usp=sharing"",""สุราษฎร์ธานี!M620"")"),0)</f>
        <v>0</v>
      </c>
      <c r="N620" s="49">
        <f ca="1">IFERROR(__xludf.DUMMYFUNCTION("IMPORTRANGE(""https://docs.google.com/spreadsheets/d/1kKUcYdkIfrgTSj8iHHHB2MD2FAtwyyocFgqGQn6ADyI/edit?usp=sharing"",""กระบี่!N620"")+IMPORTRANGE(""https://docs.google.com/spreadsheets/d/1GwtLaSlNZkLk7iDqcyZz22giiy40b_usZZBXYciEN1U/edit?usp=sharing"",""ชุ"&amp;"มพร!N620"")+IMPORTRANGE(""https://docs.google.com/spreadsheets/d/16pAz3pOhQEZBhvFNMa5KGgZS6iKWpsKX0pg6tQmwFpo/edit?usp=sharing"",""ตรัง!N620"")+IMPORTRANGE(""https://docs.google.com/spreadsheets/d/1Dj4jcHCTV9JXKCaMoheSXS52JE63kDKyG7bPXnFogHk/edit?usp=shar"&amp;"ing"",""นครศรีธรรมราช!N620"")+IMPORTRANGE(""https://docs.google.com/spreadsheets/d/1iodCdmuK2GR3jzUwk8tpccY2JHQQA-87DLOtJP-ooyU/edit?usp=sharing"",""นราธิวาส!N620"")+IMPORTRANGE(""https://docs.google.com/spreadsheets/d/1SDNX3JhDdYRuIOsj0Wh2M-Qa_eaXl0NbWmh"&amp;"AOTbfQAs/edit?usp=sharing"",""ปัตตานี!N620"")+IMPORTRANGE(""https://docs.google.com/spreadsheets/d/16JDLGguT8s5DsGCND1KcwHP_AWR_zDMTqLHPLJUKhaU/edit?usp=sharing"",""พังงา!N620"")+IMPORTRANGE(""https://docs.google.com/spreadsheets/d/17ht0gPKzzT3PObBL1XJkeR"&amp;"mntBXI7wGjpLV7QorqlTk/edit?usp=sharing"",""พัทลุง!N620"")+IMPORTRANGE(""https://docs.google.com/spreadsheets/d/1rd4qoM1q_hsgaolqNGfrim9gbsoLxQsda4-vOz5x_BM/edit?usp=sharing"",""ภูเก็ต!N620"")+IMPORTRANGE(""https://docs.google.com/spreadsheets/d/1woKwKjgoL"&amp;"ssDvPcPeVyezB5izizAn4X1JDrys69n6xI/edit?usp=sharing"",""ยะลา!N620"")+IMPORTRANGE(""https://docs.google.com/spreadsheets/d/1qfrKjzMhm2HJfxQ-qVlJlJQ25Hne1d0khsySbZyGtPA/edit?usp=sharing"",""ระนอง!N620"")+IMPORTRANGE(""https://docs.google.com/spreadsheets/d/"&amp;"1IbSCnFOKpZsnFogBHJnL_isstZVaOMnFiIN0fGTPZZw/edit?usp=sharing"",""สงขลา!N620"")+IMPORTRANGE(""https://docs.google.com/spreadsheets/d/1q9nWasZJ-K8bFGvbE9n0qSRuKGA4Toe3Y89cKCiVtCU/edit?usp=sharing"",""สตูล!N620"")+IMPORTRANGE(""https://docs.google.com/sprea"&amp;"dsheets/d/18T20gbkS_WBjdscyTOV05cvq_JqvqQ17C81mpxf7Ncs/edit?usp=sharing"",""สุราษฎร์ธานี!N620"")"),0)</f>
        <v>0</v>
      </c>
      <c r="O620" s="49">
        <f t="shared" ca="1" si="439"/>
        <v>0</v>
      </c>
      <c r="P620" s="49">
        <f t="shared" ca="1" si="440"/>
        <v>0</v>
      </c>
      <c r="Q620" s="49">
        <f ca="1">IFERROR(__xludf.DUMMYFUNCTION("IMPORTRANGE(""https://docs.google.com/spreadsheets/d/1kKUcYdkIfrgTSj8iHHHB2MD2FAtwyyocFgqGQn6ADyI/edit?usp=sharing"",""กระบี่!Q620"")+IMPORTRANGE(""https://docs.google.com/spreadsheets/d/1GwtLaSlNZkLk7iDqcyZz22giiy40b_usZZBXYciEN1U/edit?usp=sharing"",""ชุ"&amp;"มพร!Q620"")+IMPORTRANGE(""https://docs.google.com/spreadsheets/d/16pAz3pOhQEZBhvFNMa5KGgZS6iKWpsKX0pg6tQmwFpo/edit?usp=sharing"",""ตรัง!Q620"")+IMPORTRANGE(""https://docs.google.com/spreadsheets/d/1Dj4jcHCTV9JXKCaMoheSXS52JE63kDKyG7bPXnFogHk/edit?usp=shar"&amp;"ing"",""นครศรีธรรมราช!Q620"")+IMPORTRANGE(""https://docs.google.com/spreadsheets/d/1iodCdmuK2GR3jzUwk8tpccY2JHQQA-87DLOtJP-ooyU/edit?usp=sharing"",""นราธิวาส!Q620"")+IMPORTRANGE(""https://docs.google.com/spreadsheets/d/1SDNX3JhDdYRuIOsj0Wh2M-Qa_eaXl0NbWmh"&amp;"AOTbfQAs/edit?usp=sharing"",""ปัตตานี!Q620"")+IMPORTRANGE(""https://docs.google.com/spreadsheets/d/16JDLGguT8s5DsGCND1KcwHP_AWR_zDMTqLHPLJUKhaU/edit?usp=sharing"",""พังงา!Q620"")+IMPORTRANGE(""https://docs.google.com/spreadsheets/d/17ht0gPKzzT3PObBL1XJkeR"&amp;"mntBXI7wGjpLV7QorqlTk/edit?usp=sharing"",""พัทลุง!Q620"")+IMPORTRANGE(""https://docs.google.com/spreadsheets/d/1rd4qoM1q_hsgaolqNGfrim9gbsoLxQsda4-vOz5x_BM/edit?usp=sharing"",""ภูเก็ต!Q620"")+IMPORTRANGE(""https://docs.google.com/spreadsheets/d/1woKwKjgoL"&amp;"ssDvPcPeVyezB5izizAn4X1JDrys69n6xI/edit?usp=sharing"",""ยะลา!Q620"")+IMPORTRANGE(""https://docs.google.com/spreadsheets/d/1qfrKjzMhm2HJfxQ-qVlJlJQ25Hne1d0khsySbZyGtPA/edit?usp=sharing"",""ระนอง!Q620"")+IMPORTRANGE(""https://docs.google.com/spreadsheets/d/"&amp;"1IbSCnFOKpZsnFogBHJnL_isstZVaOMnFiIN0fGTPZZw/edit?usp=sharing"",""สงขลา!Q620"")+IMPORTRANGE(""https://docs.google.com/spreadsheets/d/1q9nWasZJ-K8bFGvbE9n0qSRuKGA4Toe3Y89cKCiVtCU/edit?usp=sharing"",""สตูล!Q620"")+IMPORTRANGE(""https://docs.google.com/sprea"&amp;"dsheets/d/18T20gbkS_WBjdscyTOV05cvq_JqvqQ17C81mpxf7Ncs/edit?usp=sharing"",""สุราษฎร์ธานี!Q620"")"),0)</f>
        <v>0</v>
      </c>
      <c r="R620" s="49">
        <f ca="1">IFERROR(__xludf.DUMMYFUNCTION("IMPORTRANGE(""https://docs.google.com/spreadsheets/d/1kKUcYdkIfrgTSj8iHHHB2MD2FAtwyyocFgqGQn6ADyI/edit?usp=sharing"",""กระบี่!R620"")+IMPORTRANGE(""https://docs.google.com/spreadsheets/d/1GwtLaSlNZkLk7iDqcyZz22giiy40b_usZZBXYciEN1U/edit?usp=sharing"",""ชุ"&amp;"มพร!R620"")+IMPORTRANGE(""https://docs.google.com/spreadsheets/d/16pAz3pOhQEZBhvFNMa5KGgZS6iKWpsKX0pg6tQmwFpo/edit?usp=sharing"",""ตรัง!R620"")+IMPORTRANGE(""https://docs.google.com/spreadsheets/d/1Dj4jcHCTV9JXKCaMoheSXS52JE63kDKyG7bPXnFogHk/edit?usp=shar"&amp;"ing"",""นครศรีธรรมราช!R620"")+IMPORTRANGE(""https://docs.google.com/spreadsheets/d/1iodCdmuK2GR3jzUwk8tpccY2JHQQA-87DLOtJP-ooyU/edit?usp=sharing"",""นราธิวาส!R620"")+IMPORTRANGE(""https://docs.google.com/spreadsheets/d/1SDNX3JhDdYRuIOsj0Wh2M-Qa_eaXl0NbWmh"&amp;"AOTbfQAs/edit?usp=sharing"",""ปัตตานี!R620"")+IMPORTRANGE(""https://docs.google.com/spreadsheets/d/16JDLGguT8s5DsGCND1KcwHP_AWR_zDMTqLHPLJUKhaU/edit?usp=sharing"",""พังงา!R620"")+IMPORTRANGE(""https://docs.google.com/spreadsheets/d/17ht0gPKzzT3PObBL1XJkeR"&amp;"mntBXI7wGjpLV7QorqlTk/edit?usp=sharing"",""พัทลุง!R620"")+IMPORTRANGE(""https://docs.google.com/spreadsheets/d/1rd4qoM1q_hsgaolqNGfrim9gbsoLxQsda4-vOz5x_BM/edit?usp=sharing"",""ภูเก็ต!R620"")+IMPORTRANGE(""https://docs.google.com/spreadsheets/d/1woKwKjgoL"&amp;"ssDvPcPeVyezB5izizAn4X1JDrys69n6xI/edit?usp=sharing"",""ยะลา!R620"")+IMPORTRANGE(""https://docs.google.com/spreadsheets/d/1qfrKjzMhm2HJfxQ-qVlJlJQ25Hne1d0khsySbZyGtPA/edit?usp=sharing"",""ระนอง!R620"")+IMPORTRANGE(""https://docs.google.com/spreadsheets/d/"&amp;"1IbSCnFOKpZsnFogBHJnL_isstZVaOMnFiIN0fGTPZZw/edit?usp=sharing"",""สงขลา!R620"")+IMPORTRANGE(""https://docs.google.com/spreadsheets/d/1q9nWasZJ-K8bFGvbE9n0qSRuKGA4Toe3Y89cKCiVtCU/edit?usp=sharing"",""สตูล!R620"")+IMPORTRANGE(""https://docs.google.com/sprea"&amp;"dsheets/d/18T20gbkS_WBjdscyTOV05cvq_JqvqQ17C81mpxf7Ncs/edit?usp=sharing"",""สุราษฎร์ธานี!R620"")"),0)</f>
        <v>0</v>
      </c>
      <c r="S620" s="49">
        <f ca="1">IFERROR(__xludf.DUMMYFUNCTION("IMPORTRANGE(""https://docs.google.com/spreadsheets/d/1kKUcYdkIfrgTSj8iHHHB2MD2FAtwyyocFgqGQn6ADyI/edit?usp=sharing"",""กระบี่!S620"")+IMPORTRANGE(""https://docs.google.com/spreadsheets/d/1GwtLaSlNZkLk7iDqcyZz22giiy40b_usZZBXYciEN1U/edit?usp=sharing"",""ชุ"&amp;"มพร!S620"")+IMPORTRANGE(""https://docs.google.com/spreadsheets/d/16pAz3pOhQEZBhvFNMa5KGgZS6iKWpsKX0pg6tQmwFpo/edit?usp=sharing"",""ตรัง!S620"")+IMPORTRANGE(""https://docs.google.com/spreadsheets/d/1Dj4jcHCTV9JXKCaMoheSXS52JE63kDKyG7bPXnFogHk/edit?usp=shar"&amp;"ing"",""นครศรีธรรมราช!S620"")+IMPORTRANGE(""https://docs.google.com/spreadsheets/d/1iodCdmuK2GR3jzUwk8tpccY2JHQQA-87DLOtJP-ooyU/edit?usp=sharing"",""นราธิวาส!S620"")+IMPORTRANGE(""https://docs.google.com/spreadsheets/d/1SDNX3JhDdYRuIOsj0Wh2M-Qa_eaXl0NbWmh"&amp;"AOTbfQAs/edit?usp=sharing"",""ปัตตานี!S620"")+IMPORTRANGE(""https://docs.google.com/spreadsheets/d/16JDLGguT8s5DsGCND1KcwHP_AWR_zDMTqLHPLJUKhaU/edit?usp=sharing"",""พังงา!S620"")+IMPORTRANGE(""https://docs.google.com/spreadsheets/d/17ht0gPKzzT3PObBL1XJkeR"&amp;"mntBXI7wGjpLV7QorqlTk/edit?usp=sharing"",""พัทลุง!S620"")+IMPORTRANGE(""https://docs.google.com/spreadsheets/d/1rd4qoM1q_hsgaolqNGfrim9gbsoLxQsda4-vOz5x_BM/edit?usp=sharing"",""ภูเก็ต!S620"")+IMPORTRANGE(""https://docs.google.com/spreadsheets/d/1woKwKjgoL"&amp;"ssDvPcPeVyezB5izizAn4X1JDrys69n6xI/edit?usp=sharing"",""ยะลา!S620"")+IMPORTRANGE(""https://docs.google.com/spreadsheets/d/1qfrKjzMhm2HJfxQ-qVlJlJQ25Hne1d0khsySbZyGtPA/edit?usp=sharing"",""ระนอง!S620"")+IMPORTRANGE(""https://docs.google.com/spreadsheets/d/"&amp;"1IbSCnFOKpZsnFogBHJnL_isstZVaOMnFiIN0fGTPZZw/edit?usp=sharing"",""สงขลา!S620"")+IMPORTRANGE(""https://docs.google.com/spreadsheets/d/1q9nWasZJ-K8bFGvbE9n0qSRuKGA4Toe3Y89cKCiVtCU/edit?usp=sharing"",""สตูล!S620"")+IMPORTRANGE(""https://docs.google.com/sprea"&amp;"dsheets/d/18T20gbkS_WBjdscyTOV05cvq_JqvqQ17C81mpxf7Ncs/edit?usp=sharing"",""สุราษฎร์ธานี!S620"")"),0)</f>
        <v>0</v>
      </c>
      <c r="T620" s="49">
        <f t="shared" ca="1" si="442"/>
        <v>0</v>
      </c>
      <c r="U620" s="49">
        <f t="shared" ca="1" si="443"/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7">
        <f ca="1">IFERROR(__xludf.DUMMYFUNCTION("IMPORTRANGE(""https://docs.google.com/spreadsheets/d/1kKUcYdkIfrgTSj8iHHHB2MD2FAtwyyocFgqGQn6ADyI/edit?usp=sharing"",""กระบี่!L621"")+IMPORTRANGE(""https://docs.google.com/spreadsheets/d/1GwtLaSlNZkLk7iDqcyZz22giiy40b_usZZBXYciEN1U/edit?usp=sharing"",""ชุ"&amp;"มพร!L621"")+IMPORTRANGE(""https://docs.google.com/spreadsheets/d/16pAz3pOhQEZBhvFNMa5KGgZS6iKWpsKX0pg6tQmwFpo/edit?usp=sharing"",""ตรัง!L621"")+IMPORTRANGE(""https://docs.google.com/spreadsheets/d/1Dj4jcHCTV9JXKCaMoheSXS52JE63kDKyG7bPXnFogHk/edit?usp=shar"&amp;"ing"",""นครศรีธรรมราช!L621"")+IMPORTRANGE(""https://docs.google.com/spreadsheets/d/1iodCdmuK2GR3jzUwk8tpccY2JHQQA-87DLOtJP-ooyU/edit?usp=sharing"",""นราธิวาส!L621"")+IMPORTRANGE(""https://docs.google.com/spreadsheets/d/1SDNX3JhDdYRuIOsj0Wh2M-Qa_eaXl0NbWmh"&amp;"AOTbfQAs/edit?usp=sharing"",""ปัตตานี!L621"")+IMPORTRANGE(""https://docs.google.com/spreadsheets/d/16JDLGguT8s5DsGCND1KcwHP_AWR_zDMTqLHPLJUKhaU/edit?usp=sharing"",""พังงา!L621"")+IMPORTRANGE(""https://docs.google.com/spreadsheets/d/17ht0gPKzzT3PObBL1XJkeR"&amp;"mntBXI7wGjpLV7QorqlTk/edit?usp=sharing"",""พัทลุง!L621"")+IMPORTRANGE(""https://docs.google.com/spreadsheets/d/1rd4qoM1q_hsgaolqNGfrim9gbsoLxQsda4-vOz5x_BM/edit?usp=sharing"",""ภูเก็ต!L621"")+IMPORTRANGE(""https://docs.google.com/spreadsheets/d/1woKwKjgoL"&amp;"ssDvPcPeVyezB5izizAn4X1JDrys69n6xI/edit?usp=sharing"",""ยะลา!L621"")+IMPORTRANGE(""https://docs.google.com/spreadsheets/d/1qfrKjzMhm2HJfxQ-qVlJlJQ25Hne1d0khsySbZyGtPA/edit?usp=sharing"",""ระนอง!L621"")+IMPORTRANGE(""https://docs.google.com/spreadsheets/d/"&amp;"1IbSCnFOKpZsnFogBHJnL_isstZVaOMnFiIN0fGTPZZw/edit?usp=sharing"",""สงขลา!L621"")+IMPORTRANGE(""https://docs.google.com/spreadsheets/d/1q9nWasZJ-K8bFGvbE9n0qSRuKGA4Toe3Y89cKCiVtCU/edit?usp=sharing"",""สตูล!L621"")+IMPORTRANGE(""https://docs.google.com/sprea"&amp;"dsheets/d/18T20gbkS_WBjdscyTOV05cvq_JqvqQ17C81mpxf7Ncs/edit?usp=sharing"",""สุราษฎร์ธานี!L621"")"),0)</f>
        <v>0</v>
      </c>
      <c r="M621" s="47">
        <f ca="1">IFERROR(__xludf.DUMMYFUNCTION("IMPORTRANGE(""https://docs.google.com/spreadsheets/d/1kKUcYdkIfrgTSj8iHHHB2MD2FAtwyyocFgqGQn6ADyI/edit?usp=sharing"",""กระบี่!M621"")+IMPORTRANGE(""https://docs.google.com/spreadsheets/d/1GwtLaSlNZkLk7iDqcyZz22giiy40b_usZZBXYciEN1U/edit?usp=sharing"",""ชุ"&amp;"มพร!M621"")+IMPORTRANGE(""https://docs.google.com/spreadsheets/d/16pAz3pOhQEZBhvFNMa5KGgZS6iKWpsKX0pg6tQmwFpo/edit?usp=sharing"",""ตรัง!M621"")+IMPORTRANGE(""https://docs.google.com/spreadsheets/d/1Dj4jcHCTV9JXKCaMoheSXS52JE63kDKyG7bPXnFogHk/edit?usp=shar"&amp;"ing"",""นครศรีธรรมราช!M621"")+IMPORTRANGE(""https://docs.google.com/spreadsheets/d/1iodCdmuK2GR3jzUwk8tpccY2JHQQA-87DLOtJP-ooyU/edit?usp=sharing"",""นราธิวาส!M621"")+IMPORTRANGE(""https://docs.google.com/spreadsheets/d/1SDNX3JhDdYRuIOsj0Wh2M-Qa_eaXl0NbWmh"&amp;"AOTbfQAs/edit?usp=sharing"",""ปัตตานี!M621"")+IMPORTRANGE(""https://docs.google.com/spreadsheets/d/16JDLGguT8s5DsGCND1KcwHP_AWR_zDMTqLHPLJUKhaU/edit?usp=sharing"",""พังงา!M621"")+IMPORTRANGE(""https://docs.google.com/spreadsheets/d/17ht0gPKzzT3PObBL1XJkeR"&amp;"mntBXI7wGjpLV7QorqlTk/edit?usp=sharing"",""พัทลุง!M621"")+IMPORTRANGE(""https://docs.google.com/spreadsheets/d/1rd4qoM1q_hsgaolqNGfrim9gbsoLxQsda4-vOz5x_BM/edit?usp=sharing"",""ภูเก็ต!M621"")+IMPORTRANGE(""https://docs.google.com/spreadsheets/d/1woKwKjgoL"&amp;"ssDvPcPeVyezB5izizAn4X1JDrys69n6xI/edit?usp=sharing"",""ยะลา!M621"")+IMPORTRANGE(""https://docs.google.com/spreadsheets/d/1qfrKjzMhm2HJfxQ-qVlJlJQ25Hne1d0khsySbZyGtPA/edit?usp=sharing"",""ระนอง!M621"")+IMPORTRANGE(""https://docs.google.com/spreadsheets/d/"&amp;"1IbSCnFOKpZsnFogBHJnL_isstZVaOMnFiIN0fGTPZZw/edit?usp=sharing"",""สงขลา!M621"")+IMPORTRANGE(""https://docs.google.com/spreadsheets/d/1q9nWasZJ-K8bFGvbE9n0qSRuKGA4Toe3Y89cKCiVtCU/edit?usp=sharing"",""สตูล!M621"")+IMPORTRANGE(""https://docs.google.com/sprea"&amp;"dsheets/d/18T20gbkS_WBjdscyTOV05cvq_JqvqQ17C81mpxf7Ncs/edit?usp=sharing"",""สุราษฎร์ธานี!M621"")"),0)</f>
        <v>0</v>
      </c>
      <c r="N621" s="47">
        <f ca="1">IFERROR(__xludf.DUMMYFUNCTION("IMPORTRANGE(""https://docs.google.com/spreadsheets/d/1kKUcYdkIfrgTSj8iHHHB2MD2FAtwyyocFgqGQn6ADyI/edit?usp=sharing"",""กระบี่!N621"")+IMPORTRANGE(""https://docs.google.com/spreadsheets/d/1GwtLaSlNZkLk7iDqcyZz22giiy40b_usZZBXYciEN1U/edit?usp=sharing"",""ชุ"&amp;"มพร!N621"")+IMPORTRANGE(""https://docs.google.com/spreadsheets/d/16pAz3pOhQEZBhvFNMa5KGgZS6iKWpsKX0pg6tQmwFpo/edit?usp=sharing"",""ตรัง!N621"")+IMPORTRANGE(""https://docs.google.com/spreadsheets/d/1Dj4jcHCTV9JXKCaMoheSXS52JE63kDKyG7bPXnFogHk/edit?usp=shar"&amp;"ing"",""นครศรีธรรมราช!N621"")+IMPORTRANGE(""https://docs.google.com/spreadsheets/d/1iodCdmuK2GR3jzUwk8tpccY2JHQQA-87DLOtJP-ooyU/edit?usp=sharing"",""นราธิวาส!N621"")+IMPORTRANGE(""https://docs.google.com/spreadsheets/d/1SDNX3JhDdYRuIOsj0Wh2M-Qa_eaXl0NbWmh"&amp;"AOTbfQAs/edit?usp=sharing"",""ปัตตานี!N621"")+IMPORTRANGE(""https://docs.google.com/spreadsheets/d/16JDLGguT8s5DsGCND1KcwHP_AWR_zDMTqLHPLJUKhaU/edit?usp=sharing"",""พังงา!N621"")+IMPORTRANGE(""https://docs.google.com/spreadsheets/d/17ht0gPKzzT3PObBL1XJkeR"&amp;"mntBXI7wGjpLV7QorqlTk/edit?usp=sharing"",""พัทลุง!N621"")+IMPORTRANGE(""https://docs.google.com/spreadsheets/d/1rd4qoM1q_hsgaolqNGfrim9gbsoLxQsda4-vOz5x_BM/edit?usp=sharing"",""ภูเก็ต!N621"")+IMPORTRANGE(""https://docs.google.com/spreadsheets/d/1woKwKjgoL"&amp;"ssDvPcPeVyezB5izizAn4X1JDrys69n6xI/edit?usp=sharing"",""ยะลา!N621"")+IMPORTRANGE(""https://docs.google.com/spreadsheets/d/1qfrKjzMhm2HJfxQ-qVlJlJQ25Hne1d0khsySbZyGtPA/edit?usp=sharing"",""ระนอง!N621"")+IMPORTRANGE(""https://docs.google.com/spreadsheets/d/"&amp;"1IbSCnFOKpZsnFogBHJnL_isstZVaOMnFiIN0fGTPZZw/edit?usp=sharing"",""สงขลา!N621"")+IMPORTRANGE(""https://docs.google.com/spreadsheets/d/1q9nWasZJ-K8bFGvbE9n0qSRuKGA4Toe3Y89cKCiVtCU/edit?usp=sharing"",""สตูล!N621"")+IMPORTRANGE(""https://docs.google.com/sprea"&amp;"dsheets/d/18T20gbkS_WBjdscyTOV05cvq_JqvqQ17C81mpxf7Ncs/edit?usp=sharing"",""สุราษฎร์ธานี!N621"")"),0)</f>
        <v>0</v>
      </c>
      <c r="O621" s="47">
        <f t="shared" ca="1" si="439"/>
        <v>0</v>
      </c>
      <c r="P621" s="47">
        <f t="shared" ca="1" si="440"/>
        <v>0</v>
      </c>
      <c r="Q621" s="47">
        <f ca="1">IFERROR(__xludf.DUMMYFUNCTION("IMPORTRANGE(""https://docs.google.com/spreadsheets/d/1kKUcYdkIfrgTSj8iHHHB2MD2FAtwyyocFgqGQn6ADyI/edit?usp=sharing"",""กระบี่!Q621"")+IMPORTRANGE(""https://docs.google.com/spreadsheets/d/1GwtLaSlNZkLk7iDqcyZz22giiy40b_usZZBXYciEN1U/edit?usp=sharing"",""ชุ"&amp;"มพร!Q621"")+IMPORTRANGE(""https://docs.google.com/spreadsheets/d/16pAz3pOhQEZBhvFNMa5KGgZS6iKWpsKX0pg6tQmwFpo/edit?usp=sharing"",""ตรัง!Q621"")+IMPORTRANGE(""https://docs.google.com/spreadsheets/d/1Dj4jcHCTV9JXKCaMoheSXS52JE63kDKyG7bPXnFogHk/edit?usp=shar"&amp;"ing"",""นครศรีธรรมราช!Q621"")+IMPORTRANGE(""https://docs.google.com/spreadsheets/d/1iodCdmuK2GR3jzUwk8tpccY2JHQQA-87DLOtJP-ooyU/edit?usp=sharing"",""นราธิวาส!Q621"")+IMPORTRANGE(""https://docs.google.com/spreadsheets/d/1SDNX3JhDdYRuIOsj0Wh2M-Qa_eaXl0NbWmh"&amp;"AOTbfQAs/edit?usp=sharing"",""ปัตตานี!Q621"")+IMPORTRANGE(""https://docs.google.com/spreadsheets/d/16JDLGguT8s5DsGCND1KcwHP_AWR_zDMTqLHPLJUKhaU/edit?usp=sharing"",""พังงา!Q621"")+IMPORTRANGE(""https://docs.google.com/spreadsheets/d/17ht0gPKzzT3PObBL1XJkeR"&amp;"mntBXI7wGjpLV7QorqlTk/edit?usp=sharing"",""พัทลุง!Q621"")+IMPORTRANGE(""https://docs.google.com/spreadsheets/d/1rd4qoM1q_hsgaolqNGfrim9gbsoLxQsda4-vOz5x_BM/edit?usp=sharing"",""ภูเก็ต!Q621"")+IMPORTRANGE(""https://docs.google.com/spreadsheets/d/1woKwKjgoL"&amp;"ssDvPcPeVyezB5izizAn4X1JDrys69n6xI/edit?usp=sharing"",""ยะลา!Q621"")+IMPORTRANGE(""https://docs.google.com/spreadsheets/d/1qfrKjzMhm2HJfxQ-qVlJlJQ25Hne1d0khsySbZyGtPA/edit?usp=sharing"",""ระนอง!Q621"")+IMPORTRANGE(""https://docs.google.com/spreadsheets/d/"&amp;"1IbSCnFOKpZsnFogBHJnL_isstZVaOMnFiIN0fGTPZZw/edit?usp=sharing"",""สงขลา!Q621"")+IMPORTRANGE(""https://docs.google.com/spreadsheets/d/1q9nWasZJ-K8bFGvbE9n0qSRuKGA4Toe3Y89cKCiVtCU/edit?usp=sharing"",""สตูล!Q621"")+IMPORTRANGE(""https://docs.google.com/sprea"&amp;"dsheets/d/18T20gbkS_WBjdscyTOV05cvq_JqvqQ17C81mpxf7Ncs/edit?usp=sharing"",""สุราษฎร์ธานี!Q621"")"),83175)</f>
        <v>83175</v>
      </c>
      <c r="R621" s="47">
        <f ca="1">IFERROR(__xludf.DUMMYFUNCTION("IMPORTRANGE(""https://docs.google.com/spreadsheets/d/1kKUcYdkIfrgTSj8iHHHB2MD2FAtwyyocFgqGQn6ADyI/edit?usp=sharing"",""กระบี่!R621"")+IMPORTRANGE(""https://docs.google.com/spreadsheets/d/1GwtLaSlNZkLk7iDqcyZz22giiy40b_usZZBXYciEN1U/edit?usp=sharing"",""ชุ"&amp;"มพร!R621"")+IMPORTRANGE(""https://docs.google.com/spreadsheets/d/16pAz3pOhQEZBhvFNMa5KGgZS6iKWpsKX0pg6tQmwFpo/edit?usp=sharing"",""ตรัง!R621"")+IMPORTRANGE(""https://docs.google.com/spreadsheets/d/1Dj4jcHCTV9JXKCaMoheSXS52JE63kDKyG7bPXnFogHk/edit?usp=shar"&amp;"ing"",""นครศรีธรรมราช!R621"")+IMPORTRANGE(""https://docs.google.com/spreadsheets/d/1iodCdmuK2GR3jzUwk8tpccY2JHQQA-87DLOtJP-ooyU/edit?usp=sharing"",""นราธิวาส!R621"")+IMPORTRANGE(""https://docs.google.com/spreadsheets/d/1SDNX3JhDdYRuIOsj0Wh2M-Qa_eaXl0NbWmh"&amp;"AOTbfQAs/edit?usp=sharing"",""ปัตตานี!R621"")+IMPORTRANGE(""https://docs.google.com/spreadsheets/d/16JDLGguT8s5DsGCND1KcwHP_AWR_zDMTqLHPLJUKhaU/edit?usp=sharing"",""พังงา!R621"")+IMPORTRANGE(""https://docs.google.com/spreadsheets/d/17ht0gPKzzT3PObBL1XJkeR"&amp;"mntBXI7wGjpLV7QorqlTk/edit?usp=sharing"",""พัทลุง!R621"")+IMPORTRANGE(""https://docs.google.com/spreadsheets/d/1rd4qoM1q_hsgaolqNGfrim9gbsoLxQsda4-vOz5x_BM/edit?usp=sharing"",""ภูเก็ต!R621"")+IMPORTRANGE(""https://docs.google.com/spreadsheets/d/1woKwKjgoL"&amp;"ssDvPcPeVyezB5izizAn4X1JDrys69n6xI/edit?usp=sharing"",""ยะลา!R621"")+IMPORTRANGE(""https://docs.google.com/spreadsheets/d/1qfrKjzMhm2HJfxQ-qVlJlJQ25Hne1d0khsySbZyGtPA/edit?usp=sharing"",""ระนอง!R621"")+IMPORTRANGE(""https://docs.google.com/spreadsheets/d/"&amp;"1IbSCnFOKpZsnFogBHJnL_isstZVaOMnFiIN0fGTPZZw/edit?usp=sharing"",""สงขลา!R621"")+IMPORTRANGE(""https://docs.google.com/spreadsheets/d/1q9nWasZJ-K8bFGvbE9n0qSRuKGA4Toe3Y89cKCiVtCU/edit?usp=sharing"",""สตูล!R621"")+IMPORTRANGE(""https://docs.google.com/sprea"&amp;"dsheets/d/18T20gbkS_WBjdscyTOV05cvq_JqvqQ17C81mpxf7Ncs/edit?usp=sharing"",""สุราษฎร์ธานี!R621"")"),83175)</f>
        <v>83175</v>
      </c>
      <c r="S621" s="47">
        <f ca="1">IFERROR(__xludf.DUMMYFUNCTION("IMPORTRANGE(""https://docs.google.com/spreadsheets/d/1kKUcYdkIfrgTSj8iHHHB2MD2FAtwyyocFgqGQn6ADyI/edit?usp=sharing"",""กระบี่!S621"")+IMPORTRANGE(""https://docs.google.com/spreadsheets/d/1GwtLaSlNZkLk7iDqcyZz22giiy40b_usZZBXYciEN1U/edit?usp=sharing"",""ชุ"&amp;"มพร!S621"")+IMPORTRANGE(""https://docs.google.com/spreadsheets/d/16pAz3pOhQEZBhvFNMa5KGgZS6iKWpsKX0pg6tQmwFpo/edit?usp=sharing"",""ตรัง!S621"")+IMPORTRANGE(""https://docs.google.com/spreadsheets/d/1Dj4jcHCTV9JXKCaMoheSXS52JE63kDKyG7bPXnFogHk/edit?usp=shar"&amp;"ing"",""นครศรีธรรมราช!S621"")+IMPORTRANGE(""https://docs.google.com/spreadsheets/d/1iodCdmuK2GR3jzUwk8tpccY2JHQQA-87DLOtJP-ooyU/edit?usp=sharing"",""นราธิวาส!S621"")+IMPORTRANGE(""https://docs.google.com/spreadsheets/d/1SDNX3JhDdYRuIOsj0Wh2M-Qa_eaXl0NbWmh"&amp;"AOTbfQAs/edit?usp=sharing"",""ปัตตานี!S621"")+IMPORTRANGE(""https://docs.google.com/spreadsheets/d/16JDLGguT8s5DsGCND1KcwHP_AWR_zDMTqLHPLJUKhaU/edit?usp=sharing"",""พังงา!S621"")+IMPORTRANGE(""https://docs.google.com/spreadsheets/d/17ht0gPKzzT3PObBL1XJkeR"&amp;"mntBXI7wGjpLV7QorqlTk/edit?usp=sharing"",""พัทลุง!S621"")+IMPORTRANGE(""https://docs.google.com/spreadsheets/d/1rd4qoM1q_hsgaolqNGfrim9gbsoLxQsda4-vOz5x_BM/edit?usp=sharing"",""ภูเก็ต!S621"")+IMPORTRANGE(""https://docs.google.com/spreadsheets/d/1woKwKjgoL"&amp;"ssDvPcPeVyezB5izizAn4X1JDrys69n6xI/edit?usp=sharing"",""ยะลา!S621"")+IMPORTRANGE(""https://docs.google.com/spreadsheets/d/1qfrKjzMhm2HJfxQ-qVlJlJQ25Hne1d0khsySbZyGtPA/edit?usp=sharing"",""ระนอง!S621"")+IMPORTRANGE(""https://docs.google.com/spreadsheets/d/"&amp;"1IbSCnFOKpZsnFogBHJnL_isstZVaOMnFiIN0fGTPZZw/edit?usp=sharing"",""สงขลา!S621"")+IMPORTRANGE(""https://docs.google.com/spreadsheets/d/1q9nWasZJ-K8bFGvbE9n0qSRuKGA4Toe3Y89cKCiVtCU/edit?usp=sharing"",""สตูล!S621"")+IMPORTRANGE(""https://docs.google.com/sprea"&amp;"dsheets/d/18T20gbkS_WBjdscyTOV05cvq_JqvqQ17C81mpxf7Ncs/edit?usp=sharing"",""สุราษฎร์ธานี!S621"")"),17864)</f>
        <v>17864</v>
      </c>
      <c r="T621" s="47">
        <f t="shared" ca="1" si="442"/>
        <v>21.477607454162911</v>
      </c>
      <c r="U621" s="47">
        <f t="shared" ca="1" si="443"/>
        <v>21.477607454162911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7">
        <f t="shared" ref="L622:N622" ca="1" si="450">L623+L624</f>
        <v>0</v>
      </c>
      <c r="M622" s="47">
        <f t="shared" ca="1" si="450"/>
        <v>0</v>
      </c>
      <c r="N622" s="47">
        <f t="shared" ca="1" si="450"/>
        <v>0</v>
      </c>
      <c r="O622" s="47">
        <f t="shared" ca="1" si="439"/>
        <v>0</v>
      </c>
      <c r="P622" s="47">
        <f t="shared" ca="1" si="440"/>
        <v>0</v>
      </c>
      <c r="Q622" s="47">
        <f t="shared" ref="Q622:S622" ca="1" si="451">Q623+Q624</f>
        <v>0</v>
      </c>
      <c r="R622" s="47">
        <f t="shared" ca="1" si="451"/>
        <v>0</v>
      </c>
      <c r="S622" s="47">
        <f t="shared" ca="1" si="451"/>
        <v>0</v>
      </c>
      <c r="T622" s="47">
        <f t="shared" ca="1" si="442"/>
        <v>0</v>
      </c>
      <c r="U622" s="47">
        <f t="shared" ca="1" si="443"/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9">
        <f ca="1">IFERROR(__xludf.DUMMYFUNCTION("IMPORTRANGE(""https://docs.google.com/spreadsheets/d/1kKUcYdkIfrgTSj8iHHHB2MD2FAtwyyocFgqGQn6ADyI/edit?usp=sharing"",""กระบี่!L623"")+IMPORTRANGE(""https://docs.google.com/spreadsheets/d/1GwtLaSlNZkLk7iDqcyZz22giiy40b_usZZBXYciEN1U/edit?usp=sharing"",""ชุ"&amp;"มพร!L623"")+IMPORTRANGE(""https://docs.google.com/spreadsheets/d/16pAz3pOhQEZBhvFNMa5KGgZS6iKWpsKX0pg6tQmwFpo/edit?usp=sharing"",""ตรัง!L623"")+IMPORTRANGE(""https://docs.google.com/spreadsheets/d/1Dj4jcHCTV9JXKCaMoheSXS52JE63kDKyG7bPXnFogHk/edit?usp=shar"&amp;"ing"",""นครศรีธรรมราช!L623"")+IMPORTRANGE(""https://docs.google.com/spreadsheets/d/1iodCdmuK2GR3jzUwk8tpccY2JHQQA-87DLOtJP-ooyU/edit?usp=sharing"",""นราธิวาส!L623"")+IMPORTRANGE(""https://docs.google.com/spreadsheets/d/1SDNX3JhDdYRuIOsj0Wh2M-Qa_eaXl0NbWmh"&amp;"AOTbfQAs/edit?usp=sharing"",""ปัตตานี!L623"")+IMPORTRANGE(""https://docs.google.com/spreadsheets/d/16JDLGguT8s5DsGCND1KcwHP_AWR_zDMTqLHPLJUKhaU/edit?usp=sharing"",""พังงา!L623"")+IMPORTRANGE(""https://docs.google.com/spreadsheets/d/17ht0gPKzzT3PObBL1XJkeR"&amp;"mntBXI7wGjpLV7QorqlTk/edit?usp=sharing"",""พัทลุง!L623"")+IMPORTRANGE(""https://docs.google.com/spreadsheets/d/1rd4qoM1q_hsgaolqNGfrim9gbsoLxQsda4-vOz5x_BM/edit?usp=sharing"",""ภูเก็ต!L623"")+IMPORTRANGE(""https://docs.google.com/spreadsheets/d/1woKwKjgoL"&amp;"ssDvPcPeVyezB5izizAn4X1JDrys69n6xI/edit?usp=sharing"",""ยะลา!L623"")+IMPORTRANGE(""https://docs.google.com/spreadsheets/d/1qfrKjzMhm2HJfxQ-qVlJlJQ25Hne1d0khsySbZyGtPA/edit?usp=sharing"",""ระนอง!L623"")+IMPORTRANGE(""https://docs.google.com/spreadsheets/d/"&amp;"1IbSCnFOKpZsnFogBHJnL_isstZVaOMnFiIN0fGTPZZw/edit?usp=sharing"",""สงขลา!L623"")+IMPORTRANGE(""https://docs.google.com/spreadsheets/d/1q9nWasZJ-K8bFGvbE9n0qSRuKGA4Toe3Y89cKCiVtCU/edit?usp=sharing"",""สตูล!L623"")+IMPORTRANGE(""https://docs.google.com/sprea"&amp;"dsheets/d/18T20gbkS_WBjdscyTOV05cvq_JqvqQ17C81mpxf7Ncs/edit?usp=sharing"",""สุราษฎร์ธานี!L623"")"),0)</f>
        <v>0</v>
      </c>
      <c r="M623" s="49">
        <f ca="1">IFERROR(__xludf.DUMMYFUNCTION("IMPORTRANGE(""https://docs.google.com/spreadsheets/d/1kKUcYdkIfrgTSj8iHHHB2MD2FAtwyyocFgqGQn6ADyI/edit?usp=sharing"",""กระบี่!M623"")+IMPORTRANGE(""https://docs.google.com/spreadsheets/d/1GwtLaSlNZkLk7iDqcyZz22giiy40b_usZZBXYciEN1U/edit?usp=sharing"",""ชุ"&amp;"มพร!M623"")+IMPORTRANGE(""https://docs.google.com/spreadsheets/d/16pAz3pOhQEZBhvFNMa5KGgZS6iKWpsKX0pg6tQmwFpo/edit?usp=sharing"",""ตรัง!M623"")+IMPORTRANGE(""https://docs.google.com/spreadsheets/d/1Dj4jcHCTV9JXKCaMoheSXS52JE63kDKyG7bPXnFogHk/edit?usp=shar"&amp;"ing"",""นครศรีธรรมราช!M623"")+IMPORTRANGE(""https://docs.google.com/spreadsheets/d/1iodCdmuK2GR3jzUwk8tpccY2JHQQA-87DLOtJP-ooyU/edit?usp=sharing"",""นราธิวาส!M623"")+IMPORTRANGE(""https://docs.google.com/spreadsheets/d/1SDNX3JhDdYRuIOsj0Wh2M-Qa_eaXl0NbWmh"&amp;"AOTbfQAs/edit?usp=sharing"",""ปัตตานี!M623"")+IMPORTRANGE(""https://docs.google.com/spreadsheets/d/16JDLGguT8s5DsGCND1KcwHP_AWR_zDMTqLHPLJUKhaU/edit?usp=sharing"",""พังงา!M623"")+IMPORTRANGE(""https://docs.google.com/spreadsheets/d/17ht0gPKzzT3PObBL1XJkeR"&amp;"mntBXI7wGjpLV7QorqlTk/edit?usp=sharing"",""พัทลุง!M623"")+IMPORTRANGE(""https://docs.google.com/spreadsheets/d/1rd4qoM1q_hsgaolqNGfrim9gbsoLxQsda4-vOz5x_BM/edit?usp=sharing"",""ภูเก็ต!M623"")+IMPORTRANGE(""https://docs.google.com/spreadsheets/d/1woKwKjgoL"&amp;"ssDvPcPeVyezB5izizAn4X1JDrys69n6xI/edit?usp=sharing"",""ยะลา!M623"")+IMPORTRANGE(""https://docs.google.com/spreadsheets/d/1qfrKjzMhm2HJfxQ-qVlJlJQ25Hne1d0khsySbZyGtPA/edit?usp=sharing"",""ระนอง!M623"")+IMPORTRANGE(""https://docs.google.com/spreadsheets/d/"&amp;"1IbSCnFOKpZsnFogBHJnL_isstZVaOMnFiIN0fGTPZZw/edit?usp=sharing"",""สงขลา!M623"")+IMPORTRANGE(""https://docs.google.com/spreadsheets/d/1q9nWasZJ-K8bFGvbE9n0qSRuKGA4Toe3Y89cKCiVtCU/edit?usp=sharing"",""สตูล!M623"")+IMPORTRANGE(""https://docs.google.com/sprea"&amp;"dsheets/d/18T20gbkS_WBjdscyTOV05cvq_JqvqQ17C81mpxf7Ncs/edit?usp=sharing"",""สุราษฎร์ธานี!M623"")"),0)</f>
        <v>0</v>
      </c>
      <c r="N623" s="49">
        <f ca="1">IFERROR(__xludf.DUMMYFUNCTION("IMPORTRANGE(""https://docs.google.com/spreadsheets/d/1kKUcYdkIfrgTSj8iHHHB2MD2FAtwyyocFgqGQn6ADyI/edit?usp=sharing"",""กระบี่!N623"")+IMPORTRANGE(""https://docs.google.com/spreadsheets/d/1GwtLaSlNZkLk7iDqcyZz22giiy40b_usZZBXYciEN1U/edit?usp=sharing"",""ชุ"&amp;"มพร!N623"")+IMPORTRANGE(""https://docs.google.com/spreadsheets/d/16pAz3pOhQEZBhvFNMa5KGgZS6iKWpsKX0pg6tQmwFpo/edit?usp=sharing"",""ตรัง!N623"")+IMPORTRANGE(""https://docs.google.com/spreadsheets/d/1Dj4jcHCTV9JXKCaMoheSXS52JE63kDKyG7bPXnFogHk/edit?usp=shar"&amp;"ing"",""นครศรีธรรมราช!N623"")+IMPORTRANGE(""https://docs.google.com/spreadsheets/d/1iodCdmuK2GR3jzUwk8tpccY2JHQQA-87DLOtJP-ooyU/edit?usp=sharing"",""นราธิวาส!N623"")+IMPORTRANGE(""https://docs.google.com/spreadsheets/d/1SDNX3JhDdYRuIOsj0Wh2M-Qa_eaXl0NbWmh"&amp;"AOTbfQAs/edit?usp=sharing"",""ปัตตานี!N623"")+IMPORTRANGE(""https://docs.google.com/spreadsheets/d/16JDLGguT8s5DsGCND1KcwHP_AWR_zDMTqLHPLJUKhaU/edit?usp=sharing"",""พังงา!N623"")+IMPORTRANGE(""https://docs.google.com/spreadsheets/d/17ht0gPKzzT3PObBL1XJkeR"&amp;"mntBXI7wGjpLV7QorqlTk/edit?usp=sharing"",""พัทลุง!N623"")+IMPORTRANGE(""https://docs.google.com/spreadsheets/d/1rd4qoM1q_hsgaolqNGfrim9gbsoLxQsda4-vOz5x_BM/edit?usp=sharing"",""ภูเก็ต!N623"")+IMPORTRANGE(""https://docs.google.com/spreadsheets/d/1woKwKjgoL"&amp;"ssDvPcPeVyezB5izizAn4X1JDrys69n6xI/edit?usp=sharing"",""ยะลา!N623"")+IMPORTRANGE(""https://docs.google.com/spreadsheets/d/1qfrKjzMhm2HJfxQ-qVlJlJQ25Hne1d0khsySbZyGtPA/edit?usp=sharing"",""ระนอง!N623"")+IMPORTRANGE(""https://docs.google.com/spreadsheets/d/"&amp;"1IbSCnFOKpZsnFogBHJnL_isstZVaOMnFiIN0fGTPZZw/edit?usp=sharing"",""สงขลา!N623"")+IMPORTRANGE(""https://docs.google.com/spreadsheets/d/1q9nWasZJ-K8bFGvbE9n0qSRuKGA4Toe3Y89cKCiVtCU/edit?usp=sharing"",""สตูล!N623"")+IMPORTRANGE(""https://docs.google.com/sprea"&amp;"dsheets/d/18T20gbkS_WBjdscyTOV05cvq_JqvqQ17C81mpxf7Ncs/edit?usp=sharing"",""สุราษฎร์ธานี!N623"")"),0)</f>
        <v>0</v>
      </c>
      <c r="O623" s="49">
        <f t="shared" ca="1" si="439"/>
        <v>0</v>
      </c>
      <c r="P623" s="49">
        <f t="shared" ca="1" si="440"/>
        <v>0</v>
      </c>
      <c r="Q623" s="49">
        <f ca="1">IFERROR(__xludf.DUMMYFUNCTION("IMPORTRANGE(""https://docs.google.com/spreadsheets/d/1kKUcYdkIfrgTSj8iHHHB2MD2FAtwyyocFgqGQn6ADyI/edit?usp=sharing"",""กระบี่!Q623"")+IMPORTRANGE(""https://docs.google.com/spreadsheets/d/1GwtLaSlNZkLk7iDqcyZz22giiy40b_usZZBXYciEN1U/edit?usp=sharing"",""ชุ"&amp;"มพร!Q623"")+IMPORTRANGE(""https://docs.google.com/spreadsheets/d/16pAz3pOhQEZBhvFNMa5KGgZS6iKWpsKX0pg6tQmwFpo/edit?usp=sharing"",""ตรัง!Q623"")+IMPORTRANGE(""https://docs.google.com/spreadsheets/d/1Dj4jcHCTV9JXKCaMoheSXS52JE63kDKyG7bPXnFogHk/edit?usp=shar"&amp;"ing"",""นครศรีธรรมราช!Q623"")+IMPORTRANGE(""https://docs.google.com/spreadsheets/d/1iodCdmuK2GR3jzUwk8tpccY2JHQQA-87DLOtJP-ooyU/edit?usp=sharing"",""นราธิวาส!Q623"")+IMPORTRANGE(""https://docs.google.com/spreadsheets/d/1SDNX3JhDdYRuIOsj0Wh2M-Qa_eaXl0NbWmh"&amp;"AOTbfQAs/edit?usp=sharing"",""ปัตตานี!Q623"")+IMPORTRANGE(""https://docs.google.com/spreadsheets/d/16JDLGguT8s5DsGCND1KcwHP_AWR_zDMTqLHPLJUKhaU/edit?usp=sharing"",""พังงา!Q623"")+IMPORTRANGE(""https://docs.google.com/spreadsheets/d/17ht0gPKzzT3PObBL1XJkeR"&amp;"mntBXI7wGjpLV7QorqlTk/edit?usp=sharing"",""พัทลุง!Q623"")+IMPORTRANGE(""https://docs.google.com/spreadsheets/d/1rd4qoM1q_hsgaolqNGfrim9gbsoLxQsda4-vOz5x_BM/edit?usp=sharing"",""ภูเก็ต!Q623"")+IMPORTRANGE(""https://docs.google.com/spreadsheets/d/1woKwKjgoL"&amp;"ssDvPcPeVyezB5izizAn4X1JDrys69n6xI/edit?usp=sharing"",""ยะลา!Q623"")+IMPORTRANGE(""https://docs.google.com/spreadsheets/d/1qfrKjzMhm2HJfxQ-qVlJlJQ25Hne1d0khsySbZyGtPA/edit?usp=sharing"",""ระนอง!Q623"")+IMPORTRANGE(""https://docs.google.com/spreadsheets/d/"&amp;"1IbSCnFOKpZsnFogBHJnL_isstZVaOMnFiIN0fGTPZZw/edit?usp=sharing"",""สงขลา!Q623"")+IMPORTRANGE(""https://docs.google.com/spreadsheets/d/1q9nWasZJ-K8bFGvbE9n0qSRuKGA4Toe3Y89cKCiVtCU/edit?usp=sharing"",""สตูล!Q623"")+IMPORTRANGE(""https://docs.google.com/sprea"&amp;"dsheets/d/18T20gbkS_WBjdscyTOV05cvq_JqvqQ17C81mpxf7Ncs/edit?usp=sharing"",""สุราษฎร์ธานี!Q623"")"),0)</f>
        <v>0</v>
      </c>
      <c r="R623" s="49">
        <f ca="1">IFERROR(__xludf.DUMMYFUNCTION("IMPORTRANGE(""https://docs.google.com/spreadsheets/d/1kKUcYdkIfrgTSj8iHHHB2MD2FAtwyyocFgqGQn6ADyI/edit?usp=sharing"",""กระบี่!R623"")+IMPORTRANGE(""https://docs.google.com/spreadsheets/d/1GwtLaSlNZkLk7iDqcyZz22giiy40b_usZZBXYciEN1U/edit?usp=sharing"",""ชุ"&amp;"มพร!R623"")+IMPORTRANGE(""https://docs.google.com/spreadsheets/d/16pAz3pOhQEZBhvFNMa5KGgZS6iKWpsKX0pg6tQmwFpo/edit?usp=sharing"",""ตรัง!R623"")+IMPORTRANGE(""https://docs.google.com/spreadsheets/d/1Dj4jcHCTV9JXKCaMoheSXS52JE63kDKyG7bPXnFogHk/edit?usp=shar"&amp;"ing"",""นครศรีธรรมราช!R623"")+IMPORTRANGE(""https://docs.google.com/spreadsheets/d/1iodCdmuK2GR3jzUwk8tpccY2JHQQA-87DLOtJP-ooyU/edit?usp=sharing"",""นราธิวาส!R623"")+IMPORTRANGE(""https://docs.google.com/spreadsheets/d/1SDNX3JhDdYRuIOsj0Wh2M-Qa_eaXl0NbWmh"&amp;"AOTbfQAs/edit?usp=sharing"",""ปัตตานี!R623"")+IMPORTRANGE(""https://docs.google.com/spreadsheets/d/16JDLGguT8s5DsGCND1KcwHP_AWR_zDMTqLHPLJUKhaU/edit?usp=sharing"",""พังงา!R623"")+IMPORTRANGE(""https://docs.google.com/spreadsheets/d/17ht0gPKzzT3PObBL1XJkeR"&amp;"mntBXI7wGjpLV7QorqlTk/edit?usp=sharing"",""พัทลุง!R623"")+IMPORTRANGE(""https://docs.google.com/spreadsheets/d/1rd4qoM1q_hsgaolqNGfrim9gbsoLxQsda4-vOz5x_BM/edit?usp=sharing"",""ภูเก็ต!R623"")+IMPORTRANGE(""https://docs.google.com/spreadsheets/d/1woKwKjgoL"&amp;"ssDvPcPeVyezB5izizAn4X1JDrys69n6xI/edit?usp=sharing"",""ยะลา!R623"")+IMPORTRANGE(""https://docs.google.com/spreadsheets/d/1qfrKjzMhm2HJfxQ-qVlJlJQ25Hne1d0khsySbZyGtPA/edit?usp=sharing"",""ระนอง!R623"")+IMPORTRANGE(""https://docs.google.com/spreadsheets/d/"&amp;"1IbSCnFOKpZsnFogBHJnL_isstZVaOMnFiIN0fGTPZZw/edit?usp=sharing"",""สงขลา!R623"")+IMPORTRANGE(""https://docs.google.com/spreadsheets/d/1q9nWasZJ-K8bFGvbE9n0qSRuKGA4Toe3Y89cKCiVtCU/edit?usp=sharing"",""สตูล!R623"")+IMPORTRANGE(""https://docs.google.com/sprea"&amp;"dsheets/d/18T20gbkS_WBjdscyTOV05cvq_JqvqQ17C81mpxf7Ncs/edit?usp=sharing"",""สุราษฎร์ธานี!R623"")"),0)</f>
        <v>0</v>
      </c>
      <c r="S623" s="49">
        <f ca="1">IFERROR(__xludf.DUMMYFUNCTION("IMPORTRANGE(""https://docs.google.com/spreadsheets/d/1kKUcYdkIfrgTSj8iHHHB2MD2FAtwyyocFgqGQn6ADyI/edit?usp=sharing"",""กระบี่!S623"")+IMPORTRANGE(""https://docs.google.com/spreadsheets/d/1GwtLaSlNZkLk7iDqcyZz22giiy40b_usZZBXYciEN1U/edit?usp=sharing"",""ชุ"&amp;"มพร!S623"")+IMPORTRANGE(""https://docs.google.com/spreadsheets/d/16pAz3pOhQEZBhvFNMa5KGgZS6iKWpsKX0pg6tQmwFpo/edit?usp=sharing"",""ตรัง!S623"")+IMPORTRANGE(""https://docs.google.com/spreadsheets/d/1Dj4jcHCTV9JXKCaMoheSXS52JE63kDKyG7bPXnFogHk/edit?usp=shar"&amp;"ing"",""นครศรีธรรมราช!S623"")+IMPORTRANGE(""https://docs.google.com/spreadsheets/d/1iodCdmuK2GR3jzUwk8tpccY2JHQQA-87DLOtJP-ooyU/edit?usp=sharing"",""นราธิวาส!S623"")+IMPORTRANGE(""https://docs.google.com/spreadsheets/d/1SDNX3JhDdYRuIOsj0Wh2M-Qa_eaXl0NbWmh"&amp;"AOTbfQAs/edit?usp=sharing"",""ปัตตานี!S623"")+IMPORTRANGE(""https://docs.google.com/spreadsheets/d/16JDLGguT8s5DsGCND1KcwHP_AWR_zDMTqLHPLJUKhaU/edit?usp=sharing"",""พังงา!S623"")+IMPORTRANGE(""https://docs.google.com/spreadsheets/d/17ht0gPKzzT3PObBL1XJkeR"&amp;"mntBXI7wGjpLV7QorqlTk/edit?usp=sharing"",""พัทลุง!S623"")+IMPORTRANGE(""https://docs.google.com/spreadsheets/d/1rd4qoM1q_hsgaolqNGfrim9gbsoLxQsda4-vOz5x_BM/edit?usp=sharing"",""ภูเก็ต!S623"")+IMPORTRANGE(""https://docs.google.com/spreadsheets/d/1woKwKjgoL"&amp;"ssDvPcPeVyezB5izizAn4X1JDrys69n6xI/edit?usp=sharing"",""ยะลา!S623"")+IMPORTRANGE(""https://docs.google.com/spreadsheets/d/1qfrKjzMhm2HJfxQ-qVlJlJQ25Hne1d0khsySbZyGtPA/edit?usp=sharing"",""ระนอง!S623"")+IMPORTRANGE(""https://docs.google.com/spreadsheets/d/"&amp;"1IbSCnFOKpZsnFogBHJnL_isstZVaOMnFiIN0fGTPZZw/edit?usp=sharing"",""สงขลา!S623"")+IMPORTRANGE(""https://docs.google.com/spreadsheets/d/1q9nWasZJ-K8bFGvbE9n0qSRuKGA4Toe3Y89cKCiVtCU/edit?usp=sharing"",""สตูล!S623"")+IMPORTRANGE(""https://docs.google.com/sprea"&amp;"dsheets/d/18T20gbkS_WBjdscyTOV05cvq_JqvqQ17C81mpxf7Ncs/edit?usp=sharing"",""สุราษฎร์ธานี!S623"")"),0)</f>
        <v>0</v>
      </c>
      <c r="T623" s="49">
        <f t="shared" ca="1" si="442"/>
        <v>0</v>
      </c>
      <c r="U623" s="49">
        <f t="shared" ca="1" si="443"/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7">
        <f ca="1">IFERROR(__xludf.DUMMYFUNCTION("IMPORTRANGE(""https://docs.google.com/spreadsheets/d/1kKUcYdkIfrgTSj8iHHHB2MD2FAtwyyocFgqGQn6ADyI/edit?usp=sharing"",""กระบี่!L624"")+IMPORTRANGE(""https://docs.google.com/spreadsheets/d/1GwtLaSlNZkLk7iDqcyZz22giiy40b_usZZBXYciEN1U/edit?usp=sharing"",""ชุ"&amp;"มพร!L624"")+IMPORTRANGE(""https://docs.google.com/spreadsheets/d/16pAz3pOhQEZBhvFNMa5KGgZS6iKWpsKX0pg6tQmwFpo/edit?usp=sharing"",""ตรัง!L624"")+IMPORTRANGE(""https://docs.google.com/spreadsheets/d/1Dj4jcHCTV9JXKCaMoheSXS52JE63kDKyG7bPXnFogHk/edit?usp=shar"&amp;"ing"",""นครศรีธรรมราช!L624"")+IMPORTRANGE(""https://docs.google.com/spreadsheets/d/1iodCdmuK2GR3jzUwk8tpccY2JHQQA-87DLOtJP-ooyU/edit?usp=sharing"",""นราธิวาส!L624"")+IMPORTRANGE(""https://docs.google.com/spreadsheets/d/1SDNX3JhDdYRuIOsj0Wh2M-Qa_eaXl0NbWmh"&amp;"AOTbfQAs/edit?usp=sharing"",""ปัตตานี!L624"")+IMPORTRANGE(""https://docs.google.com/spreadsheets/d/16JDLGguT8s5DsGCND1KcwHP_AWR_zDMTqLHPLJUKhaU/edit?usp=sharing"",""พังงา!L624"")+IMPORTRANGE(""https://docs.google.com/spreadsheets/d/17ht0gPKzzT3PObBL1XJkeR"&amp;"mntBXI7wGjpLV7QorqlTk/edit?usp=sharing"",""พัทลุง!L624"")+IMPORTRANGE(""https://docs.google.com/spreadsheets/d/1rd4qoM1q_hsgaolqNGfrim9gbsoLxQsda4-vOz5x_BM/edit?usp=sharing"",""ภูเก็ต!L624"")+IMPORTRANGE(""https://docs.google.com/spreadsheets/d/1woKwKjgoL"&amp;"ssDvPcPeVyezB5izizAn4X1JDrys69n6xI/edit?usp=sharing"",""ยะลา!L624"")+IMPORTRANGE(""https://docs.google.com/spreadsheets/d/1qfrKjzMhm2HJfxQ-qVlJlJQ25Hne1d0khsySbZyGtPA/edit?usp=sharing"",""ระนอง!L624"")+IMPORTRANGE(""https://docs.google.com/spreadsheets/d/"&amp;"1IbSCnFOKpZsnFogBHJnL_isstZVaOMnFiIN0fGTPZZw/edit?usp=sharing"",""สงขลา!L624"")+IMPORTRANGE(""https://docs.google.com/spreadsheets/d/1q9nWasZJ-K8bFGvbE9n0qSRuKGA4Toe3Y89cKCiVtCU/edit?usp=sharing"",""สตูล!L624"")+IMPORTRANGE(""https://docs.google.com/sprea"&amp;"dsheets/d/18T20gbkS_WBjdscyTOV05cvq_JqvqQ17C81mpxf7Ncs/edit?usp=sharing"",""สุราษฎร์ธานี!L624"")"),0)</f>
        <v>0</v>
      </c>
      <c r="M624" s="47">
        <f ca="1">IFERROR(__xludf.DUMMYFUNCTION("IMPORTRANGE(""https://docs.google.com/spreadsheets/d/1kKUcYdkIfrgTSj8iHHHB2MD2FAtwyyocFgqGQn6ADyI/edit?usp=sharing"",""กระบี่!M624"")+IMPORTRANGE(""https://docs.google.com/spreadsheets/d/1GwtLaSlNZkLk7iDqcyZz22giiy40b_usZZBXYciEN1U/edit?usp=sharing"",""ชุ"&amp;"มพร!M624"")+IMPORTRANGE(""https://docs.google.com/spreadsheets/d/16pAz3pOhQEZBhvFNMa5KGgZS6iKWpsKX0pg6tQmwFpo/edit?usp=sharing"",""ตรัง!M624"")+IMPORTRANGE(""https://docs.google.com/spreadsheets/d/1Dj4jcHCTV9JXKCaMoheSXS52JE63kDKyG7bPXnFogHk/edit?usp=shar"&amp;"ing"",""นครศรีธรรมราช!M624"")+IMPORTRANGE(""https://docs.google.com/spreadsheets/d/1iodCdmuK2GR3jzUwk8tpccY2JHQQA-87DLOtJP-ooyU/edit?usp=sharing"",""นราธิวาส!M624"")+IMPORTRANGE(""https://docs.google.com/spreadsheets/d/1SDNX3JhDdYRuIOsj0Wh2M-Qa_eaXl0NbWmh"&amp;"AOTbfQAs/edit?usp=sharing"",""ปัตตานี!M624"")+IMPORTRANGE(""https://docs.google.com/spreadsheets/d/16JDLGguT8s5DsGCND1KcwHP_AWR_zDMTqLHPLJUKhaU/edit?usp=sharing"",""พังงา!M624"")+IMPORTRANGE(""https://docs.google.com/spreadsheets/d/17ht0gPKzzT3PObBL1XJkeR"&amp;"mntBXI7wGjpLV7QorqlTk/edit?usp=sharing"",""พัทลุง!M624"")+IMPORTRANGE(""https://docs.google.com/spreadsheets/d/1rd4qoM1q_hsgaolqNGfrim9gbsoLxQsda4-vOz5x_BM/edit?usp=sharing"",""ภูเก็ต!M624"")+IMPORTRANGE(""https://docs.google.com/spreadsheets/d/1woKwKjgoL"&amp;"ssDvPcPeVyezB5izizAn4X1JDrys69n6xI/edit?usp=sharing"",""ยะลา!M624"")+IMPORTRANGE(""https://docs.google.com/spreadsheets/d/1qfrKjzMhm2HJfxQ-qVlJlJQ25Hne1d0khsySbZyGtPA/edit?usp=sharing"",""ระนอง!M624"")+IMPORTRANGE(""https://docs.google.com/spreadsheets/d/"&amp;"1IbSCnFOKpZsnFogBHJnL_isstZVaOMnFiIN0fGTPZZw/edit?usp=sharing"",""สงขลา!M624"")+IMPORTRANGE(""https://docs.google.com/spreadsheets/d/1q9nWasZJ-K8bFGvbE9n0qSRuKGA4Toe3Y89cKCiVtCU/edit?usp=sharing"",""สตูล!M624"")+IMPORTRANGE(""https://docs.google.com/sprea"&amp;"dsheets/d/18T20gbkS_WBjdscyTOV05cvq_JqvqQ17C81mpxf7Ncs/edit?usp=sharing"",""สุราษฎร์ธานี!M624"")"),0)</f>
        <v>0</v>
      </c>
      <c r="N624" s="47">
        <f ca="1">IFERROR(__xludf.DUMMYFUNCTION("IMPORTRANGE(""https://docs.google.com/spreadsheets/d/1kKUcYdkIfrgTSj8iHHHB2MD2FAtwyyocFgqGQn6ADyI/edit?usp=sharing"",""กระบี่!N624"")+IMPORTRANGE(""https://docs.google.com/spreadsheets/d/1GwtLaSlNZkLk7iDqcyZz22giiy40b_usZZBXYciEN1U/edit?usp=sharing"",""ชุ"&amp;"มพร!N624"")+IMPORTRANGE(""https://docs.google.com/spreadsheets/d/16pAz3pOhQEZBhvFNMa5KGgZS6iKWpsKX0pg6tQmwFpo/edit?usp=sharing"",""ตรัง!N624"")+IMPORTRANGE(""https://docs.google.com/spreadsheets/d/1Dj4jcHCTV9JXKCaMoheSXS52JE63kDKyG7bPXnFogHk/edit?usp=shar"&amp;"ing"",""นครศรีธรรมราช!N624"")+IMPORTRANGE(""https://docs.google.com/spreadsheets/d/1iodCdmuK2GR3jzUwk8tpccY2JHQQA-87DLOtJP-ooyU/edit?usp=sharing"",""นราธิวาส!N624"")+IMPORTRANGE(""https://docs.google.com/spreadsheets/d/1SDNX3JhDdYRuIOsj0Wh2M-Qa_eaXl0NbWmh"&amp;"AOTbfQAs/edit?usp=sharing"",""ปัตตานี!N624"")+IMPORTRANGE(""https://docs.google.com/spreadsheets/d/16JDLGguT8s5DsGCND1KcwHP_AWR_zDMTqLHPLJUKhaU/edit?usp=sharing"",""พังงา!N624"")+IMPORTRANGE(""https://docs.google.com/spreadsheets/d/17ht0gPKzzT3PObBL1XJkeR"&amp;"mntBXI7wGjpLV7QorqlTk/edit?usp=sharing"",""พัทลุง!N624"")+IMPORTRANGE(""https://docs.google.com/spreadsheets/d/1rd4qoM1q_hsgaolqNGfrim9gbsoLxQsda4-vOz5x_BM/edit?usp=sharing"",""ภูเก็ต!N624"")+IMPORTRANGE(""https://docs.google.com/spreadsheets/d/1woKwKjgoL"&amp;"ssDvPcPeVyezB5izizAn4X1JDrys69n6xI/edit?usp=sharing"",""ยะลา!N624"")+IMPORTRANGE(""https://docs.google.com/spreadsheets/d/1qfrKjzMhm2HJfxQ-qVlJlJQ25Hne1d0khsySbZyGtPA/edit?usp=sharing"",""ระนอง!N624"")+IMPORTRANGE(""https://docs.google.com/spreadsheets/d/"&amp;"1IbSCnFOKpZsnFogBHJnL_isstZVaOMnFiIN0fGTPZZw/edit?usp=sharing"",""สงขลา!N624"")+IMPORTRANGE(""https://docs.google.com/spreadsheets/d/1q9nWasZJ-K8bFGvbE9n0qSRuKGA4Toe3Y89cKCiVtCU/edit?usp=sharing"",""สตูล!N624"")+IMPORTRANGE(""https://docs.google.com/sprea"&amp;"dsheets/d/18T20gbkS_WBjdscyTOV05cvq_JqvqQ17C81mpxf7Ncs/edit?usp=sharing"",""สุราษฎร์ธานี!N624"")"),0)</f>
        <v>0</v>
      </c>
      <c r="O624" s="47">
        <f t="shared" ca="1" si="439"/>
        <v>0</v>
      </c>
      <c r="P624" s="47">
        <f t="shared" ca="1" si="440"/>
        <v>0</v>
      </c>
      <c r="Q624" s="47">
        <f ca="1">IFERROR(__xludf.DUMMYFUNCTION("IMPORTRANGE(""https://docs.google.com/spreadsheets/d/1kKUcYdkIfrgTSj8iHHHB2MD2FAtwyyocFgqGQn6ADyI/edit?usp=sharing"",""กระบี่!Q624"")+IMPORTRANGE(""https://docs.google.com/spreadsheets/d/1GwtLaSlNZkLk7iDqcyZz22giiy40b_usZZBXYciEN1U/edit?usp=sharing"",""ชุ"&amp;"มพร!Q624"")+IMPORTRANGE(""https://docs.google.com/spreadsheets/d/16pAz3pOhQEZBhvFNMa5KGgZS6iKWpsKX0pg6tQmwFpo/edit?usp=sharing"",""ตรัง!Q624"")+IMPORTRANGE(""https://docs.google.com/spreadsheets/d/1Dj4jcHCTV9JXKCaMoheSXS52JE63kDKyG7bPXnFogHk/edit?usp=shar"&amp;"ing"",""นครศรีธรรมราช!Q624"")+IMPORTRANGE(""https://docs.google.com/spreadsheets/d/1iodCdmuK2GR3jzUwk8tpccY2JHQQA-87DLOtJP-ooyU/edit?usp=sharing"",""นราธิวาส!Q624"")+IMPORTRANGE(""https://docs.google.com/spreadsheets/d/1SDNX3JhDdYRuIOsj0Wh2M-Qa_eaXl0NbWmh"&amp;"AOTbfQAs/edit?usp=sharing"",""ปัตตานี!Q624"")+IMPORTRANGE(""https://docs.google.com/spreadsheets/d/16JDLGguT8s5DsGCND1KcwHP_AWR_zDMTqLHPLJUKhaU/edit?usp=sharing"",""พังงา!Q624"")+IMPORTRANGE(""https://docs.google.com/spreadsheets/d/17ht0gPKzzT3PObBL1XJkeR"&amp;"mntBXI7wGjpLV7QorqlTk/edit?usp=sharing"",""พัทลุง!Q624"")+IMPORTRANGE(""https://docs.google.com/spreadsheets/d/1rd4qoM1q_hsgaolqNGfrim9gbsoLxQsda4-vOz5x_BM/edit?usp=sharing"",""ภูเก็ต!Q624"")+IMPORTRANGE(""https://docs.google.com/spreadsheets/d/1woKwKjgoL"&amp;"ssDvPcPeVyezB5izizAn4X1JDrys69n6xI/edit?usp=sharing"",""ยะลา!Q624"")+IMPORTRANGE(""https://docs.google.com/spreadsheets/d/1qfrKjzMhm2HJfxQ-qVlJlJQ25Hne1d0khsySbZyGtPA/edit?usp=sharing"",""ระนอง!Q624"")+IMPORTRANGE(""https://docs.google.com/spreadsheets/d/"&amp;"1IbSCnFOKpZsnFogBHJnL_isstZVaOMnFiIN0fGTPZZw/edit?usp=sharing"",""สงขลา!Q624"")+IMPORTRANGE(""https://docs.google.com/spreadsheets/d/1q9nWasZJ-K8bFGvbE9n0qSRuKGA4Toe3Y89cKCiVtCU/edit?usp=sharing"",""สตูล!Q624"")+IMPORTRANGE(""https://docs.google.com/sprea"&amp;"dsheets/d/18T20gbkS_WBjdscyTOV05cvq_JqvqQ17C81mpxf7Ncs/edit?usp=sharing"",""สุราษฎร์ธานี!Q624"")"),0)</f>
        <v>0</v>
      </c>
      <c r="R624" s="47">
        <f ca="1">IFERROR(__xludf.DUMMYFUNCTION("IMPORTRANGE(""https://docs.google.com/spreadsheets/d/1kKUcYdkIfrgTSj8iHHHB2MD2FAtwyyocFgqGQn6ADyI/edit?usp=sharing"",""กระบี่!R624"")+IMPORTRANGE(""https://docs.google.com/spreadsheets/d/1GwtLaSlNZkLk7iDqcyZz22giiy40b_usZZBXYciEN1U/edit?usp=sharing"",""ชุ"&amp;"มพร!R624"")+IMPORTRANGE(""https://docs.google.com/spreadsheets/d/16pAz3pOhQEZBhvFNMa5KGgZS6iKWpsKX0pg6tQmwFpo/edit?usp=sharing"",""ตรัง!R624"")+IMPORTRANGE(""https://docs.google.com/spreadsheets/d/1Dj4jcHCTV9JXKCaMoheSXS52JE63kDKyG7bPXnFogHk/edit?usp=shar"&amp;"ing"",""นครศรีธรรมราช!R624"")+IMPORTRANGE(""https://docs.google.com/spreadsheets/d/1iodCdmuK2GR3jzUwk8tpccY2JHQQA-87DLOtJP-ooyU/edit?usp=sharing"",""นราธิวาส!R624"")+IMPORTRANGE(""https://docs.google.com/spreadsheets/d/1SDNX3JhDdYRuIOsj0Wh2M-Qa_eaXl0NbWmh"&amp;"AOTbfQAs/edit?usp=sharing"",""ปัตตานี!R624"")+IMPORTRANGE(""https://docs.google.com/spreadsheets/d/16JDLGguT8s5DsGCND1KcwHP_AWR_zDMTqLHPLJUKhaU/edit?usp=sharing"",""พังงา!R624"")+IMPORTRANGE(""https://docs.google.com/spreadsheets/d/17ht0gPKzzT3PObBL1XJkeR"&amp;"mntBXI7wGjpLV7QorqlTk/edit?usp=sharing"",""พัทลุง!R624"")+IMPORTRANGE(""https://docs.google.com/spreadsheets/d/1rd4qoM1q_hsgaolqNGfrim9gbsoLxQsda4-vOz5x_BM/edit?usp=sharing"",""ภูเก็ต!R624"")+IMPORTRANGE(""https://docs.google.com/spreadsheets/d/1woKwKjgoL"&amp;"ssDvPcPeVyezB5izizAn4X1JDrys69n6xI/edit?usp=sharing"",""ยะลา!R624"")+IMPORTRANGE(""https://docs.google.com/spreadsheets/d/1qfrKjzMhm2HJfxQ-qVlJlJQ25Hne1d0khsySbZyGtPA/edit?usp=sharing"",""ระนอง!R624"")+IMPORTRANGE(""https://docs.google.com/spreadsheets/d/"&amp;"1IbSCnFOKpZsnFogBHJnL_isstZVaOMnFiIN0fGTPZZw/edit?usp=sharing"",""สงขลา!R624"")+IMPORTRANGE(""https://docs.google.com/spreadsheets/d/1q9nWasZJ-K8bFGvbE9n0qSRuKGA4Toe3Y89cKCiVtCU/edit?usp=sharing"",""สตูล!R624"")+IMPORTRANGE(""https://docs.google.com/sprea"&amp;"dsheets/d/18T20gbkS_WBjdscyTOV05cvq_JqvqQ17C81mpxf7Ncs/edit?usp=sharing"",""สุราษฎร์ธานี!R624"")"),0)</f>
        <v>0</v>
      </c>
      <c r="S624" s="47">
        <f ca="1">IFERROR(__xludf.DUMMYFUNCTION("IMPORTRANGE(""https://docs.google.com/spreadsheets/d/1kKUcYdkIfrgTSj8iHHHB2MD2FAtwyyocFgqGQn6ADyI/edit?usp=sharing"",""กระบี่!S624"")+IMPORTRANGE(""https://docs.google.com/spreadsheets/d/1GwtLaSlNZkLk7iDqcyZz22giiy40b_usZZBXYciEN1U/edit?usp=sharing"",""ชุ"&amp;"มพร!S624"")+IMPORTRANGE(""https://docs.google.com/spreadsheets/d/16pAz3pOhQEZBhvFNMa5KGgZS6iKWpsKX0pg6tQmwFpo/edit?usp=sharing"",""ตรัง!S624"")+IMPORTRANGE(""https://docs.google.com/spreadsheets/d/1Dj4jcHCTV9JXKCaMoheSXS52JE63kDKyG7bPXnFogHk/edit?usp=shar"&amp;"ing"",""นครศรีธรรมราช!S624"")+IMPORTRANGE(""https://docs.google.com/spreadsheets/d/1iodCdmuK2GR3jzUwk8tpccY2JHQQA-87DLOtJP-ooyU/edit?usp=sharing"",""นราธิวาส!S624"")+IMPORTRANGE(""https://docs.google.com/spreadsheets/d/1SDNX3JhDdYRuIOsj0Wh2M-Qa_eaXl0NbWmh"&amp;"AOTbfQAs/edit?usp=sharing"",""ปัตตานี!S624"")+IMPORTRANGE(""https://docs.google.com/spreadsheets/d/16JDLGguT8s5DsGCND1KcwHP_AWR_zDMTqLHPLJUKhaU/edit?usp=sharing"",""พังงา!S624"")+IMPORTRANGE(""https://docs.google.com/spreadsheets/d/17ht0gPKzzT3PObBL1XJkeR"&amp;"mntBXI7wGjpLV7QorqlTk/edit?usp=sharing"",""พัทลุง!S624"")+IMPORTRANGE(""https://docs.google.com/spreadsheets/d/1rd4qoM1q_hsgaolqNGfrim9gbsoLxQsda4-vOz5x_BM/edit?usp=sharing"",""ภูเก็ต!S624"")+IMPORTRANGE(""https://docs.google.com/spreadsheets/d/1woKwKjgoL"&amp;"ssDvPcPeVyezB5izizAn4X1JDrys69n6xI/edit?usp=sharing"",""ยะลา!S624"")+IMPORTRANGE(""https://docs.google.com/spreadsheets/d/1qfrKjzMhm2HJfxQ-qVlJlJQ25Hne1d0khsySbZyGtPA/edit?usp=sharing"",""ระนอง!S624"")+IMPORTRANGE(""https://docs.google.com/spreadsheets/d/"&amp;"1IbSCnFOKpZsnFogBHJnL_isstZVaOMnFiIN0fGTPZZw/edit?usp=sharing"",""สงขลา!S624"")+IMPORTRANGE(""https://docs.google.com/spreadsheets/d/1q9nWasZJ-K8bFGvbE9n0qSRuKGA4Toe3Y89cKCiVtCU/edit?usp=sharing"",""สตูล!S624"")+IMPORTRANGE(""https://docs.google.com/sprea"&amp;"dsheets/d/18T20gbkS_WBjdscyTOV05cvq_JqvqQ17C81mpxf7Ncs/edit?usp=sharing"",""สุราษฎร์ธานี!S624"")"),0)</f>
        <v>0</v>
      </c>
      <c r="T624" s="47">
        <f t="shared" ca="1" si="442"/>
        <v>0</v>
      </c>
      <c r="U624" s="47">
        <f t="shared" ca="1" si="443"/>
        <v>0</v>
      </c>
    </row>
    <row r="625" spans="1:21" ht="19.5" x14ac:dyDescent="0.3">
      <c r="A625" s="138"/>
      <c r="B625" s="139"/>
      <c r="C625" s="188" t="s">
        <v>18</v>
      </c>
      <c r="D625" s="471" t="s">
        <v>38</v>
      </c>
      <c r="E625" s="141"/>
      <c r="F625" s="141"/>
      <c r="G625" s="142"/>
      <c r="H625" s="189"/>
      <c r="I625" s="135"/>
      <c r="J625" s="135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kKUcYdkIfrgTSj8iHHHB2MD2FAtwyyocFgqGQn6ADyI/edit?usp=sharing"",""กระบี่!I626"")+IMPORTRANGE(""https://docs.google.com/spreadsheets/d/1GwtLaSlNZkLk7iDqcyZz22giiy40b_usZZBXYciEN1U/edit?usp=sharing"",""ชุ"&amp;"มพร!I626"")+IMPORTRANGE(""https://docs.google.com/spreadsheets/d/16pAz3pOhQEZBhvFNMa5KGgZS6iKWpsKX0pg6tQmwFpo/edit?usp=sharing"",""ตรัง!I626"")+IMPORTRANGE(""https://docs.google.com/spreadsheets/d/1Dj4jcHCTV9JXKCaMoheSXS52JE63kDKyG7bPXnFogHk/edit?usp=shar"&amp;"ing"",""นครศรีธรรมราช!I626"")+IMPORTRANGE(""https://docs.google.com/spreadsheets/d/1iodCdmuK2GR3jzUwk8tpccY2JHQQA-87DLOtJP-ooyU/edit?usp=sharing"",""นราธิวาส!I626"")+IMPORTRANGE(""https://docs.google.com/spreadsheets/d/1SDNX3JhDdYRuIOsj0Wh2M-Qa_eaXl0NbWmh"&amp;"AOTbfQAs/edit?usp=sharing"",""ปัตตานี!I626"")+IMPORTRANGE(""https://docs.google.com/spreadsheets/d/16JDLGguT8s5DsGCND1KcwHP_AWR_zDMTqLHPLJUKhaU/edit?usp=sharing"",""พังงา!I626"")+IMPORTRANGE(""https://docs.google.com/spreadsheets/d/17ht0gPKzzT3PObBL1XJkeR"&amp;"mntBXI7wGjpLV7QorqlTk/edit?usp=sharing"",""พัทลุง!I626"")+IMPORTRANGE(""https://docs.google.com/spreadsheets/d/1rd4qoM1q_hsgaolqNGfrim9gbsoLxQsda4-vOz5x_BM/edit?usp=sharing"",""ภูเก็ต!I626"")+IMPORTRANGE(""https://docs.google.com/spreadsheets/d/1woKwKjgoL"&amp;"ssDvPcPeVyezB5izizAn4X1JDrys69n6xI/edit?usp=sharing"",""ยะลา!I626"")+IMPORTRANGE(""https://docs.google.com/spreadsheets/d/1qfrKjzMhm2HJfxQ-qVlJlJQ25Hne1d0khsySbZyGtPA/edit?usp=sharing"",""ระนอง!I626"")+IMPORTRANGE(""https://docs.google.com/spreadsheets/d/"&amp;"1IbSCnFOKpZsnFogBHJnL_isstZVaOMnFiIN0fGTPZZw/edit?usp=sharing"",""สงขลา!I626"")+IMPORTRANGE(""https://docs.google.com/spreadsheets/d/1q9nWasZJ-K8bFGvbE9n0qSRuKGA4Toe3Y89cKCiVtCU/edit?usp=sharing"",""สตูล!I626"")+IMPORTRANGE(""https://docs.google.com/sprea"&amp;"dsheets/d/18T20gbkS_WBjdscyTOV05cvq_JqvqQ17C81mpxf7Ncs/edit?usp=sharing"",""สุราษฎร์ธานี!I626"")"),550)</f>
        <v>550</v>
      </c>
      <c r="J626" s="147">
        <f ca="1">J632</f>
        <v>0</v>
      </c>
      <c r="K626" s="132">
        <f ca="1">IF(I626&gt;0,J626*100/I626,0)</f>
        <v>0</v>
      </c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kKUcYdkIfrgTSj8iHHHB2MD2FAtwyyocFgqGQn6ADyI/edit?usp=sharing"",""กระบี่!I627"")+IMPORTRANGE(""https://docs.google.com/spreadsheets/d/1GwtLaSlNZkLk7iDqcyZz22giiy40b_usZZBXYciEN1U/edit?usp=sharing"",""ชุ"&amp;"มพร!I627"")+IMPORTRANGE(""https://docs.google.com/spreadsheets/d/16pAz3pOhQEZBhvFNMa5KGgZS6iKWpsKX0pg6tQmwFpo/edit?usp=sharing"",""ตรัง!I627"")+IMPORTRANGE(""https://docs.google.com/spreadsheets/d/1Dj4jcHCTV9JXKCaMoheSXS52JE63kDKyG7bPXnFogHk/edit?usp=shar"&amp;"ing"",""นครศรีธรรมราช!I627"")+IMPORTRANGE(""https://docs.google.com/spreadsheets/d/1iodCdmuK2GR3jzUwk8tpccY2JHQQA-87DLOtJP-ooyU/edit?usp=sharing"",""นราธิวาส!I627"")+IMPORTRANGE(""https://docs.google.com/spreadsheets/d/1SDNX3JhDdYRuIOsj0Wh2M-Qa_eaXl0NbWmh"&amp;"AOTbfQAs/edit?usp=sharing"",""ปัตตานี!I627"")+IMPORTRANGE(""https://docs.google.com/spreadsheets/d/16JDLGguT8s5DsGCND1KcwHP_AWR_zDMTqLHPLJUKhaU/edit?usp=sharing"",""พังงา!I627"")+IMPORTRANGE(""https://docs.google.com/spreadsheets/d/17ht0gPKzzT3PObBL1XJkeR"&amp;"mntBXI7wGjpLV7QorqlTk/edit?usp=sharing"",""พัทลุง!I627"")+IMPORTRANGE(""https://docs.google.com/spreadsheets/d/1rd4qoM1q_hsgaolqNGfrim9gbsoLxQsda4-vOz5x_BM/edit?usp=sharing"",""ภูเก็ต!I627"")+IMPORTRANGE(""https://docs.google.com/spreadsheets/d/1woKwKjgoL"&amp;"ssDvPcPeVyezB5izizAn4X1JDrys69n6xI/edit?usp=sharing"",""ยะลา!I627"")+IMPORTRANGE(""https://docs.google.com/spreadsheets/d/1qfrKjzMhm2HJfxQ-qVlJlJQ25Hne1d0khsySbZyGtPA/edit?usp=sharing"",""ระนอง!I627"")+IMPORTRANGE(""https://docs.google.com/spreadsheets/d/"&amp;"1IbSCnFOKpZsnFogBHJnL_isstZVaOMnFiIN0fGTPZZw/edit?usp=sharing"",""สงขลา!I627"")+IMPORTRANGE(""https://docs.google.com/spreadsheets/d/1q9nWasZJ-K8bFGvbE9n0qSRuKGA4Toe3Y89cKCiVtCU/edit?usp=sharing"",""สตูล!I627"")+IMPORTRANGE(""https://docs.google.com/sprea"&amp;"dsheets/d/18T20gbkS_WBjdscyTOV05cvq_JqvqQ17C81mpxf7Ncs/edit?usp=sharing"",""สุราษฎร์ธานี!I627"")"),9)</f>
        <v>9</v>
      </c>
      <c r="J627" s="167">
        <f ca="1">IFERROR(__xludf.DUMMYFUNCTION("IMPORTRANGE(""https://docs.google.com/spreadsheets/d/1kKUcYdkIfrgTSj8iHHHB2MD2FAtwyyocFgqGQn6ADyI/edit?usp=sharing"",""กระบี่!J627"")+IMPORTRANGE(""https://docs.google.com/spreadsheets/d/1GwtLaSlNZkLk7iDqcyZz22giiy40b_usZZBXYciEN1U/edit?usp=sharing"",""ชุ"&amp;"มพร!J627"")+IMPORTRANGE(""https://docs.google.com/spreadsheets/d/16pAz3pOhQEZBhvFNMa5KGgZS6iKWpsKX0pg6tQmwFpo/edit?usp=sharing"",""ตรัง!J627"")+IMPORTRANGE(""https://docs.google.com/spreadsheets/d/1Dj4jcHCTV9JXKCaMoheSXS52JE63kDKyG7bPXnFogHk/edit?usp=shar"&amp;"ing"",""นครศรีธรรมราช!J627"")+IMPORTRANGE(""https://docs.google.com/spreadsheets/d/1iodCdmuK2GR3jzUwk8tpccY2JHQQA-87DLOtJP-ooyU/edit?usp=sharing"",""นราธิวาส!J627"")+IMPORTRANGE(""https://docs.google.com/spreadsheets/d/1SDNX3JhDdYRuIOsj0Wh2M-Qa_eaXl0NbWmh"&amp;"AOTbfQAs/edit?usp=sharing"",""ปัตตานี!J627"")+IMPORTRANGE(""https://docs.google.com/spreadsheets/d/16JDLGguT8s5DsGCND1KcwHP_AWR_zDMTqLHPLJUKhaU/edit?usp=sharing"",""พังงา!J627"")+IMPORTRANGE(""https://docs.google.com/spreadsheets/d/17ht0gPKzzT3PObBL1XJkeR"&amp;"mntBXI7wGjpLV7QorqlTk/edit?usp=sharing"",""พัทลุง!J627"")+IMPORTRANGE(""https://docs.google.com/spreadsheets/d/1rd4qoM1q_hsgaolqNGfrim9gbsoLxQsda4-vOz5x_BM/edit?usp=sharing"",""ภูเก็ต!J627"")+IMPORTRANGE(""https://docs.google.com/spreadsheets/d/1woKwKjgoL"&amp;"ssDvPcPeVyezB5izizAn4X1JDrys69n6xI/edit?usp=sharing"",""ยะลา!J627"")+IMPORTRANGE(""https://docs.google.com/spreadsheets/d/1qfrKjzMhm2HJfxQ-qVlJlJQ25Hne1d0khsySbZyGtPA/edit?usp=sharing"",""ระนอง!J627"")+IMPORTRANGE(""https://docs.google.com/spreadsheets/d/"&amp;"1IbSCnFOKpZsnFogBHJnL_isstZVaOMnFiIN0fGTPZZw/edit?usp=sharing"",""สงขลา!J627"")+IMPORTRANGE(""https://docs.google.com/spreadsheets/d/1q9nWasZJ-K8bFGvbE9n0qSRuKGA4Toe3Y89cKCiVtCU/edit?usp=sharing"",""สตูล!J627"")+IMPORTRANGE(""https://docs.google.com/sprea"&amp;"dsheets/d/18T20gbkS_WBjdscyTOV05cvq_JqvqQ17C81mpxf7Ncs/edit?usp=sharing"",""สุราษฎร์ธานี!J627"")"),12)</f>
        <v>12</v>
      </c>
      <c r="K627" s="47">
        <f t="shared" ref="K627:K628" ca="1" si="452">IF(I627&gt;0,(J627*100)/I627,0)</f>
        <v>133.33333333333334</v>
      </c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kKUcYdkIfrgTSj8iHHHB2MD2FAtwyyocFgqGQn6ADyI/edit?usp=sharing"",""กระบี่!I628"")+IMPORTRANGE(""https://docs.google.com/spreadsheets/d/1GwtLaSlNZkLk7iDqcyZz22giiy40b_usZZBXYciEN1U/edit?usp=sharing"",""ชุ"&amp;"มพร!I628"")+IMPORTRANGE(""https://docs.google.com/spreadsheets/d/16pAz3pOhQEZBhvFNMa5KGgZS6iKWpsKX0pg6tQmwFpo/edit?usp=sharing"",""ตรัง!I628"")+IMPORTRANGE(""https://docs.google.com/spreadsheets/d/1Dj4jcHCTV9JXKCaMoheSXS52JE63kDKyG7bPXnFogHk/edit?usp=shar"&amp;"ing"",""นครศรีธรรมราช!I628"")+IMPORTRANGE(""https://docs.google.com/spreadsheets/d/1iodCdmuK2GR3jzUwk8tpccY2JHQQA-87DLOtJP-ooyU/edit?usp=sharing"",""นราธิวาส!I628"")+IMPORTRANGE(""https://docs.google.com/spreadsheets/d/1SDNX3JhDdYRuIOsj0Wh2M-Qa_eaXl0NbWmh"&amp;"AOTbfQAs/edit?usp=sharing"",""ปัตตานี!I628"")+IMPORTRANGE(""https://docs.google.com/spreadsheets/d/16JDLGguT8s5DsGCND1KcwHP_AWR_zDMTqLHPLJUKhaU/edit?usp=sharing"",""พังงา!I628"")+IMPORTRANGE(""https://docs.google.com/spreadsheets/d/17ht0gPKzzT3PObBL1XJkeR"&amp;"mntBXI7wGjpLV7QorqlTk/edit?usp=sharing"",""พัทลุง!I628"")+IMPORTRANGE(""https://docs.google.com/spreadsheets/d/1rd4qoM1q_hsgaolqNGfrim9gbsoLxQsda4-vOz5x_BM/edit?usp=sharing"",""ภูเก็ต!I628"")+IMPORTRANGE(""https://docs.google.com/spreadsheets/d/1woKwKjgoL"&amp;"ssDvPcPeVyezB5izizAn4X1JDrys69n6xI/edit?usp=sharing"",""ยะลา!I628"")+IMPORTRANGE(""https://docs.google.com/spreadsheets/d/1qfrKjzMhm2HJfxQ-qVlJlJQ25Hne1d0khsySbZyGtPA/edit?usp=sharing"",""ระนอง!I628"")+IMPORTRANGE(""https://docs.google.com/spreadsheets/d/"&amp;"1IbSCnFOKpZsnFogBHJnL_isstZVaOMnFiIN0fGTPZZw/edit?usp=sharing"",""สงขลา!I628"")+IMPORTRANGE(""https://docs.google.com/spreadsheets/d/1q9nWasZJ-K8bFGvbE9n0qSRuKGA4Toe3Y89cKCiVtCU/edit?usp=sharing"",""สตูล!I628"")+IMPORTRANGE(""https://docs.google.com/sprea"&amp;"dsheets/d/18T20gbkS_WBjdscyTOV05cvq_JqvqQ17C81mpxf7Ncs/edit?usp=sharing"",""สุราษฎร์ธานี!I628"")"),9)</f>
        <v>9</v>
      </c>
      <c r="J628" s="167">
        <f ca="1">IFERROR(__xludf.DUMMYFUNCTION("IMPORTRANGE(""https://docs.google.com/spreadsheets/d/1kKUcYdkIfrgTSj8iHHHB2MD2FAtwyyocFgqGQn6ADyI/edit?usp=sharing"",""กระบี่!J628"")+IMPORTRANGE(""https://docs.google.com/spreadsheets/d/1GwtLaSlNZkLk7iDqcyZz22giiy40b_usZZBXYciEN1U/edit?usp=sharing"",""ชุ"&amp;"มพร!J628"")+IMPORTRANGE(""https://docs.google.com/spreadsheets/d/16pAz3pOhQEZBhvFNMa5KGgZS6iKWpsKX0pg6tQmwFpo/edit?usp=sharing"",""ตรัง!J628"")+IMPORTRANGE(""https://docs.google.com/spreadsheets/d/1Dj4jcHCTV9JXKCaMoheSXS52JE63kDKyG7bPXnFogHk/edit?usp=shar"&amp;"ing"",""นครศรีธรรมราช!J628"")+IMPORTRANGE(""https://docs.google.com/spreadsheets/d/1iodCdmuK2GR3jzUwk8tpccY2JHQQA-87DLOtJP-ooyU/edit?usp=sharing"",""นราธิวาส!J628"")+IMPORTRANGE(""https://docs.google.com/spreadsheets/d/1SDNX3JhDdYRuIOsj0Wh2M-Qa_eaXl0NbWmh"&amp;"AOTbfQAs/edit?usp=sharing"",""ปัตตานี!J628"")+IMPORTRANGE(""https://docs.google.com/spreadsheets/d/16JDLGguT8s5DsGCND1KcwHP_AWR_zDMTqLHPLJUKhaU/edit?usp=sharing"",""พังงา!J628"")+IMPORTRANGE(""https://docs.google.com/spreadsheets/d/17ht0gPKzzT3PObBL1XJkeR"&amp;"mntBXI7wGjpLV7QorqlTk/edit?usp=sharing"",""พัทลุง!J628"")+IMPORTRANGE(""https://docs.google.com/spreadsheets/d/1rd4qoM1q_hsgaolqNGfrim9gbsoLxQsda4-vOz5x_BM/edit?usp=sharing"",""ภูเก็ต!J628"")+IMPORTRANGE(""https://docs.google.com/spreadsheets/d/1woKwKjgoL"&amp;"ssDvPcPeVyezB5izizAn4X1JDrys69n6xI/edit?usp=sharing"",""ยะลา!J628"")+IMPORTRANGE(""https://docs.google.com/spreadsheets/d/1qfrKjzMhm2HJfxQ-qVlJlJQ25Hne1d0khsySbZyGtPA/edit?usp=sharing"",""ระนอง!J628"")+IMPORTRANGE(""https://docs.google.com/spreadsheets/d/"&amp;"1IbSCnFOKpZsnFogBHJnL_isstZVaOMnFiIN0fGTPZZw/edit?usp=sharing"",""สงขลา!J628"")+IMPORTRANGE(""https://docs.google.com/spreadsheets/d/1q9nWasZJ-K8bFGvbE9n0qSRuKGA4Toe3Y89cKCiVtCU/edit?usp=sharing"",""สตูล!J628"")+IMPORTRANGE(""https://docs.google.com/sprea"&amp;"dsheets/d/18T20gbkS_WBjdscyTOV05cvq_JqvqQ17C81mpxf7Ncs/edit?usp=sharing"",""สุราษฎร์ธานี!J628"")"),12)</f>
        <v>12</v>
      </c>
      <c r="K628" s="47">
        <f t="shared" ca="1" si="452"/>
        <v>133.33333333333334</v>
      </c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f ca="1">IFERROR(__xludf.DUMMYFUNCTION("IMPORTRANGE(""https://docs.google.com/spreadsheets/d/1kKUcYdkIfrgTSj8iHHHB2MD2FAtwyyocFgqGQn6ADyI/edit?usp=sharing"",""กระบี่!J629"")+IMPORTRANGE(""https://docs.google.com/spreadsheets/d/1GwtLaSlNZkLk7iDqcyZz22giiy40b_usZZBXYciEN1U/edit?usp=sharing"",""ชุ"&amp;"มพร!J629"")+IMPORTRANGE(""https://docs.google.com/spreadsheets/d/16pAz3pOhQEZBhvFNMa5KGgZS6iKWpsKX0pg6tQmwFpo/edit?usp=sharing"",""ตรัง!J629"")+IMPORTRANGE(""https://docs.google.com/spreadsheets/d/1Dj4jcHCTV9JXKCaMoheSXS52JE63kDKyG7bPXnFogHk/edit?usp=shar"&amp;"ing"",""นครศรีธรรมราช!J629"")+IMPORTRANGE(""https://docs.google.com/spreadsheets/d/1iodCdmuK2GR3jzUwk8tpccY2JHQQA-87DLOtJP-ooyU/edit?usp=sharing"",""นราธิวาส!J629"")+IMPORTRANGE(""https://docs.google.com/spreadsheets/d/1SDNX3JhDdYRuIOsj0Wh2M-Qa_eaXl0NbWmh"&amp;"AOTbfQAs/edit?usp=sharing"",""ปัตตานี!J629"")+IMPORTRANGE(""https://docs.google.com/spreadsheets/d/16JDLGguT8s5DsGCND1KcwHP_AWR_zDMTqLHPLJUKhaU/edit?usp=sharing"",""พังงา!J629"")+IMPORTRANGE(""https://docs.google.com/spreadsheets/d/17ht0gPKzzT3PObBL1XJkeR"&amp;"mntBXI7wGjpLV7QorqlTk/edit?usp=sharing"",""พัทลุง!J629"")+IMPORTRANGE(""https://docs.google.com/spreadsheets/d/1rd4qoM1q_hsgaolqNGfrim9gbsoLxQsda4-vOz5x_BM/edit?usp=sharing"",""ภูเก็ต!J629"")+IMPORTRANGE(""https://docs.google.com/spreadsheets/d/1woKwKjgoL"&amp;"ssDvPcPeVyezB5izizAn4X1JDrys69n6xI/edit?usp=sharing"",""ยะลา!J629"")+IMPORTRANGE(""https://docs.google.com/spreadsheets/d/1qfrKjzMhm2HJfxQ-qVlJlJQ25Hne1d0khsySbZyGtPA/edit?usp=sharing"",""ระนอง!J629"")+IMPORTRANGE(""https://docs.google.com/spreadsheets/d/"&amp;"1IbSCnFOKpZsnFogBHJnL_isstZVaOMnFiIN0fGTPZZw/edit?usp=sharing"",""สงขลา!J629"")+IMPORTRANGE(""https://docs.google.com/spreadsheets/d/1q9nWasZJ-K8bFGvbE9n0qSRuKGA4Toe3Y89cKCiVtCU/edit?usp=sharing"",""สตูล!J629"")+IMPORTRANGE(""https://docs.google.com/sprea"&amp;"dsheets/d/18T20gbkS_WBjdscyTOV05cvq_JqvqQ17C81mpxf7Ncs/edit?usp=sharing"",""สุราษฎร์ธานี!J629"")"),0)</f>
        <v>0</v>
      </c>
      <c r="K629" s="47">
        <f t="shared" ref="K629:K631" ca="1" si="453">IF(I$626&gt;0,J629*100/I$626,0)</f>
        <v>0</v>
      </c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f ca="1">IFERROR(__xludf.DUMMYFUNCTION("IMPORTRANGE(""https://docs.google.com/spreadsheets/d/1kKUcYdkIfrgTSj8iHHHB2MD2FAtwyyocFgqGQn6ADyI/edit?usp=sharing"",""กระบี่!J630"")+IMPORTRANGE(""https://docs.google.com/spreadsheets/d/1GwtLaSlNZkLk7iDqcyZz22giiy40b_usZZBXYciEN1U/edit?usp=sharing"",""ชุ"&amp;"มพร!J630"")+IMPORTRANGE(""https://docs.google.com/spreadsheets/d/16pAz3pOhQEZBhvFNMa5KGgZS6iKWpsKX0pg6tQmwFpo/edit?usp=sharing"",""ตรัง!J630"")+IMPORTRANGE(""https://docs.google.com/spreadsheets/d/1Dj4jcHCTV9JXKCaMoheSXS52JE63kDKyG7bPXnFogHk/edit?usp=shar"&amp;"ing"",""นครศรีธรรมราช!J630"")+IMPORTRANGE(""https://docs.google.com/spreadsheets/d/1iodCdmuK2GR3jzUwk8tpccY2JHQQA-87DLOtJP-ooyU/edit?usp=sharing"",""นราธิวาส!J630"")+IMPORTRANGE(""https://docs.google.com/spreadsheets/d/1SDNX3JhDdYRuIOsj0Wh2M-Qa_eaXl0NbWmh"&amp;"AOTbfQAs/edit?usp=sharing"",""ปัตตานี!J630"")+IMPORTRANGE(""https://docs.google.com/spreadsheets/d/16JDLGguT8s5DsGCND1KcwHP_AWR_zDMTqLHPLJUKhaU/edit?usp=sharing"",""พังงา!J630"")+IMPORTRANGE(""https://docs.google.com/spreadsheets/d/17ht0gPKzzT3PObBL1XJkeR"&amp;"mntBXI7wGjpLV7QorqlTk/edit?usp=sharing"",""พัทลุง!J630"")+IMPORTRANGE(""https://docs.google.com/spreadsheets/d/1rd4qoM1q_hsgaolqNGfrim9gbsoLxQsda4-vOz5x_BM/edit?usp=sharing"",""ภูเก็ต!J630"")+IMPORTRANGE(""https://docs.google.com/spreadsheets/d/1woKwKjgoL"&amp;"ssDvPcPeVyezB5izizAn4X1JDrys69n6xI/edit?usp=sharing"",""ยะลา!J630"")+IMPORTRANGE(""https://docs.google.com/spreadsheets/d/1qfrKjzMhm2HJfxQ-qVlJlJQ25Hne1d0khsySbZyGtPA/edit?usp=sharing"",""ระนอง!J630"")+IMPORTRANGE(""https://docs.google.com/spreadsheets/d/"&amp;"1IbSCnFOKpZsnFogBHJnL_isstZVaOMnFiIN0fGTPZZw/edit?usp=sharing"",""สงขลา!J630"")+IMPORTRANGE(""https://docs.google.com/spreadsheets/d/1q9nWasZJ-K8bFGvbE9n0qSRuKGA4Toe3Y89cKCiVtCU/edit?usp=sharing"",""สตูล!J630"")+IMPORTRANGE(""https://docs.google.com/sprea"&amp;"dsheets/d/18T20gbkS_WBjdscyTOV05cvq_JqvqQ17C81mpxf7Ncs/edit?usp=sharing"",""สุราษฎร์ธานี!J630"")"),0)</f>
        <v>0</v>
      </c>
      <c r="K630" s="47">
        <f t="shared" ca="1" si="453"/>
        <v>0</v>
      </c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f ca="1">IFERROR(__xludf.DUMMYFUNCTION("IMPORTRANGE(""https://docs.google.com/spreadsheets/d/1kKUcYdkIfrgTSj8iHHHB2MD2FAtwyyocFgqGQn6ADyI/edit?usp=sharing"",""กระบี่!J631"")+IMPORTRANGE(""https://docs.google.com/spreadsheets/d/1GwtLaSlNZkLk7iDqcyZz22giiy40b_usZZBXYciEN1U/edit?usp=sharing"",""ชุ"&amp;"มพร!J631"")+IMPORTRANGE(""https://docs.google.com/spreadsheets/d/16pAz3pOhQEZBhvFNMa5KGgZS6iKWpsKX0pg6tQmwFpo/edit?usp=sharing"",""ตรัง!J631"")+IMPORTRANGE(""https://docs.google.com/spreadsheets/d/1Dj4jcHCTV9JXKCaMoheSXS52JE63kDKyG7bPXnFogHk/edit?usp=shar"&amp;"ing"",""นครศรีธรรมราช!J631"")+IMPORTRANGE(""https://docs.google.com/spreadsheets/d/1iodCdmuK2GR3jzUwk8tpccY2JHQQA-87DLOtJP-ooyU/edit?usp=sharing"",""นราธิวาส!J631"")+IMPORTRANGE(""https://docs.google.com/spreadsheets/d/1SDNX3JhDdYRuIOsj0Wh2M-Qa_eaXl0NbWmh"&amp;"AOTbfQAs/edit?usp=sharing"",""ปัตตานี!J631"")+IMPORTRANGE(""https://docs.google.com/spreadsheets/d/16JDLGguT8s5DsGCND1KcwHP_AWR_zDMTqLHPLJUKhaU/edit?usp=sharing"",""พังงา!J631"")+IMPORTRANGE(""https://docs.google.com/spreadsheets/d/17ht0gPKzzT3PObBL1XJkeR"&amp;"mntBXI7wGjpLV7QorqlTk/edit?usp=sharing"",""พัทลุง!J631"")+IMPORTRANGE(""https://docs.google.com/spreadsheets/d/1rd4qoM1q_hsgaolqNGfrim9gbsoLxQsda4-vOz5x_BM/edit?usp=sharing"",""ภูเก็ต!J631"")+IMPORTRANGE(""https://docs.google.com/spreadsheets/d/1woKwKjgoL"&amp;"ssDvPcPeVyezB5izizAn4X1JDrys69n6xI/edit?usp=sharing"",""ยะลา!J631"")+IMPORTRANGE(""https://docs.google.com/spreadsheets/d/1qfrKjzMhm2HJfxQ-qVlJlJQ25Hne1d0khsySbZyGtPA/edit?usp=sharing"",""ระนอง!J631"")+IMPORTRANGE(""https://docs.google.com/spreadsheets/d/"&amp;"1IbSCnFOKpZsnFogBHJnL_isstZVaOMnFiIN0fGTPZZw/edit?usp=sharing"",""สงขลา!J631"")+IMPORTRANGE(""https://docs.google.com/spreadsheets/d/1q9nWasZJ-K8bFGvbE9n0qSRuKGA4Toe3Y89cKCiVtCU/edit?usp=sharing"",""สตูล!J631"")+IMPORTRANGE(""https://docs.google.com/sprea"&amp;"dsheets/d/18T20gbkS_WBjdscyTOV05cvq_JqvqQ17C81mpxf7Ncs/edit?usp=sharing"",""สุราษฎร์ธานี!J631"")"),0)</f>
        <v>0</v>
      </c>
      <c r="K631" s="47">
        <f t="shared" ca="1" si="453"/>
        <v>0</v>
      </c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 ca="1">J633+J634</f>
        <v>0</v>
      </c>
      <c r="K632" s="132">
        <f ca="1">IF(I626&gt;0,J632*100/I626,0)</f>
        <v>0</v>
      </c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f ca="1">IFERROR(__xludf.DUMMYFUNCTION("IMPORTRANGE(""https://docs.google.com/spreadsheets/d/1kKUcYdkIfrgTSj8iHHHB2MD2FAtwyyocFgqGQn6ADyI/edit?usp=sharing"",""กระบี่!J633"")+IMPORTRANGE(""https://docs.google.com/spreadsheets/d/1GwtLaSlNZkLk7iDqcyZz22giiy40b_usZZBXYciEN1U/edit?usp=sharing"",""ชุ"&amp;"มพร!J633"")+IMPORTRANGE(""https://docs.google.com/spreadsheets/d/16pAz3pOhQEZBhvFNMa5KGgZS6iKWpsKX0pg6tQmwFpo/edit?usp=sharing"",""ตรัง!J633"")+IMPORTRANGE(""https://docs.google.com/spreadsheets/d/1Dj4jcHCTV9JXKCaMoheSXS52JE63kDKyG7bPXnFogHk/edit?usp=shar"&amp;"ing"",""นครศรีธรรมราช!J633"")+IMPORTRANGE(""https://docs.google.com/spreadsheets/d/1iodCdmuK2GR3jzUwk8tpccY2JHQQA-87DLOtJP-ooyU/edit?usp=sharing"",""นราธิวาส!J633"")+IMPORTRANGE(""https://docs.google.com/spreadsheets/d/1SDNX3JhDdYRuIOsj0Wh2M-Qa_eaXl0NbWmh"&amp;"AOTbfQAs/edit?usp=sharing"",""ปัตตานี!J633"")+IMPORTRANGE(""https://docs.google.com/spreadsheets/d/16JDLGguT8s5DsGCND1KcwHP_AWR_zDMTqLHPLJUKhaU/edit?usp=sharing"",""พังงา!J633"")+IMPORTRANGE(""https://docs.google.com/spreadsheets/d/17ht0gPKzzT3PObBL1XJkeR"&amp;"mntBXI7wGjpLV7QorqlTk/edit?usp=sharing"",""พัทลุง!J633"")+IMPORTRANGE(""https://docs.google.com/spreadsheets/d/1rd4qoM1q_hsgaolqNGfrim9gbsoLxQsda4-vOz5x_BM/edit?usp=sharing"",""ภูเก็ต!J633"")+IMPORTRANGE(""https://docs.google.com/spreadsheets/d/1woKwKjgoL"&amp;"ssDvPcPeVyezB5izizAn4X1JDrys69n6xI/edit?usp=sharing"",""ยะลา!J633"")+IMPORTRANGE(""https://docs.google.com/spreadsheets/d/1qfrKjzMhm2HJfxQ-qVlJlJQ25Hne1d0khsySbZyGtPA/edit?usp=sharing"",""ระนอง!J633"")+IMPORTRANGE(""https://docs.google.com/spreadsheets/d/"&amp;"1IbSCnFOKpZsnFogBHJnL_isstZVaOMnFiIN0fGTPZZw/edit?usp=sharing"",""สงขลา!J633"")+IMPORTRANGE(""https://docs.google.com/spreadsheets/d/1q9nWasZJ-K8bFGvbE9n0qSRuKGA4Toe3Y89cKCiVtCU/edit?usp=sharing"",""สตูล!J633"")+IMPORTRANGE(""https://docs.google.com/sprea"&amp;"dsheets/d/18T20gbkS_WBjdscyTOV05cvq_JqvqQ17C81mpxf7Ncs/edit?usp=sharing"",""สุราษฎร์ธานี!J633"")"),0)</f>
        <v>0</v>
      </c>
      <c r="K633" s="4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f ca="1">IFERROR(__xludf.DUMMYFUNCTION("IMPORTRANGE(""https://docs.google.com/spreadsheets/d/1kKUcYdkIfrgTSj8iHHHB2MD2FAtwyyocFgqGQn6ADyI/edit?usp=sharing"",""กระบี่!J634"")+IMPORTRANGE(""https://docs.google.com/spreadsheets/d/1GwtLaSlNZkLk7iDqcyZz22giiy40b_usZZBXYciEN1U/edit?usp=sharing"",""ชุ"&amp;"มพร!J634"")+IMPORTRANGE(""https://docs.google.com/spreadsheets/d/16pAz3pOhQEZBhvFNMa5KGgZS6iKWpsKX0pg6tQmwFpo/edit?usp=sharing"",""ตรัง!J634"")+IMPORTRANGE(""https://docs.google.com/spreadsheets/d/1Dj4jcHCTV9JXKCaMoheSXS52JE63kDKyG7bPXnFogHk/edit?usp=shar"&amp;"ing"",""นครศรีธรรมราช!J634"")+IMPORTRANGE(""https://docs.google.com/spreadsheets/d/1iodCdmuK2GR3jzUwk8tpccY2JHQQA-87DLOtJP-ooyU/edit?usp=sharing"",""นราธิวาส!J634"")+IMPORTRANGE(""https://docs.google.com/spreadsheets/d/1SDNX3JhDdYRuIOsj0Wh2M-Qa_eaXl0NbWmh"&amp;"AOTbfQAs/edit?usp=sharing"",""ปัตตานี!J634"")+IMPORTRANGE(""https://docs.google.com/spreadsheets/d/16JDLGguT8s5DsGCND1KcwHP_AWR_zDMTqLHPLJUKhaU/edit?usp=sharing"",""พังงา!J634"")+IMPORTRANGE(""https://docs.google.com/spreadsheets/d/17ht0gPKzzT3PObBL1XJkeR"&amp;"mntBXI7wGjpLV7QorqlTk/edit?usp=sharing"",""พัทลุง!J634"")+IMPORTRANGE(""https://docs.google.com/spreadsheets/d/1rd4qoM1q_hsgaolqNGfrim9gbsoLxQsda4-vOz5x_BM/edit?usp=sharing"",""ภูเก็ต!J634"")+IMPORTRANGE(""https://docs.google.com/spreadsheets/d/1woKwKjgoL"&amp;"ssDvPcPeVyezB5izizAn4X1JDrys69n6xI/edit?usp=sharing"",""ยะลา!J634"")+IMPORTRANGE(""https://docs.google.com/spreadsheets/d/1qfrKjzMhm2HJfxQ-qVlJlJQ25Hne1d0khsySbZyGtPA/edit?usp=sharing"",""ระนอง!J634"")+IMPORTRANGE(""https://docs.google.com/spreadsheets/d/"&amp;"1IbSCnFOKpZsnFogBHJnL_isstZVaOMnFiIN0fGTPZZw/edit?usp=sharing"",""สงขลา!J634"")+IMPORTRANGE(""https://docs.google.com/spreadsheets/d/1q9nWasZJ-K8bFGvbE9n0qSRuKGA4Toe3Y89cKCiVtCU/edit?usp=sharing"",""สตูล!J634"")+IMPORTRANGE(""https://docs.google.com/sprea"&amp;"dsheets/d/18T20gbkS_WBjdscyTOV05cvq_JqvqQ17C81mpxf7Ncs/edit?usp=sharing"",""สุราษฎร์ธานี!J634"")"),0)</f>
        <v>0</v>
      </c>
      <c r="K634" s="4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kKUcYdkIfrgTSj8iHHHB2MD2FAtwyyocFgqGQn6ADyI/edit?usp=sharing"",""กระบี่!I635"")+IMPORTRANGE(""https://docs.google.com/spreadsheets/d/1GwtLaSlNZkLk7iDqcyZz22giiy40b_usZZBXYciEN1U/edit?usp=sharing"",""ชุ"&amp;"มพร!I635"")+IMPORTRANGE(""https://docs.google.com/spreadsheets/d/16pAz3pOhQEZBhvFNMa5KGgZS6iKWpsKX0pg6tQmwFpo/edit?usp=sharing"",""ตรัง!I635"")+IMPORTRANGE(""https://docs.google.com/spreadsheets/d/1Dj4jcHCTV9JXKCaMoheSXS52JE63kDKyG7bPXnFogHk/edit?usp=shar"&amp;"ing"",""นครศรีธรรมราช!I635"")+IMPORTRANGE(""https://docs.google.com/spreadsheets/d/1iodCdmuK2GR3jzUwk8tpccY2JHQQA-87DLOtJP-ooyU/edit?usp=sharing"",""นราธิวาส!I635"")+IMPORTRANGE(""https://docs.google.com/spreadsheets/d/1SDNX3JhDdYRuIOsj0Wh2M-Qa_eaXl0NbWmh"&amp;"AOTbfQAs/edit?usp=sharing"",""ปัตตานี!I635"")+IMPORTRANGE(""https://docs.google.com/spreadsheets/d/16JDLGguT8s5DsGCND1KcwHP_AWR_zDMTqLHPLJUKhaU/edit?usp=sharing"",""พังงา!I635"")+IMPORTRANGE(""https://docs.google.com/spreadsheets/d/17ht0gPKzzT3PObBL1XJkeR"&amp;"mntBXI7wGjpLV7QorqlTk/edit?usp=sharing"",""พัทลุง!I635"")+IMPORTRANGE(""https://docs.google.com/spreadsheets/d/1rd4qoM1q_hsgaolqNGfrim9gbsoLxQsda4-vOz5x_BM/edit?usp=sharing"",""ภูเก็ต!I635"")+IMPORTRANGE(""https://docs.google.com/spreadsheets/d/1woKwKjgoL"&amp;"ssDvPcPeVyezB5izizAn4X1JDrys69n6xI/edit?usp=sharing"",""ยะลา!I635"")+IMPORTRANGE(""https://docs.google.com/spreadsheets/d/1qfrKjzMhm2HJfxQ-qVlJlJQ25Hne1d0khsySbZyGtPA/edit?usp=sharing"",""ระนอง!I635"")+IMPORTRANGE(""https://docs.google.com/spreadsheets/d/"&amp;"1IbSCnFOKpZsnFogBHJnL_isstZVaOMnFiIN0fGTPZZw/edit?usp=sharing"",""สงขลา!I635"")+IMPORTRANGE(""https://docs.google.com/spreadsheets/d/1q9nWasZJ-K8bFGvbE9n0qSRuKGA4Toe3Y89cKCiVtCU/edit?usp=sharing"",""สตูล!I635"")+IMPORTRANGE(""https://docs.google.com/sprea"&amp;"dsheets/d/18T20gbkS_WBjdscyTOV05cvq_JqvqQ17C81mpxf7Ncs/edit?usp=sharing"",""สุราษฎร์ธานี!I635"")"),0)</f>
        <v>0</v>
      </c>
      <c r="J635" s="147">
        <f ca="1">J636</f>
        <v>0</v>
      </c>
      <c r="K635" s="132">
        <f ca="1">IF(I635&gt;0,J635*100/I635,0)</f>
        <v>0</v>
      </c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 ca="1">J637+J638</f>
        <v>0</v>
      </c>
      <c r="K636" s="4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f ca="1">IFERROR(__xludf.DUMMYFUNCTION("IMPORTRANGE(""https://docs.google.com/spreadsheets/d/1kKUcYdkIfrgTSj8iHHHB2MD2FAtwyyocFgqGQn6ADyI/edit?usp=sharing"",""กระบี่!J637"")+IMPORTRANGE(""https://docs.google.com/spreadsheets/d/1GwtLaSlNZkLk7iDqcyZz22giiy40b_usZZBXYciEN1U/edit?usp=sharing"",""ชุ"&amp;"มพร!J637"")+IMPORTRANGE(""https://docs.google.com/spreadsheets/d/16pAz3pOhQEZBhvFNMa5KGgZS6iKWpsKX0pg6tQmwFpo/edit?usp=sharing"",""ตรัง!J637"")+IMPORTRANGE(""https://docs.google.com/spreadsheets/d/1Dj4jcHCTV9JXKCaMoheSXS52JE63kDKyG7bPXnFogHk/edit?usp=shar"&amp;"ing"",""นครศรีธรรมราช!J637"")+IMPORTRANGE(""https://docs.google.com/spreadsheets/d/1iodCdmuK2GR3jzUwk8tpccY2JHQQA-87DLOtJP-ooyU/edit?usp=sharing"",""นราธิวาส!J637"")+IMPORTRANGE(""https://docs.google.com/spreadsheets/d/1SDNX3JhDdYRuIOsj0Wh2M-Qa_eaXl0NbWmh"&amp;"AOTbfQAs/edit?usp=sharing"",""ปัตตานี!J637"")+IMPORTRANGE(""https://docs.google.com/spreadsheets/d/16JDLGguT8s5DsGCND1KcwHP_AWR_zDMTqLHPLJUKhaU/edit?usp=sharing"",""พังงา!J637"")+IMPORTRANGE(""https://docs.google.com/spreadsheets/d/17ht0gPKzzT3PObBL1XJkeR"&amp;"mntBXI7wGjpLV7QorqlTk/edit?usp=sharing"",""พัทลุง!J637"")+IMPORTRANGE(""https://docs.google.com/spreadsheets/d/1rd4qoM1q_hsgaolqNGfrim9gbsoLxQsda4-vOz5x_BM/edit?usp=sharing"",""ภูเก็ต!J637"")+IMPORTRANGE(""https://docs.google.com/spreadsheets/d/1woKwKjgoL"&amp;"ssDvPcPeVyezB5izizAn4X1JDrys69n6xI/edit?usp=sharing"",""ยะลา!J637"")+IMPORTRANGE(""https://docs.google.com/spreadsheets/d/1qfrKjzMhm2HJfxQ-qVlJlJQ25Hne1d0khsySbZyGtPA/edit?usp=sharing"",""ระนอง!J637"")+IMPORTRANGE(""https://docs.google.com/spreadsheets/d/"&amp;"1IbSCnFOKpZsnFogBHJnL_isstZVaOMnFiIN0fGTPZZw/edit?usp=sharing"",""สงขลา!J637"")+IMPORTRANGE(""https://docs.google.com/spreadsheets/d/1q9nWasZJ-K8bFGvbE9n0qSRuKGA4Toe3Y89cKCiVtCU/edit?usp=sharing"",""สตูล!J637"")+IMPORTRANGE(""https://docs.google.com/sprea"&amp;"dsheets/d/18T20gbkS_WBjdscyTOV05cvq_JqvqQ17C81mpxf7Ncs/edit?usp=sharing"",""สุราษฎร์ธานี!J637"")"),0)</f>
        <v>0</v>
      </c>
      <c r="K637" s="4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f ca="1">IFERROR(__xludf.DUMMYFUNCTION("IMPORTRANGE(""https://docs.google.com/spreadsheets/d/1kKUcYdkIfrgTSj8iHHHB2MD2FAtwyyocFgqGQn6ADyI/edit?usp=sharing"",""กระบี่!J638"")+IMPORTRANGE(""https://docs.google.com/spreadsheets/d/1GwtLaSlNZkLk7iDqcyZz22giiy40b_usZZBXYciEN1U/edit?usp=sharing"",""ชุ"&amp;"มพร!J638"")+IMPORTRANGE(""https://docs.google.com/spreadsheets/d/16pAz3pOhQEZBhvFNMa5KGgZS6iKWpsKX0pg6tQmwFpo/edit?usp=sharing"",""ตรัง!J638"")+IMPORTRANGE(""https://docs.google.com/spreadsheets/d/1Dj4jcHCTV9JXKCaMoheSXS52JE63kDKyG7bPXnFogHk/edit?usp=shar"&amp;"ing"",""นครศรีธรรมราช!J638"")+IMPORTRANGE(""https://docs.google.com/spreadsheets/d/1iodCdmuK2GR3jzUwk8tpccY2JHQQA-87DLOtJP-ooyU/edit?usp=sharing"",""นราธิวาส!J638"")+IMPORTRANGE(""https://docs.google.com/spreadsheets/d/1SDNX3JhDdYRuIOsj0Wh2M-Qa_eaXl0NbWmh"&amp;"AOTbfQAs/edit?usp=sharing"",""ปัตตานี!J638"")+IMPORTRANGE(""https://docs.google.com/spreadsheets/d/16JDLGguT8s5DsGCND1KcwHP_AWR_zDMTqLHPLJUKhaU/edit?usp=sharing"",""พังงา!J638"")+IMPORTRANGE(""https://docs.google.com/spreadsheets/d/17ht0gPKzzT3PObBL1XJkeR"&amp;"mntBXI7wGjpLV7QorqlTk/edit?usp=sharing"",""พัทลุง!J638"")+IMPORTRANGE(""https://docs.google.com/spreadsheets/d/1rd4qoM1q_hsgaolqNGfrim9gbsoLxQsda4-vOz5x_BM/edit?usp=sharing"",""ภูเก็ต!J638"")+IMPORTRANGE(""https://docs.google.com/spreadsheets/d/1woKwKjgoL"&amp;"ssDvPcPeVyezB5izizAn4X1JDrys69n6xI/edit?usp=sharing"",""ยะลา!J638"")+IMPORTRANGE(""https://docs.google.com/spreadsheets/d/1qfrKjzMhm2HJfxQ-qVlJlJQ25Hne1d0khsySbZyGtPA/edit?usp=sharing"",""ระนอง!J638"")+IMPORTRANGE(""https://docs.google.com/spreadsheets/d/"&amp;"1IbSCnFOKpZsnFogBHJnL_isstZVaOMnFiIN0fGTPZZw/edit?usp=sharing"",""สงขลา!J638"")+IMPORTRANGE(""https://docs.google.com/spreadsheets/d/1q9nWasZJ-K8bFGvbE9n0qSRuKGA4Toe3Y89cKCiVtCU/edit?usp=sharing"",""สตูล!J638"")+IMPORTRANGE(""https://docs.google.com/sprea"&amp;"dsheets/d/18T20gbkS_WBjdscyTOV05cvq_JqvqQ17C81mpxf7Ncs/edit?usp=sharing"",""สุราษฎร์ธานี!J638"")"),0)</f>
        <v>0</v>
      </c>
      <c r="K638" s="4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f ca="1">IFERROR(__xludf.DUMMYFUNCTION("IMPORTRANGE(""https://docs.google.com/spreadsheets/d/1kKUcYdkIfrgTSj8iHHHB2MD2FAtwyyocFgqGQn6ADyI/edit?usp=sharing"",""กระบี่!J639"")+IMPORTRANGE(""https://docs.google.com/spreadsheets/d/1GwtLaSlNZkLk7iDqcyZz22giiy40b_usZZBXYciEN1U/edit?usp=sharing"",""ชุ"&amp;"มพร!J639"")+IMPORTRANGE(""https://docs.google.com/spreadsheets/d/16pAz3pOhQEZBhvFNMa5KGgZS6iKWpsKX0pg6tQmwFpo/edit?usp=sharing"",""ตรัง!J639"")+IMPORTRANGE(""https://docs.google.com/spreadsheets/d/1Dj4jcHCTV9JXKCaMoheSXS52JE63kDKyG7bPXnFogHk/edit?usp=shar"&amp;"ing"",""นครศรีธรรมราช!J639"")+IMPORTRANGE(""https://docs.google.com/spreadsheets/d/1iodCdmuK2GR3jzUwk8tpccY2JHQQA-87DLOtJP-ooyU/edit?usp=sharing"",""นราธิวาส!J639"")+IMPORTRANGE(""https://docs.google.com/spreadsheets/d/1SDNX3JhDdYRuIOsj0Wh2M-Qa_eaXl0NbWmh"&amp;"AOTbfQAs/edit?usp=sharing"",""ปัตตานี!J639"")+IMPORTRANGE(""https://docs.google.com/spreadsheets/d/16JDLGguT8s5DsGCND1KcwHP_AWR_zDMTqLHPLJUKhaU/edit?usp=sharing"",""พังงา!J639"")+IMPORTRANGE(""https://docs.google.com/spreadsheets/d/17ht0gPKzzT3PObBL1XJkeR"&amp;"mntBXI7wGjpLV7QorqlTk/edit?usp=sharing"",""พัทลุง!J639"")+IMPORTRANGE(""https://docs.google.com/spreadsheets/d/1rd4qoM1q_hsgaolqNGfrim9gbsoLxQsda4-vOz5x_BM/edit?usp=sharing"",""ภูเก็ต!J639"")+IMPORTRANGE(""https://docs.google.com/spreadsheets/d/1woKwKjgoL"&amp;"ssDvPcPeVyezB5izizAn4X1JDrys69n6xI/edit?usp=sharing"",""ยะลา!J639"")+IMPORTRANGE(""https://docs.google.com/spreadsheets/d/1qfrKjzMhm2HJfxQ-qVlJlJQ25Hne1d0khsySbZyGtPA/edit?usp=sharing"",""ระนอง!J639"")+IMPORTRANGE(""https://docs.google.com/spreadsheets/d/"&amp;"1IbSCnFOKpZsnFogBHJnL_isstZVaOMnFiIN0fGTPZZw/edit?usp=sharing"",""สงขลา!J639"")+IMPORTRANGE(""https://docs.google.com/spreadsheets/d/1q9nWasZJ-K8bFGvbE9n0qSRuKGA4Toe3Y89cKCiVtCU/edit?usp=sharing"",""สตูล!J639"")+IMPORTRANGE(""https://docs.google.com/sprea"&amp;"dsheets/d/18T20gbkS_WBjdscyTOV05cvq_JqvqQ17C81mpxf7Ncs/edit?usp=sharing"",""สุราษฎร์ธานี!J639"")"),0)</f>
        <v>0</v>
      </c>
      <c r="K639" s="4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f ca="1">IFERROR(__xludf.DUMMYFUNCTION("IMPORTRANGE(""https://docs.google.com/spreadsheets/d/1kKUcYdkIfrgTSj8iHHHB2MD2FAtwyyocFgqGQn6ADyI/edit?usp=sharing"",""กระบี่!J640"")+IMPORTRANGE(""https://docs.google.com/spreadsheets/d/1GwtLaSlNZkLk7iDqcyZz22giiy40b_usZZBXYciEN1U/edit?usp=sharing"",""ชุ"&amp;"มพร!J640"")+IMPORTRANGE(""https://docs.google.com/spreadsheets/d/16pAz3pOhQEZBhvFNMa5KGgZS6iKWpsKX0pg6tQmwFpo/edit?usp=sharing"",""ตรัง!J640"")+IMPORTRANGE(""https://docs.google.com/spreadsheets/d/1Dj4jcHCTV9JXKCaMoheSXS52JE63kDKyG7bPXnFogHk/edit?usp=shar"&amp;"ing"",""นครศรีธรรมราช!J640"")+IMPORTRANGE(""https://docs.google.com/spreadsheets/d/1iodCdmuK2GR3jzUwk8tpccY2JHQQA-87DLOtJP-ooyU/edit?usp=sharing"",""นราธิวาส!J640"")+IMPORTRANGE(""https://docs.google.com/spreadsheets/d/1SDNX3JhDdYRuIOsj0Wh2M-Qa_eaXl0NbWmh"&amp;"AOTbfQAs/edit?usp=sharing"",""ปัตตานี!J640"")+IMPORTRANGE(""https://docs.google.com/spreadsheets/d/16JDLGguT8s5DsGCND1KcwHP_AWR_zDMTqLHPLJUKhaU/edit?usp=sharing"",""พังงา!J640"")+IMPORTRANGE(""https://docs.google.com/spreadsheets/d/17ht0gPKzzT3PObBL1XJkeR"&amp;"mntBXI7wGjpLV7QorqlTk/edit?usp=sharing"",""พัทลุง!J640"")+IMPORTRANGE(""https://docs.google.com/spreadsheets/d/1rd4qoM1q_hsgaolqNGfrim9gbsoLxQsda4-vOz5x_BM/edit?usp=sharing"",""ภูเก็ต!J640"")+IMPORTRANGE(""https://docs.google.com/spreadsheets/d/1woKwKjgoL"&amp;"ssDvPcPeVyezB5izizAn4X1JDrys69n6xI/edit?usp=sharing"",""ยะลา!J640"")+IMPORTRANGE(""https://docs.google.com/spreadsheets/d/1qfrKjzMhm2HJfxQ-qVlJlJQ25Hne1d0khsySbZyGtPA/edit?usp=sharing"",""ระนอง!J640"")+IMPORTRANGE(""https://docs.google.com/spreadsheets/d/"&amp;"1IbSCnFOKpZsnFogBHJnL_isstZVaOMnFiIN0fGTPZZw/edit?usp=sharing"",""สงขลา!J640"")+IMPORTRANGE(""https://docs.google.com/spreadsheets/d/1q9nWasZJ-K8bFGvbE9n0qSRuKGA4Toe3Y89cKCiVtCU/edit?usp=sharing"",""สตูล!J640"")+IMPORTRANGE(""https://docs.google.com/sprea"&amp;"dsheets/d/18T20gbkS_WBjdscyTOV05cvq_JqvqQ17C81mpxf7Ncs/edit?usp=sharing"",""สุราษฎร์ธานี!J640"")"),0)</f>
        <v>0</v>
      </c>
      <c r="K640" s="4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63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470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x14ac:dyDescent="0.3">
      <c r="A642" s="128"/>
      <c r="B642" s="159"/>
      <c r="C642" s="218" t="s">
        <v>18</v>
      </c>
      <c r="D642" s="532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132">
        <f t="shared" ref="L642:N642" ca="1" si="454">L643+L644</f>
        <v>0</v>
      </c>
      <c r="M642" s="132">
        <f t="shared" ca="1" si="454"/>
        <v>0</v>
      </c>
      <c r="N642" s="132">
        <f t="shared" ca="1" si="454"/>
        <v>0</v>
      </c>
      <c r="O642" s="132">
        <f t="shared" ref="O642:O650" ca="1" si="455">IF(L642&gt;0,N642*100/L642,0)</f>
        <v>0</v>
      </c>
      <c r="P642" s="132">
        <f t="shared" ref="P642:P650" ca="1" si="456">IF(M642&gt;0,N642*100/M642,0)</f>
        <v>0</v>
      </c>
      <c r="Q642" s="132">
        <f t="shared" ref="Q642:S642" ca="1" si="457">Q643+Q644</f>
        <v>8200</v>
      </c>
      <c r="R642" s="132">
        <f t="shared" ca="1" si="457"/>
        <v>8200</v>
      </c>
      <c r="S642" s="132">
        <f t="shared" ca="1" si="457"/>
        <v>0</v>
      </c>
      <c r="T642" s="132">
        <f t="shared" ref="T642:T650" ca="1" si="458">IF(Q642&gt;0,S642*100/Q642,0)</f>
        <v>0</v>
      </c>
      <c r="U642" s="132">
        <f t="shared" ref="U642:U650" ca="1" si="459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9">
        <f t="shared" ref="L643:N643" ca="1" si="460">L646+L649</f>
        <v>0</v>
      </c>
      <c r="M643" s="49">
        <f t="shared" ca="1" si="460"/>
        <v>0</v>
      </c>
      <c r="N643" s="49">
        <f t="shared" ca="1" si="460"/>
        <v>0</v>
      </c>
      <c r="O643" s="49">
        <f t="shared" ca="1" si="455"/>
        <v>0</v>
      </c>
      <c r="P643" s="49">
        <f t="shared" ca="1" si="456"/>
        <v>0</v>
      </c>
      <c r="Q643" s="49">
        <f t="shared" ref="Q643:S643" ca="1" si="461">Q646+Q649</f>
        <v>0</v>
      </c>
      <c r="R643" s="49">
        <f t="shared" ca="1" si="461"/>
        <v>0</v>
      </c>
      <c r="S643" s="49">
        <f t="shared" ca="1" si="461"/>
        <v>0</v>
      </c>
      <c r="T643" s="49">
        <f t="shared" ca="1" si="458"/>
        <v>0</v>
      </c>
      <c r="U643" s="49">
        <f t="shared" ca="1" si="459"/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7">
        <f t="shared" ref="L644:N644" ca="1" si="462">L647+L650</f>
        <v>0</v>
      </c>
      <c r="M644" s="47">
        <f t="shared" ca="1" si="462"/>
        <v>0</v>
      </c>
      <c r="N644" s="47">
        <f t="shared" ca="1" si="462"/>
        <v>0</v>
      </c>
      <c r="O644" s="47">
        <f t="shared" ca="1" si="455"/>
        <v>0</v>
      </c>
      <c r="P644" s="47">
        <f t="shared" ca="1" si="456"/>
        <v>0</v>
      </c>
      <c r="Q644" s="47">
        <f t="shared" ref="Q644:S644" ca="1" si="463">Q647+Q650</f>
        <v>8200</v>
      </c>
      <c r="R644" s="47">
        <f t="shared" ca="1" si="463"/>
        <v>8200</v>
      </c>
      <c r="S644" s="47">
        <f t="shared" ca="1" si="463"/>
        <v>0</v>
      </c>
      <c r="T644" s="47">
        <f t="shared" ca="1" si="458"/>
        <v>0</v>
      </c>
      <c r="U644" s="47">
        <f t="shared" ca="1" si="459"/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7">
        <f t="shared" ref="L645:N645" ca="1" si="464">L646+L647</f>
        <v>0</v>
      </c>
      <c r="M645" s="47">
        <f t="shared" ca="1" si="464"/>
        <v>0</v>
      </c>
      <c r="N645" s="47">
        <f t="shared" ca="1" si="464"/>
        <v>0</v>
      </c>
      <c r="O645" s="47">
        <f t="shared" ca="1" si="455"/>
        <v>0</v>
      </c>
      <c r="P645" s="47">
        <f t="shared" ca="1" si="456"/>
        <v>0</v>
      </c>
      <c r="Q645" s="47">
        <f t="shared" ref="Q645:S645" ca="1" si="465">Q646+Q647</f>
        <v>8200</v>
      </c>
      <c r="R645" s="47">
        <f t="shared" ca="1" si="465"/>
        <v>8200</v>
      </c>
      <c r="S645" s="47">
        <f t="shared" ca="1" si="465"/>
        <v>0</v>
      </c>
      <c r="T645" s="47">
        <f t="shared" ca="1" si="458"/>
        <v>0</v>
      </c>
      <c r="U645" s="47">
        <f t="shared" ca="1" si="459"/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9">
        <f ca="1">IFERROR(__xludf.DUMMYFUNCTION("IMPORTRANGE(""https://docs.google.com/spreadsheets/d/1kKUcYdkIfrgTSj8iHHHB2MD2FAtwyyocFgqGQn6ADyI/edit?usp=sharing"",""กระบี่!L646"")+IMPORTRANGE(""https://docs.google.com/spreadsheets/d/1GwtLaSlNZkLk7iDqcyZz22giiy40b_usZZBXYciEN1U/edit?usp=sharing"",""ชุ"&amp;"มพร!L646"")+IMPORTRANGE(""https://docs.google.com/spreadsheets/d/16pAz3pOhQEZBhvFNMa5KGgZS6iKWpsKX0pg6tQmwFpo/edit?usp=sharing"",""ตรัง!L646"")+IMPORTRANGE(""https://docs.google.com/spreadsheets/d/1Dj4jcHCTV9JXKCaMoheSXS52JE63kDKyG7bPXnFogHk/edit?usp=shar"&amp;"ing"",""นครศรีธรรมราช!L646"")+IMPORTRANGE(""https://docs.google.com/spreadsheets/d/1iodCdmuK2GR3jzUwk8tpccY2JHQQA-87DLOtJP-ooyU/edit?usp=sharing"",""นราธิวาส!L646"")+IMPORTRANGE(""https://docs.google.com/spreadsheets/d/1SDNX3JhDdYRuIOsj0Wh2M-Qa_eaXl0NbWmh"&amp;"AOTbfQAs/edit?usp=sharing"",""ปัตตานี!L646"")+IMPORTRANGE(""https://docs.google.com/spreadsheets/d/16JDLGguT8s5DsGCND1KcwHP_AWR_zDMTqLHPLJUKhaU/edit?usp=sharing"",""พังงา!L646"")+IMPORTRANGE(""https://docs.google.com/spreadsheets/d/17ht0gPKzzT3PObBL1XJkeR"&amp;"mntBXI7wGjpLV7QorqlTk/edit?usp=sharing"",""พัทลุง!L646"")+IMPORTRANGE(""https://docs.google.com/spreadsheets/d/1rd4qoM1q_hsgaolqNGfrim9gbsoLxQsda4-vOz5x_BM/edit?usp=sharing"",""ภูเก็ต!L646"")+IMPORTRANGE(""https://docs.google.com/spreadsheets/d/1woKwKjgoL"&amp;"ssDvPcPeVyezB5izizAn4X1JDrys69n6xI/edit?usp=sharing"",""ยะลา!L646"")+IMPORTRANGE(""https://docs.google.com/spreadsheets/d/1qfrKjzMhm2HJfxQ-qVlJlJQ25Hne1d0khsySbZyGtPA/edit?usp=sharing"",""ระนอง!L646"")+IMPORTRANGE(""https://docs.google.com/spreadsheets/d/"&amp;"1IbSCnFOKpZsnFogBHJnL_isstZVaOMnFiIN0fGTPZZw/edit?usp=sharing"",""สงขลา!L646"")+IMPORTRANGE(""https://docs.google.com/spreadsheets/d/1q9nWasZJ-K8bFGvbE9n0qSRuKGA4Toe3Y89cKCiVtCU/edit?usp=sharing"",""สตูล!L646"")+IMPORTRANGE(""https://docs.google.com/sprea"&amp;"dsheets/d/18T20gbkS_WBjdscyTOV05cvq_JqvqQ17C81mpxf7Ncs/edit?usp=sharing"",""สุราษฎร์ธานี!L646"")"),0)</f>
        <v>0</v>
      </c>
      <c r="M646" s="49">
        <f ca="1">IFERROR(__xludf.DUMMYFUNCTION("IMPORTRANGE(""https://docs.google.com/spreadsheets/d/1kKUcYdkIfrgTSj8iHHHB2MD2FAtwyyocFgqGQn6ADyI/edit?usp=sharing"",""กระบี่!M646"")+IMPORTRANGE(""https://docs.google.com/spreadsheets/d/1GwtLaSlNZkLk7iDqcyZz22giiy40b_usZZBXYciEN1U/edit?usp=sharing"",""ชุ"&amp;"มพร!M646"")+IMPORTRANGE(""https://docs.google.com/spreadsheets/d/16pAz3pOhQEZBhvFNMa5KGgZS6iKWpsKX0pg6tQmwFpo/edit?usp=sharing"",""ตรัง!M646"")+IMPORTRANGE(""https://docs.google.com/spreadsheets/d/1Dj4jcHCTV9JXKCaMoheSXS52JE63kDKyG7bPXnFogHk/edit?usp=shar"&amp;"ing"",""นครศรีธรรมราช!M646"")+IMPORTRANGE(""https://docs.google.com/spreadsheets/d/1iodCdmuK2GR3jzUwk8tpccY2JHQQA-87DLOtJP-ooyU/edit?usp=sharing"",""นราธิวาส!M646"")+IMPORTRANGE(""https://docs.google.com/spreadsheets/d/1SDNX3JhDdYRuIOsj0Wh2M-Qa_eaXl0NbWmh"&amp;"AOTbfQAs/edit?usp=sharing"",""ปัตตานี!M646"")+IMPORTRANGE(""https://docs.google.com/spreadsheets/d/16JDLGguT8s5DsGCND1KcwHP_AWR_zDMTqLHPLJUKhaU/edit?usp=sharing"",""พังงา!M646"")+IMPORTRANGE(""https://docs.google.com/spreadsheets/d/17ht0gPKzzT3PObBL1XJkeR"&amp;"mntBXI7wGjpLV7QorqlTk/edit?usp=sharing"",""พัทลุง!M646"")+IMPORTRANGE(""https://docs.google.com/spreadsheets/d/1rd4qoM1q_hsgaolqNGfrim9gbsoLxQsda4-vOz5x_BM/edit?usp=sharing"",""ภูเก็ต!M646"")+IMPORTRANGE(""https://docs.google.com/spreadsheets/d/1woKwKjgoL"&amp;"ssDvPcPeVyezB5izizAn4X1JDrys69n6xI/edit?usp=sharing"",""ยะลา!M646"")+IMPORTRANGE(""https://docs.google.com/spreadsheets/d/1qfrKjzMhm2HJfxQ-qVlJlJQ25Hne1d0khsySbZyGtPA/edit?usp=sharing"",""ระนอง!M646"")+IMPORTRANGE(""https://docs.google.com/spreadsheets/d/"&amp;"1IbSCnFOKpZsnFogBHJnL_isstZVaOMnFiIN0fGTPZZw/edit?usp=sharing"",""สงขลา!M646"")+IMPORTRANGE(""https://docs.google.com/spreadsheets/d/1q9nWasZJ-K8bFGvbE9n0qSRuKGA4Toe3Y89cKCiVtCU/edit?usp=sharing"",""สตูล!M646"")+IMPORTRANGE(""https://docs.google.com/sprea"&amp;"dsheets/d/18T20gbkS_WBjdscyTOV05cvq_JqvqQ17C81mpxf7Ncs/edit?usp=sharing"",""สุราษฎร์ธานี!M646"")"),0)</f>
        <v>0</v>
      </c>
      <c r="N646" s="49">
        <f ca="1">IFERROR(__xludf.DUMMYFUNCTION("IMPORTRANGE(""https://docs.google.com/spreadsheets/d/1kKUcYdkIfrgTSj8iHHHB2MD2FAtwyyocFgqGQn6ADyI/edit?usp=sharing"",""กระบี่!N646"")+IMPORTRANGE(""https://docs.google.com/spreadsheets/d/1GwtLaSlNZkLk7iDqcyZz22giiy40b_usZZBXYciEN1U/edit?usp=sharing"",""ชุ"&amp;"มพร!N646"")+IMPORTRANGE(""https://docs.google.com/spreadsheets/d/16pAz3pOhQEZBhvFNMa5KGgZS6iKWpsKX0pg6tQmwFpo/edit?usp=sharing"",""ตรัง!N646"")+IMPORTRANGE(""https://docs.google.com/spreadsheets/d/1Dj4jcHCTV9JXKCaMoheSXS52JE63kDKyG7bPXnFogHk/edit?usp=shar"&amp;"ing"",""นครศรีธรรมราช!N646"")+IMPORTRANGE(""https://docs.google.com/spreadsheets/d/1iodCdmuK2GR3jzUwk8tpccY2JHQQA-87DLOtJP-ooyU/edit?usp=sharing"",""นราธิวาส!N646"")+IMPORTRANGE(""https://docs.google.com/spreadsheets/d/1SDNX3JhDdYRuIOsj0Wh2M-Qa_eaXl0NbWmh"&amp;"AOTbfQAs/edit?usp=sharing"",""ปัตตานี!N646"")+IMPORTRANGE(""https://docs.google.com/spreadsheets/d/16JDLGguT8s5DsGCND1KcwHP_AWR_zDMTqLHPLJUKhaU/edit?usp=sharing"",""พังงา!N646"")+IMPORTRANGE(""https://docs.google.com/spreadsheets/d/17ht0gPKzzT3PObBL1XJkeR"&amp;"mntBXI7wGjpLV7QorqlTk/edit?usp=sharing"",""พัทลุง!N646"")+IMPORTRANGE(""https://docs.google.com/spreadsheets/d/1rd4qoM1q_hsgaolqNGfrim9gbsoLxQsda4-vOz5x_BM/edit?usp=sharing"",""ภูเก็ต!N646"")+IMPORTRANGE(""https://docs.google.com/spreadsheets/d/1woKwKjgoL"&amp;"ssDvPcPeVyezB5izizAn4X1JDrys69n6xI/edit?usp=sharing"",""ยะลา!N646"")+IMPORTRANGE(""https://docs.google.com/spreadsheets/d/1qfrKjzMhm2HJfxQ-qVlJlJQ25Hne1d0khsySbZyGtPA/edit?usp=sharing"",""ระนอง!N646"")+IMPORTRANGE(""https://docs.google.com/spreadsheets/d/"&amp;"1IbSCnFOKpZsnFogBHJnL_isstZVaOMnFiIN0fGTPZZw/edit?usp=sharing"",""สงขลา!N646"")+IMPORTRANGE(""https://docs.google.com/spreadsheets/d/1q9nWasZJ-K8bFGvbE9n0qSRuKGA4Toe3Y89cKCiVtCU/edit?usp=sharing"",""สตูล!N646"")+IMPORTRANGE(""https://docs.google.com/sprea"&amp;"dsheets/d/18T20gbkS_WBjdscyTOV05cvq_JqvqQ17C81mpxf7Ncs/edit?usp=sharing"",""สุราษฎร์ธานี!N646"")"),0)</f>
        <v>0</v>
      </c>
      <c r="O646" s="49">
        <f t="shared" ca="1" si="455"/>
        <v>0</v>
      </c>
      <c r="P646" s="49">
        <f t="shared" ca="1" si="456"/>
        <v>0</v>
      </c>
      <c r="Q646" s="49">
        <f ca="1">IFERROR(__xludf.DUMMYFUNCTION("IMPORTRANGE(""https://docs.google.com/spreadsheets/d/1kKUcYdkIfrgTSj8iHHHB2MD2FAtwyyocFgqGQn6ADyI/edit?usp=sharing"",""กระบี่!Q646"")+IMPORTRANGE(""https://docs.google.com/spreadsheets/d/1GwtLaSlNZkLk7iDqcyZz22giiy40b_usZZBXYciEN1U/edit?usp=sharing"",""ชุ"&amp;"มพร!Q646"")+IMPORTRANGE(""https://docs.google.com/spreadsheets/d/16pAz3pOhQEZBhvFNMa5KGgZS6iKWpsKX0pg6tQmwFpo/edit?usp=sharing"",""ตรัง!Q646"")+IMPORTRANGE(""https://docs.google.com/spreadsheets/d/1Dj4jcHCTV9JXKCaMoheSXS52JE63kDKyG7bPXnFogHk/edit?usp=shar"&amp;"ing"",""นครศรีธรรมราช!Q646"")+IMPORTRANGE(""https://docs.google.com/spreadsheets/d/1iodCdmuK2GR3jzUwk8tpccY2JHQQA-87DLOtJP-ooyU/edit?usp=sharing"",""นราธิวาส!Q646"")+IMPORTRANGE(""https://docs.google.com/spreadsheets/d/1SDNX3JhDdYRuIOsj0Wh2M-Qa_eaXl0NbWmh"&amp;"AOTbfQAs/edit?usp=sharing"",""ปัตตานี!Q646"")+IMPORTRANGE(""https://docs.google.com/spreadsheets/d/16JDLGguT8s5DsGCND1KcwHP_AWR_zDMTqLHPLJUKhaU/edit?usp=sharing"",""พังงา!Q646"")+IMPORTRANGE(""https://docs.google.com/spreadsheets/d/17ht0gPKzzT3PObBL1XJkeR"&amp;"mntBXI7wGjpLV7QorqlTk/edit?usp=sharing"",""พัทลุง!Q646"")+IMPORTRANGE(""https://docs.google.com/spreadsheets/d/1rd4qoM1q_hsgaolqNGfrim9gbsoLxQsda4-vOz5x_BM/edit?usp=sharing"",""ภูเก็ต!Q646"")+IMPORTRANGE(""https://docs.google.com/spreadsheets/d/1woKwKjgoL"&amp;"ssDvPcPeVyezB5izizAn4X1JDrys69n6xI/edit?usp=sharing"",""ยะลา!Q646"")+IMPORTRANGE(""https://docs.google.com/spreadsheets/d/1qfrKjzMhm2HJfxQ-qVlJlJQ25Hne1d0khsySbZyGtPA/edit?usp=sharing"",""ระนอง!Q646"")+IMPORTRANGE(""https://docs.google.com/spreadsheets/d/"&amp;"1IbSCnFOKpZsnFogBHJnL_isstZVaOMnFiIN0fGTPZZw/edit?usp=sharing"",""สงขลา!Q646"")+IMPORTRANGE(""https://docs.google.com/spreadsheets/d/1q9nWasZJ-K8bFGvbE9n0qSRuKGA4Toe3Y89cKCiVtCU/edit?usp=sharing"",""สตูล!Q646"")+IMPORTRANGE(""https://docs.google.com/sprea"&amp;"dsheets/d/18T20gbkS_WBjdscyTOV05cvq_JqvqQ17C81mpxf7Ncs/edit?usp=sharing"",""สุราษฎร์ธานี!Q646"")"),0)</f>
        <v>0</v>
      </c>
      <c r="R646" s="49">
        <f ca="1">IFERROR(__xludf.DUMMYFUNCTION("IMPORTRANGE(""https://docs.google.com/spreadsheets/d/1kKUcYdkIfrgTSj8iHHHB2MD2FAtwyyocFgqGQn6ADyI/edit?usp=sharing"",""กระบี่!R646"")+IMPORTRANGE(""https://docs.google.com/spreadsheets/d/1GwtLaSlNZkLk7iDqcyZz22giiy40b_usZZBXYciEN1U/edit?usp=sharing"",""ชุ"&amp;"มพร!R646"")+IMPORTRANGE(""https://docs.google.com/spreadsheets/d/16pAz3pOhQEZBhvFNMa5KGgZS6iKWpsKX0pg6tQmwFpo/edit?usp=sharing"",""ตรัง!R646"")+IMPORTRANGE(""https://docs.google.com/spreadsheets/d/1Dj4jcHCTV9JXKCaMoheSXS52JE63kDKyG7bPXnFogHk/edit?usp=shar"&amp;"ing"",""นครศรีธรรมราช!R646"")+IMPORTRANGE(""https://docs.google.com/spreadsheets/d/1iodCdmuK2GR3jzUwk8tpccY2JHQQA-87DLOtJP-ooyU/edit?usp=sharing"",""นราธิวาส!R646"")+IMPORTRANGE(""https://docs.google.com/spreadsheets/d/1SDNX3JhDdYRuIOsj0Wh2M-Qa_eaXl0NbWmh"&amp;"AOTbfQAs/edit?usp=sharing"",""ปัตตานี!R646"")+IMPORTRANGE(""https://docs.google.com/spreadsheets/d/16JDLGguT8s5DsGCND1KcwHP_AWR_zDMTqLHPLJUKhaU/edit?usp=sharing"",""พังงา!R646"")+IMPORTRANGE(""https://docs.google.com/spreadsheets/d/17ht0gPKzzT3PObBL1XJkeR"&amp;"mntBXI7wGjpLV7QorqlTk/edit?usp=sharing"",""พัทลุง!R646"")+IMPORTRANGE(""https://docs.google.com/spreadsheets/d/1rd4qoM1q_hsgaolqNGfrim9gbsoLxQsda4-vOz5x_BM/edit?usp=sharing"",""ภูเก็ต!R646"")+IMPORTRANGE(""https://docs.google.com/spreadsheets/d/1woKwKjgoL"&amp;"ssDvPcPeVyezB5izizAn4X1JDrys69n6xI/edit?usp=sharing"",""ยะลา!R646"")+IMPORTRANGE(""https://docs.google.com/spreadsheets/d/1qfrKjzMhm2HJfxQ-qVlJlJQ25Hne1d0khsySbZyGtPA/edit?usp=sharing"",""ระนอง!R646"")+IMPORTRANGE(""https://docs.google.com/spreadsheets/d/"&amp;"1IbSCnFOKpZsnFogBHJnL_isstZVaOMnFiIN0fGTPZZw/edit?usp=sharing"",""สงขลา!R646"")+IMPORTRANGE(""https://docs.google.com/spreadsheets/d/1q9nWasZJ-K8bFGvbE9n0qSRuKGA4Toe3Y89cKCiVtCU/edit?usp=sharing"",""สตูล!R646"")+IMPORTRANGE(""https://docs.google.com/sprea"&amp;"dsheets/d/18T20gbkS_WBjdscyTOV05cvq_JqvqQ17C81mpxf7Ncs/edit?usp=sharing"",""สุราษฎร์ธานี!R646"")"),0)</f>
        <v>0</v>
      </c>
      <c r="S646" s="49">
        <f ca="1">IFERROR(__xludf.DUMMYFUNCTION("IMPORTRANGE(""https://docs.google.com/spreadsheets/d/1kKUcYdkIfrgTSj8iHHHB2MD2FAtwyyocFgqGQn6ADyI/edit?usp=sharing"",""กระบี่!S646"")+IMPORTRANGE(""https://docs.google.com/spreadsheets/d/1GwtLaSlNZkLk7iDqcyZz22giiy40b_usZZBXYciEN1U/edit?usp=sharing"",""ชุ"&amp;"มพร!S646"")+IMPORTRANGE(""https://docs.google.com/spreadsheets/d/16pAz3pOhQEZBhvFNMa5KGgZS6iKWpsKX0pg6tQmwFpo/edit?usp=sharing"",""ตรัง!S646"")+IMPORTRANGE(""https://docs.google.com/spreadsheets/d/1Dj4jcHCTV9JXKCaMoheSXS52JE63kDKyG7bPXnFogHk/edit?usp=shar"&amp;"ing"",""นครศรีธรรมราช!S646"")+IMPORTRANGE(""https://docs.google.com/spreadsheets/d/1iodCdmuK2GR3jzUwk8tpccY2JHQQA-87DLOtJP-ooyU/edit?usp=sharing"",""นราธิวาส!S646"")+IMPORTRANGE(""https://docs.google.com/spreadsheets/d/1SDNX3JhDdYRuIOsj0Wh2M-Qa_eaXl0NbWmh"&amp;"AOTbfQAs/edit?usp=sharing"",""ปัตตานี!S646"")+IMPORTRANGE(""https://docs.google.com/spreadsheets/d/16JDLGguT8s5DsGCND1KcwHP_AWR_zDMTqLHPLJUKhaU/edit?usp=sharing"",""พังงา!S646"")+IMPORTRANGE(""https://docs.google.com/spreadsheets/d/17ht0gPKzzT3PObBL1XJkeR"&amp;"mntBXI7wGjpLV7QorqlTk/edit?usp=sharing"",""พัทลุง!S646"")+IMPORTRANGE(""https://docs.google.com/spreadsheets/d/1rd4qoM1q_hsgaolqNGfrim9gbsoLxQsda4-vOz5x_BM/edit?usp=sharing"",""ภูเก็ต!S646"")+IMPORTRANGE(""https://docs.google.com/spreadsheets/d/1woKwKjgoL"&amp;"ssDvPcPeVyezB5izizAn4X1JDrys69n6xI/edit?usp=sharing"",""ยะลา!S646"")+IMPORTRANGE(""https://docs.google.com/spreadsheets/d/1qfrKjzMhm2HJfxQ-qVlJlJQ25Hne1d0khsySbZyGtPA/edit?usp=sharing"",""ระนอง!S646"")+IMPORTRANGE(""https://docs.google.com/spreadsheets/d/"&amp;"1IbSCnFOKpZsnFogBHJnL_isstZVaOMnFiIN0fGTPZZw/edit?usp=sharing"",""สงขลา!S646"")+IMPORTRANGE(""https://docs.google.com/spreadsheets/d/1q9nWasZJ-K8bFGvbE9n0qSRuKGA4Toe3Y89cKCiVtCU/edit?usp=sharing"",""สตูล!S646"")+IMPORTRANGE(""https://docs.google.com/sprea"&amp;"dsheets/d/18T20gbkS_WBjdscyTOV05cvq_JqvqQ17C81mpxf7Ncs/edit?usp=sharing"",""สุราษฎร์ธานี!S646"")"),0)</f>
        <v>0</v>
      </c>
      <c r="T646" s="49">
        <f t="shared" ca="1" si="458"/>
        <v>0</v>
      </c>
      <c r="U646" s="49">
        <f t="shared" ca="1" si="459"/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7">
        <f ca="1">IFERROR(__xludf.DUMMYFUNCTION("IMPORTRANGE(""https://docs.google.com/spreadsheets/d/1kKUcYdkIfrgTSj8iHHHB2MD2FAtwyyocFgqGQn6ADyI/edit?usp=sharing"",""กระบี่!L647"")+IMPORTRANGE(""https://docs.google.com/spreadsheets/d/1GwtLaSlNZkLk7iDqcyZz22giiy40b_usZZBXYciEN1U/edit?usp=sharing"",""ชุ"&amp;"มพร!L647"")+IMPORTRANGE(""https://docs.google.com/spreadsheets/d/16pAz3pOhQEZBhvFNMa5KGgZS6iKWpsKX0pg6tQmwFpo/edit?usp=sharing"",""ตรัง!L647"")+IMPORTRANGE(""https://docs.google.com/spreadsheets/d/1Dj4jcHCTV9JXKCaMoheSXS52JE63kDKyG7bPXnFogHk/edit?usp=shar"&amp;"ing"",""นครศรีธรรมราช!L647"")+IMPORTRANGE(""https://docs.google.com/spreadsheets/d/1iodCdmuK2GR3jzUwk8tpccY2JHQQA-87DLOtJP-ooyU/edit?usp=sharing"",""นราธิวาส!L647"")+IMPORTRANGE(""https://docs.google.com/spreadsheets/d/1SDNX3JhDdYRuIOsj0Wh2M-Qa_eaXl0NbWmh"&amp;"AOTbfQAs/edit?usp=sharing"",""ปัตตานี!L647"")+IMPORTRANGE(""https://docs.google.com/spreadsheets/d/16JDLGguT8s5DsGCND1KcwHP_AWR_zDMTqLHPLJUKhaU/edit?usp=sharing"",""พังงา!L647"")+IMPORTRANGE(""https://docs.google.com/spreadsheets/d/17ht0gPKzzT3PObBL1XJkeR"&amp;"mntBXI7wGjpLV7QorqlTk/edit?usp=sharing"",""พัทลุง!L647"")+IMPORTRANGE(""https://docs.google.com/spreadsheets/d/1rd4qoM1q_hsgaolqNGfrim9gbsoLxQsda4-vOz5x_BM/edit?usp=sharing"",""ภูเก็ต!L647"")+IMPORTRANGE(""https://docs.google.com/spreadsheets/d/1woKwKjgoL"&amp;"ssDvPcPeVyezB5izizAn4X1JDrys69n6xI/edit?usp=sharing"",""ยะลา!L647"")+IMPORTRANGE(""https://docs.google.com/spreadsheets/d/1qfrKjzMhm2HJfxQ-qVlJlJQ25Hne1d0khsySbZyGtPA/edit?usp=sharing"",""ระนอง!L647"")+IMPORTRANGE(""https://docs.google.com/spreadsheets/d/"&amp;"1IbSCnFOKpZsnFogBHJnL_isstZVaOMnFiIN0fGTPZZw/edit?usp=sharing"",""สงขลา!L647"")+IMPORTRANGE(""https://docs.google.com/spreadsheets/d/1q9nWasZJ-K8bFGvbE9n0qSRuKGA4Toe3Y89cKCiVtCU/edit?usp=sharing"",""สตูล!L647"")+IMPORTRANGE(""https://docs.google.com/sprea"&amp;"dsheets/d/18T20gbkS_WBjdscyTOV05cvq_JqvqQ17C81mpxf7Ncs/edit?usp=sharing"",""สุราษฎร์ธานี!L647"")"),0)</f>
        <v>0</v>
      </c>
      <c r="M647" s="47">
        <f ca="1">IFERROR(__xludf.DUMMYFUNCTION("IMPORTRANGE(""https://docs.google.com/spreadsheets/d/1kKUcYdkIfrgTSj8iHHHB2MD2FAtwyyocFgqGQn6ADyI/edit?usp=sharing"",""กระบี่!M647"")+IMPORTRANGE(""https://docs.google.com/spreadsheets/d/1GwtLaSlNZkLk7iDqcyZz22giiy40b_usZZBXYciEN1U/edit?usp=sharing"",""ชุ"&amp;"มพร!M647"")+IMPORTRANGE(""https://docs.google.com/spreadsheets/d/16pAz3pOhQEZBhvFNMa5KGgZS6iKWpsKX0pg6tQmwFpo/edit?usp=sharing"",""ตรัง!M647"")+IMPORTRANGE(""https://docs.google.com/spreadsheets/d/1Dj4jcHCTV9JXKCaMoheSXS52JE63kDKyG7bPXnFogHk/edit?usp=shar"&amp;"ing"",""นครศรีธรรมราช!M647"")+IMPORTRANGE(""https://docs.google.com/spreadsheets/d/1iodCdmuK2GR3jzUwk8tpccY2JHQQA-87DLOtJP-ooyU/edit?usp=sharing"",""นราธิวาส!M647"")+IMPORTRANGE(""https://docs.google.com/spreadsheets/d/1SDNX3JhDdYRuIOsj0Wh2M-Qa_eaXl0NbWmh"&amp;"AOTbfQAs/edit?usp=sharing"",""ปัตตานี!M647"")+IMPORTRANGE(""https://docs.google.com/spreadsheets/d/16JDLGguT8s5DsGCND1KcwHP_AWR_zDMTqLHPLJUKhaU/edit?usp=sharing"",""พังงา!M647"")+IMPORTRANGE(""https://docs.google.com/spreadsheets/d/17ht0gPKzzT3PObBL1XJkeR"&amp;"mntBXI7wGjpLV7QorqlTk/edit?usp=sharing"",""พัทลุง!M647"")+IMPORTRANGE(""https://docs.google.com/spreadsheets/d/1rd4qoM1q_hsgaolqNGfrim9gbsoLxQsda4-vOz5x_BM/edit?usp=sharing"",""ภูเก็ต!M647"")+IMPORTRANGE(""https://docs.google.com/spreadsheets/d/1woKwKjgoL"&amp;"ssDvPcPeVyezB5izizAn4X1JDrys69n6xI/edit?usp=sharing"",""ยะลา!M647"")+IMPORTRANGE(""https://docs.google.com/spreadsheets/d/1qfrKjzMhm2HJfxQ-qVlJlJQ25Hne1d0khsySbZyGtPA/edit?usp=sharing"",""ระนอง!M647"")+IMPORTRANGE(""https://docs.google.com/spreadsheets/d/"&amp;"1IbSCnFOKpZsnFogBHJnL_isstZVaOMnFiIN0fGTPZZw/edit?usp=sharing"",""สงขลา!M647"")+IMPORTRANGE(""https://docs.google.com/spreadsheets/d/1q9nWasZJ-K8bFGvbE9n0qSRuKGA4Toe3Y89cKCiVtCU/edit?usp=sharing"",""สตูล!M647"")+IMPORTRANGE(""https://docs.google.com/sprea"&amp;"dsheets/d/18T20gbkS_WBjdscyTOV05cvq_JqvqQ17C81mpxf7Ncs/edit?usp=sharing"",""สุราษฎร์ธานี!M647"")"),0)</f>
        <v>0</v>
      </c>
      <c r="N647" s="47">
        <f ca="1">IFERROR(__xludf.DUMMYFUNCTION("IMPORTRANGE(""https://docs.google.com/spreadsheets/d/1kKUcYdkIfrgTSj8iHHHB2MD2FAtwyyocFgqGQn6ADyI/edit?usp=sharing"",""กระบี่!N647"")+IMPORTRANGE(""https://docs.google.com/spreadsheets/d/1GwtLaSlNZkLk7iDqcyZz22giiy40b_usZZBXYciEN1U/edit?usp=sharing"",""ชุ"&amp;"มพร!N647"")+IMPORTRANGE(""https://docs.google.com/spreadsheets/d/16pAz3pOhQEZBhvFNMa5KGgZS6iKWpsKX0pg6tQmwFpo/edit?usp=sharing"",""ตรัง!N647"")+IMPORTRANGE(""https://docs.google.com/spreadsheets/d/1Dj4jcHCTV9JXKCaMoheSXS52JE63kDKyG7bPXnFogHk/edit?usp=shar"&amp;"ing"",""นครศรีธรรมราช!N647"")+IMPORTRANGE(""https://docs.google.com/spreadsheets/d/1iodCdmuK2GR3jzUwk8tpccY2JHQQA-87DLOtJP-ooyU/edit?usp=sharing"",""นราธิวาส!N647"")+IMPORTRANGE(""https://docs.google.com/spreadsheets/d/1SDNX3JhDdYRuIOsj0Wh2M-Qa_eaXl0NbWmh"&amp;"AOTbfQAs/edit?usp=sharing"",""ปัตตานี!N647"")+IMPORTRANGE(""https://docs.google.com/spreadsheets/d/16JDLGguT8s5DsGCND1KcwHP_AWR_zDMTqLHPLJUKhaU/edit?usp=sharing"",""พังงา!N647"")+IMPORTRANGE(""https://docs.google.com/spreadsheets/d/17ht0gPKzzT3PObBL1XJkeR"&amp;"mntBXI7wGjpLV7QorqlTk/edit?usp=sharing"",""พัทลุง!N647"")+IMPORTRANGE(""https://docs.google.com/spreadsheets/d/1rd4qoM1q_hsgaolqNGfrim9gbsoLxQsda4-vOz5x_BM/edit?usp=sharing"",""ภูเก็ต!N647"")+IMPORTRANGE(""https://docs.google.com/spreadsheets/d/1woKwKjgoL"&amp;"ssDvPcPeVyezB5izizAn4X1JDrys69n6xI/edit?usp=sharing"",""ยะลา!N647"")+IMPORTRANGE(""https://docs.google.com/spreadsheets/d/1qfrKjzMhm2HJfxQ-qVlJlJQ25Hne1d0khsySbZyGtPA/edit?usp=sharing"",""ระนอง!N647"")+IMPORTRANGE(""https://docs.google.com/spreadsheets/d/"&amp;"1IbSCnFOKpZsnFogBHJnL_isstZVaOMnFiIN0fGTPZZw/edit?usp=sharing"",""สงขลา!N647"")+IMPORTRANGE(""https://docs.google.com/spreadsheets/d/1q9nWasZJ-K8bFGvbE9n0qSRuKGA4Toe3Y89cKCiVtCU/edit?usp=sharing"",""สตูล!N647"")+IMPORTRANGE(""https://docs.google.com/sprea"&amp;"dsheets/d/18T20gbkS_WBjdscyTOV05cvq_JqvqQ17C81mpxf7Ncs/edit?usp=sharing"",""สุราษฎร์ธานี!N647"")"),0)</f>
        <v>0</v>
      </c>
      <c r="O647" s="47">
        <f t="shared" ca="1" si="455"/>
        <v>0</v>
      </c>
      <c r="P647" s="47">
        <f t="shared" ca="1" si="456"/>
        <v>0</v>
      </c>
      <c r="Q647" s="47">
        <f ca="1">IFERROR(__xludf.DUMMYFUNCTION("IMPORTRANGE(""https://docs.google.com/spreadsheets/d/1kKUcYdkIfrgTSj8iHHHB2MD2FAtwyyocFgqGQn6ADyI/edit?usp=sharing"",""กระบี่!Q647"")+IMPORTRANGE(""https://docs.google.com/spreadsheets/d/1GwtLaSlNZkLk7iDqcyZz22giiy40b_usZZBXYciEN1U/edit?usp=sharing"",""ชุ"&amp;"มพร!Q647"")+IMPORTRANGE(""https://docs.google.com/spreadsheets/d/16pAz3pOhQEZBhvFNMa5KGgZS6iKWpsKX0pg6tQmwFpo/edit?usp=sharing"",""ตรัง!Q647"")+IMPORTRANGE(""https://docs.google.com/spreadsheets/d/1Dj4jcHCTV9JXKCaMoheSXS52JE63kDKyG7bPXnFogHk/edit?usp=shar"&amp;"ing"",""นครศรีธรรมราช!Q647"")+IMPORTRANGE(""https://docs.google.com/spreadsheets/d/1iodCdmuK2GR3jzUwk8tpccY2JHQQA-87DLOtJP-ooyU/edit?usp=sharing"",""นราธิวาส!Q647"")+IMPORTRANGE(""https://docs.google.com/spreadsheets/d/1SDNX3JhDdYRuIOsj0Wh2M-Qa_eaXl0NbWmh"&amp;"AOTbfQAs/edit?usp=sharing"",""ปัตตานี!Q647"")+IMPORTRANGE(""https://docs.google.com/spreadsheets/d/16JDLGguT8s5DsGCND1KcwHP_AWR_zDMTqLHPLJUKhaU/edit?usp=sharing"",""พังงา!Q647"")+IMPORTRANGE(""https://docs.google.com/spreadsheets/d/17ht0gPKzzT3PObBL1XJkeR"&amp;"mntBXI7wGjpLV7QorqlTk/edit?usp=sharing"",""พัทลุง!Q647"")+IMPORTRANGE(""https://docs.google.com/spreadsheets/d/1rd4qoM1q_hsgaolqNGfrim9gbsoLxQsda4-vOz5x_BM/edit?usp=sharing"",""ภูเก็ต!Q647"")+IMPORTRANGE(""https://docs.google.com/spreadsheets/d/1woKwKjgoL"&amp;"ssDvPcPeVyezB5izizAn4X1JDrys69n6xI/edit?usp=sharing"",""ยะลา!Q647"")+IMPORTRANGE(""https://docs.google.com/spreadsheets/d/1qfrKjzMhm2HJfxQ-qVlJlJQ25Hne1d0khsySbZyGtPA/edit?usp=sharing"",""ระนอง!Q647"")+IMPORTRANGE(""https://docs.google.com/spreadsheets/d/"&amp;"1IbSCnFOKpZsnFogBHJnL_isstZVaOMnFiIN0fGTPZZw/edit?usp=sharing"",""สงขลา!Q647"")+IMPORTRANGE(""https://docs.google.com/spreadsheets/d/1q9nWasZJ-K8bFGvbE9n0qSRuKGA4Toe3Y89cKCiVtCU/edit?usp=sharing"",""สตูล!Q647"")+IMPORTRANGE(""https://docs.google.com/sprea"&amp;"dsheets/d/18T20gbkS_WBjdscyTOV05cvq_JqvqQ17C81mpxf7Ncs/edit?usp=sharing"",""สุราษฎร์ธานี!Q647"")"),8200)</f>
        <v>8200</v>
      </c>
      <c r="R647" s="47">
        <f ca="1">IFERROR(__xludf.DUMMYFUNCTION("IMPORTRANGE(""https://docs.google.com/spreadsheets/d/1kKUcYdkIfrgTSj8iHHHB2MD2FAtwyyocFgqGQn6ADyI/edit?usp=sharing"",""กระบี่!R647"")+IMPORTRANGE(""https://docs.google.com/spreadsheets/d/1GwtLaSlNZkLk7iDqcyZz22giiy40b_usZZBXYciEN1U/edit?usp=sharing"",""ชุ"&amp;"มพร!R647"")+IMPORTRANGE(""https://docs.google.com/spreadsheets/d/16pAz3pOhQEZBhvFNMa5KGgZS6iKWpsKX0pg6tQmwFpo/edit?usp=sharing"",""ตรัง!R647"")+IMPORTRANGE(""https://docs.google.com/spreadsheets/d/1Dj4jcHCTV9JXKCaMoheSXS52JE63kDKyG7bPXnFogHk/edit?usp=shar"&amp;"ing"",""นครศรีธรรมราช!R647"")+IMPORTRANGE(""https://docs.google.com/spreadsheets/d/1iodCdmuK2GR3jzUwk8tpccY2JHQQA-87DLOtJP-ooyU/edit?usp=sharing"",""นราธิวาส!R647"")+IMPORTRANGE(""https://docs.google.com/spreadsheets/d/1SDNX3JhDdYRuIOsj0Wh2M-Qa_eaXl0NbWmh"&amp;"AOTbfQAs/edit?usp=sharing"",""ปัตตานี!R647"")+IMPORTRANGE(""https://docs.google.com/spreadsheets/d/16JDLGguT8s5DsGCND1KcwHP_AWR_zDMTqLHPLJUKhaU/edit?usp=sharing"",""พังงา!R647"")+IMPORTRANGE(""https://docs.google.com/spreadsheets/d/17ht0gPKzzT3PObBL1XJkeR"&amp;"mntBXI7wGjpLV7QorqlTk/edit?usp=sharing"",""พัทลุง!R647"")+IMPORTRANGE(""https://docs.google.com/spreadsheets/d/1rd4qoM1q_hsgaolqNGfrim9gbsoLxQsda4-vOz5x_BM/edit?usp=sharing"",""ภูเก็ต!R647"")+IMPORTRANGE(""https://docs.google.com/spreadsheets/d/1woKwKjgoL"&amp;"ssDvPcPeVyezB5izizAn4X1JDrys69n6xI/edit?usp=sharing"",""ยะลา!R647"")+IMPORTRANGE(""https://docs.google.com/spreadsheets/d/1qfrKjzMhm2HJfxQ-qVlJlJQ25Hne1d0khsySbZyGtPA/edit?usp=sharing"",""ระนอง!R647"")+IMPORTRANGE(""https://docs.google.com/spreadsheets/d/"&amp;"1IbSCnFOKpZsnFogBHJnL_isstZVaOMnFiIN0fGTPZZw/edit?usp=sharing"",""สงขลา!R647"")+IMPORTRANGE(""https://docs.google.com/spreadsheets/d/1q9nWasZJ-K8bFGvbE9n0qSRuKGA4Toe3Y89cKCiVtCU/edit?usp=sharing"",""สตูล!R647"")+IMPORTRANGE(""https://docs.google.com/sprea"&amp;"dsheets/d/18T20gbkS_WBjdscyTOV05cvq_JqvqQ17C81mpxf7Ncs/edit?usp=sharing"",""สุราษฎร์ธานี!R647"")"),8200)</f>
        <v>8200</v>
      </c>
      <c r="S647" s="47">
        <f ca="1">IFERROR(__xludf.DUMMYFUNCTION("IMPORTRANGE(""https://docs.google.com/spreadsheets/d/1kKUcYdkIfrgTSj8iHHHB2MD2FAtwyyocFgqGQn6ADyI/edit?usp=sharing"",""กระบี่!S647"")+IMPORTRANGE(""https://docs.google.com/spreadsheets/d/1GwtLaSlNZkLk7iDqcyZz22giiy40b_usZZBXYciEN1U/edit?usp=sharing"",""ชุ"&amp;"มพร!S647"")+IMPORTRANGE(""https://docs.google.com/spreadsheets/d/16pAz3pOhQEZBhvFNMa5KGgZS6iKWpsKX0pg6tQmwFpo/edit?usp=sharing"",""ตรัง!S647"")+IMPORTRANGE(""https://docs.google.com/spreadsheets/d/1Dj4jcHCTV9JXKCaMoheSXS52JE63kDKyG7bPXnFogHk/edit?usp=shar"&amp;"ing"",""นครศรีธรรมราช!S647"")+IMPORTRANGE(""https://docs.google.com/spreadsheets/d/1iodCdmuK2GR3jzUwk8tpccY2JHQQA-87DLOtJP-ooyU/edit?usp=sharing"",""นราธิวาส!S647"")+IMPORTRANGE(""https://docs.google.com/spreadsheets/d/1SDNX3JhDdYRuIOsj0Wh2M-Qa_eaXl0NbWmh"&amp;"AOTbfQAs/edit?usp=sharing"",""ปัตตานี!S647"")+IMPORTRANGE(""https://docs.google.com/spreadsheets/d/16JDLGguT8s5DsGCND1KcwHP_AWR_zDMTqLHPLJUKhaU/edit?usp=sharing"",""พังงา!S647"")+IMPORTRANGE(""https://docs.google.com/spreadsheets/d/17ht0gPKzzT3PObBL1XJkeR"&amp;"mntBXI7wGjpLV7QorqlTk/edit?usp=sharing"",""พัทลุง!S647"")+IMPORTRANGE(""https://docs.google.com/spreadsheets/d/1rd4qoM1q_hsgaolqNGfrim9gbsoLxQsda4-vOz5x_BM/edit?usp=sharing"",""ภูเก็ต!S647"")+IMPORTRANGE(""https://docs.google.com/spreadsheets/d/1woKwKjgoL"&amp;"ssDvPcPeVyezB5izizAn4X1JDrys69n6xI/edit?usp=sharing"",""ยะลา!S647"")+IMPORTRANGE(""https://docs.google.com/spreadsheets/d/1qfrKjzMhm2HJfxQ-qVlJlJQ25Hne1d0khsySbZyGtPA/edit?usp=sharing"",""ระนอง!S647"")+IMPORTRANGE(""https://docs.google.com/spreadsheets/d/"&amp;"1IbSCnFOKpZsnFogBHJnL_isstZVaOMnFiIN0fGTPZZw/edit?usp=sharing"",""สงขลา!S647"")+IMPORTRANGE(""https://docs.google.com/spreadsheets/d/1q9nWasZJ-K8bFGvbE9n0qSRuKGA4Toe3Y89cKCiVtCU/edit?usp=sharing"",""สตูล!S647"")+IMPORTRANGE(""https://docs.google.com/sprea"&amp;"dsheets/d/18T20gbkS_WBjdscyTOV05cvq_JqvqQ17C81mpxf7Ncs/edit?usp=sharing"",""สุราษฎร์ธานี!S647"")"),0)</f>
        <v>0</v>
      </c>
      <c r="T647" s="47">
        <f t="shared" ca="1" si="458"/>
        <v>0</v>
      </c>
      <c r="U647" s="47">
        <f t="shared" ca="1" si="459"/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7">
        <f t="shared" ref="L648:N648" ca="1" si="466">L649+L650</f>
        <v>0</v>
      </c>
      <c r="M648" s="47">
        <f t="shared" ca="1" si="466"/>
        <v>0</v>
      </c>
      <c r="N648" s="47">
        <f t="shared" ca="1" si="466"/>
        <v>0</v>
      </c>
      <c r="O648" s="47">
        <f t="shared" ca="1" si="455"/>
        <v>0</v>
      </c>
      <c r="P648" s="47">
        <f t="shared" ca="1" si="456"/>
        <v>0</v>
      </c>
      <c r="Q648" s="47">
        <f t="shared" ref="Q648:S648" ca="1" si="467">Q649+Q650</f>
        <v>0</v>
      </c>
      <c r="R648" s="47">
        <f t="shared" ca="1" si="467"/>
        <v>0</v>
      </c>
      <c r="S648" s="47">
        <f t="shared" ca="1" si="467"/>
        <v>0</v>
      </c>
      <c r="T648" s="47">
        <f t="shared" ca="1" si="458"/>
        <v>0</v>
      </c>
      <c r="U648" s="47">
        <f t="shared" ca="1" si="459"/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9">
        <f ca="1">IFERROR(__xludf.DUMMYFUNCTION("IMPORTRANGE(""https://docs.google.com/spreadsheets/d/1kKUcYdkIfrgTSj8iHHHB2MD2FAtwyyocFgqGQn6ADyI/edit?usp=sharing"",""กระบี่!L649"")+IMPORTRANGE(""https://docs.google.com/spreadsheets/d/1GwtLaSlNZkLk7iDqcyZz22giiy40b_usZZBXYciEN1U/edit?usp=sharing"",""ชุ"&amp;"มพร!L649"")+IMPORTRANGE(""https://docs.google.com/spreadsheets/d/16pAz3pOhQEZBhvFNMa5KGgZS6iKWpsKX0pg6tQmwFpo/edit?usp=sharing"",""ตรัง!L649"")+IMPORTRANGE(""https://docs.google.com/spreadsheets/d/1Dj4jcHCTV9JXKCaMoheSXS52JE63kDKyG7bPXnFogHk/edit?usp=shar"&amp;"ing"",""นครศรีธรรมราช!L649"")+IMPORTRANGE(""https://docs.google.com/spreadsheets/d/1iodCdmuK2GR3jzUwk8tpccY2JHQQA-87DLOtJP-ooyU/edit?usp=sharing"",""นราธิวาส!L649"")+IMPORTRANGE(""https://docs.google.com/spreadsheets/d/1SDNX3JhDdYRuIOsj0Wh2M-Qa_eaXl0NbWmh"&amp;"AOTbfQAs/edit?usp=sharing"",""ปัตตานี!L649"")+IMPORTRANGE(""https://docs.google.com/spreadsheets/d/16JDLGguT8s5DsGCND1KcwHP_AWR_zDMTqLHPLJUKhaU/edit?usp=sharing"",""พังงา!L649"")+IMPORTRANGE(""https://docs.google.com/spreadsheets/d/17ht0gPKzzT3PObBL1XJkeR"&amp;"mntBXI7wGjpLV7QorqlTk/edit?usp=sharing"",""พัทลุง!L649"")+IMPORTRANGE(""https://docs.google.com/spreadsheets/d/1rd4qoM1q_hsgaolqNGfrim9gbsoLxQsda4-vOz5x_BM/edit?usp=sharing"",""ภูเก็ต!L649"")+IMPORTRANGE(""https://docs.google.com/spreadsheets/d/1woKwKjgoL"&amp;"ssDvPcPeVyezB5izizAn4X1JDrys69n6xI/edit?usp=sharing"",""ยะลา!L649"")+IMPORTRANGE(""https://docs.google.com/spreadsheets/d/1qfrKjzMhm2HJfxQ-qVlJlJQ25Hne1d0khsySbZyGtPA/edit?usp=sharing"",""ระนอง!L649"")+IMPORTRANGE(""https://docs.google.com/spreadsheets/d/"&amp;"1IbSCnFOKpZsnFogBHJnL_isstZVaOMnFiIN0fGTPZZw/edit?usp=sharing"",""สงขลา!L649"")+IMPORTRANGE(""https://docs.google.com/spreadsheets/d/1q9nWasZJ-K8bFGvbE9n0qSRuKGA4Toe3Y89cKCiVtCU/edit?usp=sharing"",""สตูล!L649"")+IMPORTRANGE(""https://docs.google.com/sprea"&amp;"dsheets/d/18T20gbkS_WBjdscyTOV05cvq_JqvqQ17C81mpxf7Ncs/edit?usp=sharing"",""สุราษฎร์ธานี!L649"")"),0)</f>
        <v>0</v>
      </c>
      <c r="M649" s="49">
        <f ca="1">IFERROR(__xludf.DUMMYFUNCTION("IMPORTRANGE(""https://docs.google.com/spreadsheets/d/1kKUcYdkIfrgTSj8iHHHB2MD2FAtwyyocFgqGQn6ADyI/edit?usp=sharing"",""กระบี่!M649"")+IMPORTRANGE(""https://docs.google.com/spreadsheets/d/1GwtLaSlNZkLk7iDqcyZz22giiy40b_usZZBXYciEN1U/edit?usp=sharing"",""ชุ"&amp;"มพร!M649"")+IMPORTRANGE(""https://docs.google.com/spreadsheets/d/16pAz3pOhQEZBhvFNMa5KGgZS6iKWpsKX0pg6tQmwFpo/edit?usp=sharing"",""ตรัง!M649"")+IMPORTRANGE(""https://docs.google.com/spreadsheets/d/1Dj4jcHCTV9JXKCaMoheSXS52JE63kDKyG7bPXnFogHk/edit?usp=shar"&amp;"ing"",""นครศรีธรรมราช!M649"")+IMPORTRANGE(""https://docs.google.com/spreadsheets/d/1iodCdmuK2GR3jzUwk8tpccY2JHQQA-87DLOtJP-ooyU/edit?usp=sharing"",""นราธิวาส!M649"")+IMPORTRANGE(""https://docs.google.com/spreadsheets/d/1SDNX3JhDdYRuIOsj0Wh2M-Qa_eaXl0NbWmh"&amp;"AOTbfQAs/edit?usp=sharing"",""ปัตตานี!M649"")+IMPORTRANGE(""https://docs.google.com/spreadsheets/d/16JDLGguT8s5DsGCND1KcwHP_AWR_zDMTqLHPLJUKhaU/edit?usp=sharing"",""พังงา!M649"")+IMPORTRANGE(""https://docs.google.com/spreadsheets/d/17ht0gPKzzT3PObBL1XJkeR"&amp;"mntBXI7wGjpLV7QorqlTk/edit?usp=sharing"",""พัทลุง!M649"")+IMPORTRANGE(""https://docs.google.com/spreadsheets/d/1rd4qoM1q_hsgaolqNGfrim9gbsoLxQsda4-vOz5x_BM/edit?usp=sharing"",""ภูเก็ต!M649"")+IMPORTRANGE(""https://docs.google.com/spreadsheets/d/1woKwKjgoL"&amp;"ssDvPcPeVyezB5izizAn4X1JDrys69n6xI/edit?usp=sharing"",""ยะลา!M649"")+IMPORTRANGE(""https://docs.google.com/spreadsheets/d/1qfrKjzMhm2HJfxQ-qVlJlJQ25Hne1d0khsySbZyGtPA/edit?usp=sharing"",""ระนอง!M649"")+IMPORTRANGE(""https://docs.google.com/spreadsheets/d/"&amp;"1IbSCnFOKpZsnFogBHJnL_isstZVaOMnFiIN0fGTPZZw/edit?usp=sharing"",""สงขลา!M649"")+IMPORTRANGE(""https://docs.google.com/spreadsheets/d/1q9nWasZJ-K8bFGvbE9n0qSRuKGA4Toe3Y89cKCiVtCU/edit?usp=sharing"",""สตูล!M649"")+IMPORTRANGE(""https://docs.google.com/sprea"&amp;"dsheets/d/18T20gbkS_WBjdscyTOV05cvq_JqvqQ17C81mpxf7Ncs/edit?usp=sharing"",""สุราษฎร์ธานี!M649"")"),0)</f>
        <v>0</v>
      </c>
      <c r="N649" s="49">
        <f ca="1">IFERROR(__xludf.DUMMYFUNCTION("IMPORTRANGE(""https://docs.google.com/spreadsheets/d/1kKUcYdkIfrgTSj8iHHHB2MD2FAtwyyocFgqGQn6ADyI/edit?usp=sharing"",""กระบี่!N649"")+IMPORTRANGE(""https://docs.google.com/spreadsheets/d/1GwtLaSlNZkLk7iDqcyZz22giiy40b_usZZBXYciEN1U/edit?usp=sharing"",""ชุ"&amp;"มพร!N649"")+IMPORTRANGE(""https://docs.google.com/spreadsheets/d/16pAz3pOhQEZBhvFNMa5KGgZS6iKWpsKX0pg6tQmwFpo/edit?usp=sharing"",""ตรัง!N649"")+IMPORTRANGE(""https://docs.google.com/spreadsheets/d/1Dj4jcHCTV9JXKCaMoheSXS52JE63kDKyG7bPXnFogHk/edit?usp=shar"&amp;"ing"",""นครศรีธรรมราช!N649"")+IMPORTRANGE(""https://docs.google.com/spreadsheets/d/1iodCdmuK2GR3jzUwk8tpccY2JHQQA-87DLOtJP-ooyU/edit?usp=sharing"",""นราธิวาส!N649"")+IMPORTRANGE(""https://docs.google.com/spreadsheets/d/1SDNX3JhDdYRuIOsj0Wh2M-Qa_eaXl0NbWmh"&amp;"AOTbfQAs/edit?usp=sharing"",""ปัตตานี!N649"")+IMPORTRANGE(""https://docs.google.com/spreadsheets/d/16JDLGguT8s5DsGCND1KcwHP_AWR_zDMTqLHPLJUKhaU/edit?usp=sharing"",""พังงา!N649"")+IMPORTRANGE(""https://docs.google.com/spreadsheets/d/17ht0gPKzzT3PObBL1XJkeR"&amp;"mntBXI7wGjpLV7QorqlTk/edit?usp=sharing"",""พัทลุง!N649"")+IMPORTRANGE(""https://docs.google.com/spreadsheets/d/1rd4qoM1q_hsgaolqNGfrim9gbsoLxQsda4-vOz5x_BM/edit?usp=sharing"",""ภูเก็ต!N649"")+IMPORTRANGE(""https://docs.google.com/spreadsheets/d/1woKwKjgoL"&amp;"ssDvPcPeVyezB5izizAn4X1JDrys69n6xI/edit?usp=sharing"",""ยะลา!N649"")+IMPORTRANGE(""https://docs.google.com/spreadsheets/d/1qfrKjzMhm2HJfxQ-qVlJlJQ25Hne1d0khsySbZyGtPA/edit?usp=sharing"",""ระนอง!N649"")+IMPORTRANGE(""https://docs.google.com/spreadsheets/d/"&amp;"1IbSCnFOKpZsnFogBHJnL_isstZVaOMnFiIN0fGTPZZw/edit?usp=sharing"",""สงขลา!N649"")+IMPORTRANGE(""https://docs.google.com/spreadsheets/d/1q9nWasZJ-K8bFGvbE9n0qSRuKGA4Toe3Y89cKCiVtCU/edit?usp=sharing"",""สตูล!N649"")+IMPORTRANGE(""https://docs.google.com/sprea"&amp;"dsheets/d/18T20gbkS_WBjdscyTOV05cvq_JqvqQ17C81mpxf7Ncs/edit?usp=sharing"",""สุราษฎร์ธานี!N649"")"),0)</f>
        <v>0</v>
      </c>
      <c r="O649" s="49">
        <f t="shared" ca="1" si="455"/>
        <v>0</v>
      </c>
      <c r="P649" s="49">
        <f t="shared" ca="1" si="456"/>
        <v>0</v>
      </c>
      <c r="Q649" s="49">
        <f ca="1">IFERROR(__xludf.DUMMYFUNCTION("IMPORTRANGE(""https://docs.google.com/spreadsheets/d/1kKUcYdkIfrgTSj8iHHHB2MD2FAtwyyocFgqGQn6ADyI/edit?usp=sharing"",""กระบี่!Q649"")+IMPORTRANGE(""https://docs.google.com/spreadsheets/d/1GwtLaSlNZkLk7iDqcyZz22giiy40b_usZZBXYciEN1U/edit?usp=sharing"",""ชุ"&amp;"มพร!Q649"")+IMPORTRANGE(""https://docs.google.com/spreadsheets/d/16pAz3pOhQEZBhvFNMa5KGgZS6iKWpsKX0pg6tQmwFpo/edit?usp=sharing"",""ตรัง!Q649"")+IMPORTRANGE(""https://docs.google.com/spreadsheets/d/1Dj4jcHCTV9JXKCaMoheSXS52JE63kDKyG7bPXnFogHk/edit?usp=shar"&amp;"ing"",""นครศรีธรรมราช!Q649"")+IMPORTRANGE(""https://docs.google.com/spreadsheets/d/1iodCdmuK2GR3jzUwk8tpccY2JHQQA-87DLOtJP-ooyU/edit?usp=sharing"",""นราธิวาส!Q649"")+IMPORTRANGE(""https://docs.google.com/spreadsheets/d/1SDNX3JhDdYRuIOsj0Wh2M-Qa_eaXl0NbWmh"&amp;"AOTbfQAs/edit?usp=sharing"",""ปัตตานี!Q649"")+IMPORTRANGE(""https://docs.google.com/spreadsheets/d/16JDLGguT8s5DsGCND1KcwHP_AWR_zDMTqLHPLJUKhaU/edit?usp=sharing"",""พังงา!Q649"")+IMPORTRANGE(""https://docs.google.com/spreadsheets/d/17ht0gPKzzT3PObBL1XJkeR"&amp;"mntBXI7wGjpLV7QorqlTk/edit?usp=sharing"",""พัทลุง!Q649"")+IMPORTRANGE(""https://docs.google.com/spreadsheets/d/1rd4qoM1q_hsgaolqNGfrim9gbsoLxQsda4-vOz5x_BM/edit?usp=sharing"",""ภูเก็ต!Q649"")+IMPORTRANGE(""https://docs.google.com/spreadsheets/d/1woKwKjgoL"&amp;"ssDvPcPeVyezB5izizAn4X1JDrys69n6xI/edit?usp=sharing"",""ยะลา!Q649"")+IMPORTRANGE(""https://docs.google.com/spreadsheets/d/1qfrKjzMhm2HJfxQ-qVlJlJQ25Hne1d0khsySbZyGtPA/edit?usp=sharing"",""ระนอง!Q649"")+IMPORTRANGE(""https://docs.google.com/spreadsheets/d/"&amp;"1IbSCnFOKpZsnFogBHJnL_isstZVaOMnFiIN0fGTPZZw/edit?usp=sharing"",""สงขลา!Q649"")+IMPORTRANGE(""https://docs.google.com/spreadsheets/d/1q9nWasZJ-K8bFGvbE9n0qSRuKGA4Toe3Y89cKCiVtCU/edit?usp=sharing"",""สตูล!Q649"")+IMPORTRANGE(""https://docs.google.com/sprea"&amp;"dsheets/d/18T20gbkS_WBjdscyTOV05cvq_JqvqQ17C81mpxf7Ncs/edit?usp=sharing"",""สุราษฎร์ธานี!Q649"")"),0)</f>
        <v>0</v>
      </c>
      <c r="R649" s="49">
        <f ca="1">IFERROR(__xludf.DUMMYFUNCTION("IMPORTRANGE(""https://docs.google.com/spreadsheets/d/1kKUcYdkIfrgTSj8iHHHB2MD2FAtwyyocFgqGQn6ADyI/edit?usp=sharing"",""กระบี่!R649"")+IMPORTRANGE(""https://docs.google.com/spreadsheets/d/1GwtLaSlNZkLk7iDqcyZz22giiy40b_usZZBXYciEN1U/edit?usp=sharing"",""ชุ"&amp;"มพร!R649"")+IMPORTRANGE(""https://docs.google.com/spreadsheets/d/16pAz3pOhQEZBhvFNMa5KGgZS6iKWpsKX0pg6tQmwFpo/edit?usp=sharing"",""ตรัง!R649"")+IMPORTRANGE(""https://docs.google.com/spreadsheets/d/1Dj4jcHCTV9JXKCaMoheSXS52JE63kDKyG7bPXnFogHk/edit?usp=shar"&amp;"ing"",""นครศรีธรรมราช!R649"")+IMPORTRANGE(""https://docs.google.com/spreadsheets/d/1iodCdmuK2GR3jzUwk8tpccY2JHQQA-87DLOtJP-ooyU/edit?usp=sharing"",""นราธิวาส!R649"")+IMPORTRANGE(""https://docs.google.com/spreadsheets/d/1SDNX3JhDdYRuIOsj0Wh2M-Qa_eaXl0NbWmh"&amp;"AOTbfQAs/edit?usp=sharing"",""ปัตตานี!R649"")+IMPORTRANGE(""https://docs.google.com/spreadsheets/d/16JDLGguT8s5DsGCND1KcwHP_AWR_zDMTqLHPLJUKhaU/edit?usp=sharing"",""พังงา!R649"")+IMPORTRANGE(""https://docs.google.com/spreadsheets/d/17ht0gPKzzT3PObBL1XJkeR"&amp;"mntBXI7wGjpLV7QorqlTk/edit?usp=sharing"",""พัทลุง!R649"")+IMPORTRANGE(""https://docs.google.com/spreadsheets/d/1rd4qoM1q_hsgaolqNGfrim9gbsoLxQsda4-vOz5x_BM/edit?usp=sharing"",""ภูเก็ต!R649"")+IMPORTRANGE(""https://docs.google.com/spreadsheets/d/1woKwKjgoL"&amp;"ssDvPcPeVyezB5izizAn4X1JDrys69n6xI/edit?usp=sharing"",""ยะลา!R649"")+IMPORTRANGE(""https://docs.google.com/spreadsheets/d/1qfrKjzMhm2HJfxQ-qVlJlJQ25Hne1d0khsySbZyGtPA/edit?usp=sharing"",""ระนอง!R649"")+IMPORTRANGE(""https://docs.google.com/spreadsheets/d/"&amp;"1IbSCnFOKpZsnFogBHJnL_isstZVaOMnFiIN0fGTPZZw/edit?usp=sharing"",""สงขลา!R649"")+IMPORTRANGE(""https://docs.google.com/spreadsheets/d/1q9nWasZJ-K8bFGvbE9n0qSRuKGA4Toe3Y89cKCiVtCU/edit?usp=sharing"",""สตูล!R649"")+IMPORTRANGE(""https://docs.google.com/sprea"&amp;"dsheets/d/18T20gbkS_WBjdscyTOV05cvq_JqvqQ17C81mpxf7Ncs/edit?usp=sharing"",""สุราษฎร์ธานี!R649"")"),0)</f>
        <v>0</v>
      </c>
      <c r="S649" s="49">
        <f ca="1">IFERROR(__xludf.DUMMYFUNCTION("IMPORTRANGE(""https://docs.google.com/spreadsheets/d/1kKUcYdkIfrgTSj8iHHHB2MD2FAtwyyocFgqGQn6ADyI/edit?usp=sharing"",""กระบี่!S649"")+IMPORTRANGE(""https://docs.google.com/spreadsheets/d/1GwtLaSlNZkLk7iDqcyZz22giiy40b_usZZBXYciEN1U/edit?usp=sharing"",""ชุ"&amp;"มพร!S649"")+IMPORTRANGE(""https://docs.google.com/spreadsheets/d/16pAz3pOhQEZBhvFNMa5KGgZS6iKWpsKX0pg6tQmwFpo/edit?usp=sharing"",""ตรัง!S649"")+IMPORTRANGE(""https://docs.google.com/spreadsheets/d/1Dj4jcHCTV9JXKCaMoheSXS52JE63kDKyG7bPXnFogHk/edit?usp=shar"&amp;"ing"",""นครศรีธรรมราช!S649"")+IMPORTRANGE(""https://docs.google.com/spreadsheets/d/1iodCdmuK2GR3jzUwk8tpccY2JHQQA-87DLOtJP-ooyU/edit?usp=sharing"",""นราธิวาส!S649"")+IMPORTRANGE(""https://docs.google.com/spreadsheets/d/1SDNX3JhDdYRuIOsj0Wh2M-Qa_eaXl0NbWmh"&amp;"AOTbfQAs/edit?usp=sharing"",""ปัตตานี!S649"")+IMPORTRANGE(""https://docs.google.com/spreadsheets/d/16JDLGguT8s5DsGCND1KcwHP_AWR_zDMTqLHPLJUKhaU/edit?usp=sharing"",""พังงา!S649"")+IMPORTRANGE(""https://docs.google.com/spreadsheets/d/17ht0gPKzzT3PObBL1XJkeR"&amp;"mntBXI7wGjpLV7QorqlTk/edit?usp=sharing"",""พัทลุง!S649"")+IMPORTRANGE(""https://docs.google.com/spreadsheets/d/1rd4qoM1q_hsgaolqNGfrim9gbsoLxQsda4-vOz5x_BM/edit?usp=sharing"",""ภูเก็ต!S649"")+IMPORTRANGE(""https://docs.google.com/spreadsheets/d/1woKwKjgoL"&amp;"ssDvPcPeVyezB5izizAn4X1JDrys69n6xI/edit?usp=sharing"",""ยะลา!S649"")+IMPORTRANGE(""https://docs.google.com/spreadsheets/d/1qfrKjzMhm2HJfxQ-qVlJlJQ25Hne1d0khsySbZyGtPA/edit?usp=sharing"",""ระนอง!S649"")+IMPORTRANGE(""https://docs.google.com/spreadsheets/d/"&amp;"1IbSCnFOKpZsnFogBHJnL_isstZVaOMnFiIN0fGTPZZw/edit?usp=sharing"",""สงขลา!S649"")+IMPORTRANGE(""https://docs.google.com/spreadsheets/d/1q9nWasZJ-K8bFGvbE9n0qSRuKGA4Toe3Y89cKCiVtCU/edit?usp=sharing"",""สตูล!S649"")+IMPORTRANGE(""https://docs.google.com/sprea"&amp;"dsheets/d/18T20gbkS_WBjdscyTOV05cvq_JqvqQ17C81mpxf7Ncs/edit?usp=sharing"",""สุราษฎร์ธานี!S649"")"),0)</f>
        <v>0</v>
      </c>
      <c r="T649" s="49">
        <f t="shared" ca="1" si="458"/>
        <v>0</v>
      </c>
      <c r="U649" s="49">
        <f t="shared" ca="1" si="459"/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7">
        <f ca="1">IFERROR(__xludf.DUMMYFUNCTION("IMPORTRANGE(""https://docs.google.com/spreadsheets/d/1kKUcYdkIfrgTSj8iHHHB2MD2FAtwyyocFgqGQn6ADyI/edit?usp=sharing"",""กระบี่!L650"")+IMPORTRANGE(""https://docs.google.com/spreadsheets/d/1GwtLaSlNZkLk7iDqcyZz22giiy40b_usZZBXYciEN1U/edit?usp=sharing"",""ชุ"&amp;"มพร!L650"")+IMPORTRANGE(""https://docs.google.com/spreadsheets/d/16pAz3pOhQEZBhvFNMa5KGgZS6iKWpsKX0pg6tQmwFpo/edit?usp=sharing"",""ตรัง!L650"")+IMPORTRANGE(""https://docs.google.com/spreadsheets/d/1Dj4jcHCTV9JXKCaMoheSXS52JE63kDKyG7bPXnFogHk/edit?usp=shar"&amp;"ing"",""นครศรีธรรมราช!L650"")+IMPORTRANGE(""https://docs.google.com/spreadsheets/d/1iodCdmuK2GR3jzUwk8tpccY2JHQQA-87DLOtJP-ooyU/edit?usp=sharing"",""นราธิวาส!L650"")+IMPORTRANGE(""https://docs.google.com/spreadsheets/d/1SDNX3JhDdYRuIOsj0Wh2M-Qa_eaXl0NbWmh"&amp;"AOTbfQAs/edit?usp=sharing"",""ปัตตานี!L650"")+IMPORTRANGE(""https://docs.google.com/spreadsheets/d/16JDLGguT8s5DsGCND1KcwHP_AWR_zDMTqLHPLJUKhaU/edit?usp=sharing"",""พังงา!L650"")+IMPORTRANGE(""https://docs.google.com/spreadsheets/d/17ht0gPKzzT3PObBL1XJkeR"&amp;"mntBXI7wGjpLV7QorqlTk/edit?usp=sharing"",""พัทลุง!L650"")+IMPORTRANGE(""https://docs.google.com/spreadsheets/d/1rd4qoM1q_hsgaolqNGfrim9gbsoLxQsda4-vOz5x_BM/edit?usp=sharing"",""ภูเก็ต!L650"")+IMPORTRANGE(""https://docs.google.com/spreadsheets/d/1woKwKjgoL"&amp;"ssDvPcPeVyezB5izizAn4X1JDrys69n6xI/edit?usp=sharing"",""ยะลา!L650"")+IMPORTRANGE(""https://docs.google.com/spreadsheets/d/1qfrKjzMhm2HJfxQ-qVlJlJQ25Hne1d0khsySbZyGtPA/edit?usp=sharing"",""ระนอง!L650"")+IMPORTRANGE(""https://docs.google.com/spreadsheets/d/"&amp;"1IbSCnFOKpZsnFogBHJnL_isstZVaOMnFiIN0fGTPZZw/edit?usp=sharing"",""สงขลา!L650"")+IMPORTRANGE(""https://docs.google.com/spreadsheets/d/1q9nWasZJ-K8bFGvbE9n0qSRuKGA4Toe3Y89cKCiVtCU/edit?usp=sharing"",""สตูล!L650"")+IMPORTRANGE(""https://docs.google.com/sprea"&amp;"dsheets/d/18T20gbkS_WBjdscyTOV05cvq_JqvqQ17C81mpxf7Ncs/edit?usp=sharing"",""สุราษฎร์ธานี!L650"")"),0)</f>
        <v>0</v>
      </c>
      <c r="M650" s="47">
        <f ca="1">IFERROR(__xludf.DUMMYFUNCTION("IMPORTRANGE(""https://docs.google.com/spreadsheets/d/1kKUcYdkIfrgTSj8iHHHB2MD2FAtwyyocFgqGQn6ADyI/edit?usp=sharing"",""กระบี่!M650"")+IMPORTRANGE(""https://docs.google.com/spreadsheets/d/1GwtLaSlNZkLk7iDqcyZz22giiy40b_usZZBXYciEN1U/edit?usp=sharing"",""ชุ"&amp;"มพร!M650"")+IMPORTRANGE(""https://docs.google.com/spreadsheets/d/16pAz3pOhQEZBhvFNMa5KGgZS6iKWpsKX0pg6tQmwFpo/edit?usp=sharing"",""ตรัง!M650"")+IMPORTRANGE(""https://docs.google.com/spreadsheets/d/1Dj4jcHCTV9JXKCaMoheSXS52JE63kDKyG7bPXnFogHk/edit?usp=shar"&amp;"ing"",""นครศรีธรรมราช!M650"")+IMPORTRANGE(""https://docs.google.com/spreadsheets/d/1iodCdmuK2GR3jzUwk8tpccY2JHQQA-87DLOtJP-ooyU/edit?usp=sharing"",""นราธิวาส!M650"")+IMPORTRANGE(""https://docs.google.com/spreadsheets/d/1SDNX3JhDdYRuIOsj0Wh2M-Qa_eaXl0NbWmh"&amp;"AOTbfQAs/edit?usp=sharing"",""ปัตตานี!M650"")+IMPORTRANGE(""https://docs.google.com/spreadsheets/d/16JDLGguT8s5DsGCND1KcwHP_AWR_zDMTqLHPLJUKhaU/edit?usp=sharing"",""พังงา!M650"")+IMPORTRANGE(""https://docs.google.com/spreadsheets/d/17ht0gPKzzT3PObBL1XJkeR"&amp;"mntBXI7wGjpLV7QorqlTk/edit?usp=sharing"",""พัทลุง!M650"")+IMPORTRANGE(""https://docs.google.com/spreadsheets/d/1rd4qoM1q_hsgaolqNGfrim9gbsoLxQsda4-vOz5x_BM/edit?usp=sharing"",""ภูเก็ต!M650"")+IMPORTRANGE(""https://docs.google.com/spreadsheets/d/1woKwKjgoL"&amp;"ssDvPcPeVyezB5izizAn4X1JDrys69n6xI/edit?usp=sharing"",""ยะลา!M650"")+IMPORTRANGE(""https://docs.google.com/spreadsheets/d/1qfrKjzMhm2HJfxQ-qVlJlJQ25Hne1d0khsySbZyGtPA/edit?usp=sharing"",""ระนอง!M650"")+IMPORTRANGE(""https://docs.google.com/spreadsheets/d/"&amp;"1IbSCnFOKpZsnFogBHJnL_isstZVaOMnFiIN0fGTPZZw/edit?usp=sharing"",""สงขลา!M650"")+IMPORTRANGE(""https://docs.google.com/spreadsheets/d/1q9nWasZJ-K8bFGvbE9n0qSRuKGA4Toe3Y89cKCiVtCU/edit?usp=sharing"",""สตูล!M650"")+IMPORTRANGE(""https://docs.google.com/sprea"&amp;"dsheets/d/18T20gbkS_WBjdscyTOV05cvq_JqvqQ17C81mpxf7Ncs/edit?usp=sharing"",""สุราษฎร์ธานี!M650"")"),0)</f>
        <v>0</v>
      </c>
      <c r="N650" s="47">
        <f ca="1">IFERROR(__xludf.DUMMYFUNCTION("IMPORTRANGE(""https://docs.google.com/spreadsheets/d/1kKUcYdkIfrgTSj8iHHHB2MD2FAtwyyocFgqGQn6ADyI/edit?usp=sharing"",""กระบี่!N650"")+IMPORTRANGE(""https://docs.google.com/spreadsheets/d/1GwtLaSlNZkLk7iDqcyZz22giiy40b_usZZBXYciEN1U/edit?usp=sharing"",""ชุ"&amp;"มพร!N650"")+IMPORTRANGE(""https://docs.google.com/spreadsheets/d/16pAz3pOhQEZBhvFNMa5KGgZS6iKWpsKX0pg6tQmwFpo/edit?usp=sharing"",""ตรัง!N650"")+IMPORTRANGE(""https://docs.google.com/spreadsheets/d/1Dj4jcHCTV9JXKCaMoheSXS52JE63kDKyG7bPXnFogHk/edit?usp=shar"&amp;"ing"",""นครศรีธรรมราช!N650"")+IMPORTRANGE(""https://docs.google.com/spreadsheets/d/1iodCdmuK2GR3jzUwk8tpccY2JHQQA-87DLOtJP-ooyU/edit?usp=sharing"",""นราธิวาส!N650"")+IMPORTRANGE(""https://docs.google.com/spreadsheets/d/1SDNX3JhDdYRuIOsj0Wh2M-Qa_eaXl0NbWmh"&amp;"AOTbfQAs/edit?usp=sharing"",""ปัตตานี!N650"")+IMPORTRANGE(""https://docs.google.com/spreadsheets/d/16JDLGguT8s5DsGCND1KcwHP_AWR_zDMTqLHPLJUKhaU/edit?usp=sharing"",""พังงา!N650"")+IMPORTRANGE(""https://docs.google.com/spreadsheets/d/17ht0gPKzzT3PObBL1XJkeR"&amp;"mntBXI7wGjpLV7QorqlTk/edit?usp=sharing"",""พัทลุง!N650"")+IMPORTRANGE(""https://docs.google.com/spreadsheets/d/1rd4qoM1q_hsgaolqNGfrim9gbsoLxQsda4-vOz5x_BM/edit?usp=sharing"",""ภูเก็ต!N650"")+IMPORTRANGE(""https://docs.google.com/spreadsheets/d/1woKwKjgoL"&amp;"ssDvPcPeVyezB5izizAn4X1JDrys69n6xI/edit?usp=sharing"",""ยะลา!N650"")+IMPORTRANGE(""https://docs.google.com/spreadsheets/d/1qfrKjzMhm2HJfxQ-qVlJlJQ25Hne1d0khsySbZyGtPA/edit?usp=sharing"",""ระนอง!N650"")+IMPORTRANGE(""https://docs.google.com/spreadsheets/d/"&amp;"1IbSCnFOKpZsnFogBHJnL_isstZVaOMnFiIN0fGTPZZw/edit?usp=sharing"",""สงขลา!N650"")+IMPORTRANGE(""https://docs.google.com/spreadsheets/d/1q9nWasZJ-K8bFGvbE9n0qSRuKGA4Toe3Y89cKCiVtCU/edit?usp=sharing"",""สตูล!N650"")+IMPORTRANGE(""https://docs.google.com/sprea"&amp;"dsheets/d/18T20gbkS_WBjdscyTOV05cvq_JqvqQ17C81mpxf7Ncs/edit?usp=sharing"",""สุราษฎร์ธานี!N650"")"),0)</f>
        <v>0</v>
      </c>
      <c r="O650" s="47">
        <f t="shared" ca="1" si="455"/>
        <v>0</v>
      </c>
      <c r="P650" s="47">
        <f t="shared" ca="1" si="456"/>
        <v>0</v>
      </c>
      <c r="Q650" s="47">
        <f ca="1">IFERROR(__xludf.DUMMYFUNCTION("IMPORTRANGE(""https://docs.google.com/spreadsheets/d/1kKUcYdkIfrgTSj8iHHHB2MD2FAtwyyocFgqGQn6ADyI/edit?usp=sharing"",""กระบี่!Q650"")+IMPORTRANGE(""https://docs.google.com/spreadsheets/d/1GwtLaSlNZkLk7iDqcyZz22giiy40b_usZZBXYciEN1U/edit?usp=sharing"",""ชุ"&amp;"มพร!Q650"")+IMPORTRANGE(""https://docs.google.com/spreadsheets/d/16pAz3pOhQEZBhvFNMa5KGgZS6iKWpsKX0pg6tQmwFpo/edit?usp=sharing"",""ตรัง!Q650"")+IMPORTRANGE(""https://docs.google.com/spreadsheets/d/1Dj4jcHCTV9JXKCaMoheSXS52JE63kDKyG7bPXnFogHk/edit?usp=shar"&amp;"ing"",""นครศรีธรรมราช!Q650"")+IMPORTRANGE(""https://docs.google.com/spreadsheets/d/1iodCdmuK2GR3jzUwk8tpccY2JHQQA-87DLOtJP-ooyU/edit?usp=sharing"",""นราธิวาส!Q650"")+IMPORTRANGE(""https://docs.google.com/spreadsheets/d/1SDNX3JhDdYRuIOsj0Wh2M-Qa_eaXl0NbWmh"&amp;"AOTbfQAs/edit?usp=sharing"",""ปัตตานี!Q650"")+IMPORTRANGE(""https://docs.google.com/spreadsheets/d/16JDLGguT8s5DsGCND1KcwHP_AWR_zDMTqLHPLJUKhaU/edit?usp=sharing"",""พังงา!Q650"")+IMPORTRANGE(""https://docs.google.com/spreadsheets/d/17ht0gPKzzT3PObBL1XJkeR"&amp;"mntBXI7wGjpLV7QorqlTk/edit?usp=sharing"",""พัทลุง!Q650"")+IMPORTRANGE(""https://docs.google.com/spreadsheets/d/1rd4qoM1q_hsgaolqNGfrim9gbsoLxQsda4-vOz5x_BM/edit?usp=sharing"",""ภูเก็ต!Q650"")+IMPORTRANGE(""https://docs.google.com/spreadsheets/d/1woKwKjgoL"&amp;"ssDvPcPeVyezB5izizAn4X1JDrys69n6xI/edit?usp=sharing"",""ยะลา!Q650"")+IMPORTRANGE(""https://docs.google.com/spreadsheets/d/1qfrKjzMhm2HJfxQ-qVlJlJQ25Hne1d0khsySbZyGtPA/edit?usp=sharing"",""ระนอง!Q650"")+IMPORTRANGE(""https://docs.google.com/spreadsheets/d/"&amp;"1IbSCnFOKpZsnFogBHJnL_isstZVaOMnFiIN0fGTPZZw/edit?usp=sharing"",""สงขลา!Q650"")+IMPORTRANGE(""https://docs.google.com/spreadsheets/d/1q9nWasZJ-K8bFGvbE9n0qSRuKGA4Toe3Y89cKCiVtCU/edit?usp=sharing"",""สตูล!Q650"")+IMPORTRANGE(""https://docs.google.com/sprea"&amp;"dsheets/d/18T20gbkS_WBjdscyTOV05cvq_JqvqQ17C81mpxf7Ncs/edit?usp=sharing"",""สุราษฎร์ธานี!Q650"")"),0)</f>
        <v>0</v>
      </c>
      <c r="R650" s="47">
        <f ca="1">IFERROR(__xludf.DUMMYFUNCTION("IMPORTRANGE(""https://docs.google.com/spreadsheets/d/1kKUcYdkIfrgTSj8iHHHB2MD2FAtwyyocFgqGQn6ADyI/edit?usp=sharing"",""กระบี่!R650"")+IMPORTRANGE(""https://docs.google.com/spreadsheets/d/1GwtLaSlNZkLk7iDqcyZz22giiy40b_usZZBXYciEN1U/edit?usp=sharing"",""ชุ"&amp;"มพร!R650"")+IMPORTRANGE(""https://docs.google.com/spreadsheets/d/16pAz3pOhQEZBhvFNMa5KGgZS6iKWpsKX0pg6tQmwFpo/edit?usp=sharing"",""ตรัง!R650"")+IMPORTRANGE(""https://docs.google.com/spreadsheets/d/1Dj4jcHCTV9JXKCaMoheSXS52JE63kDKyG7bPXnFogHk/edit?usp=shar"&amp;"ing"",""นครศรีธรรมราช!R650"")+IMPORTRANGE(""https://docs.google.com/spreadsheets/d/1iodCdmuK2GR3jzUwk8tpccY2JHQQA-87DLOtJP-ooyU/edit?usp=sharing"",""นราธิวาส!R650"")+IMPORTRANGE(""https://docs.google.com/spreadsheets/d/1SDNX3JhDdYRuIOsj0Wh2M-Qa_eaXl0NbWmh"&amp;"AOTbfQAs/edit?usp=sharing"",""ปัตตานี!R650"")+IMPORTRANGE(""https://docs.google.com/spreadsheets/d/16JDLGguT8s5DsGCND1KcwHP_AWR_zDMTqLHPLJUKhaU/edit?usp=sharing"",""พังงา!R650"")+IMPORTRANGE(""https://docs.google.com/spreadsheets/d/17ht0gPKzzT3PObBL1XJkeR"&amp;"mntBXI7wGjpLV7QorqlTk/edit?usp=sharing"",""พัทลุง!R650"")+IMPORTRANGE(""https://docs.google.com/spreadsheets/d/1rd4qoM1q_hsgaolqNGfrim9gbsoLxQsda4-vOz5x_BM/edit?usp=sharing"",""ภูเก็ต!R650"")+IMPORTRANGE(""https://docs.google.com/spreadsheets/d/1woKwKjgoL"&amp;"ssDvPcPeVyezB5izizAn4X1JDrys69n6xI/edit?usp=sharing"",""ยะลา!R650"")+IMPORTRANGE(""https://docs.google.com/spreadsheets/d/1qfrKjzMhm2HJfxQ-qVlJlJQ25Hne1d0khsySbZyGtPA/edit?usp=sharing"",""ระนอง!R650"")+IMPORTRANGE(""https://docs.google.com/spreadsheets/d/"&amp;"1IbSCnFOKpZsnFogBHJnL_isstZVaOMnFiIN0fGTPZZw/edit?usp=sharing"",""สงขลา!R650"")+IMPORTRANGE(""https://docs.google.com/spreadsheets/d/1q9nWasZJ-K8bFGvbE9n0qSRuKGA4Toe3Y89cKCiVtCU/edit?usp=sharing"",""สตูล!R650"")+IMPORTRANGE(""https://docs.google.com/sprea"&amp;"dsheets/d/18T20gbkS_WBjdscyTOV05cvq_JqvqQ17C81mpxf7Ncs/edit?usp=sharing"",""สุราษฎร์ธานี!R650"")"),0)</f>
        <v>0</v>
      </c>
      <c r="S650" s="47">
        <f ca="1">IFERROR(__xludf.DUMMYFUNCTION("IMPORTRANGE(""https://docs.google.com/spreadsheets/d/1kKUcYdkIfrgTSj8iHHHB2MD2FAtwyyocFgqGQn6ADyI/edit?usp=sharing"",""กระบี่!S650"")+IMPORTRANGE(""https://docs.google.com/spreadsheets/d/1GwtLaSlNZkLk7iDqcyZz22giiy40b_usZZBXYciEN1U/edit?usp=sharing"",""ชุ"&amp;"มพร!S650"")+IMPORTRANGE(""https://docs.google.com/spreadsheets/d/16pAz3pOhQEZBhvFNMa5KGgZS6iKWpsKX0pg6tQmwFpo/edit?usp=sharing"",""ตรัง!S650"")+IMPORTRANGE(""https://docs.google.com/spreadsheets/d/1Dj4jcHCTV9JXKCaMoheSXS52JE63kDKyG7bPXnFogHk/edit?usp=shar"&amp;"ing"",""นครศรีธรรมราช!S650"")+IMPORTRANGE(""https://docs.google.com/spreadsheets/d/1iodCdmuK2GR3jzUwk8tpccY2JHQQA-87DLOtJP-ooyU/edit?usp=sharing"",""นราธิวาส!S650"")+IMPORTRANGE(""https://docs.google.com/spreadsheets/d/1SDNX3JhDdYRuIOsj0Wh2M-Qa_eaXl0NbWmh"&amp;"AOTbfQAs/edit?usp=sharing"",""ปัตตานี!S650"")+IMPORTRANGE(""https://docs.google.com/spreadsheets/d/16JDLGguT8s5DsGCND1KcwHP_AWR_zDMTqLHPLJUKhaU/edit?usp=sharing"",""พังงา!S650"")+IMPORTRANGE(""https://docs.google.com/spreadsheets/d/17ht0gPKzzT3PObBL1XJkeR"&amp;"mntBXI7wGjpLV7QorqlTk/edit?usp=sharing"",""พัทลุง!S650"")+IMPORTRANGE(""https://docs.google.com/spreadsheets/d/1rd4qoM1q_hsgaolqNGfrim9gbsoLxQsda4-vOz5x_BM/edit?usp=sharing"",""ภูเก็ต!S650"")+IMPORTRANGE(""https://docs.google.com/spreadsheets/d/1woKwKjgoL"&amp;"ssDvPcPeVyezB5izizAn4X1JDrys69n6xI/edit?usp=sharing"",""ยะลา!S650"")+IMPORTRANGE(""https://docs.google.com/spreadsheets/d/1qfrKjzMhm2HJfxQ-qVlJlJQ25Hne1d0khsySbZyGtPA/edit?usp=sharing"",""ระนอง!S650"")+IMPORTRANGE(""https://docs.google.com/spreadsheets/d/"&amp;"1IbSCnFOKpZsnFogBHJnL_isstZVaOMnFiIN0fGTPZZw/edit?usp=sharing"",""สงขลา!S650"")+IMPORTRANGE(""https://docs.google.com/spreadsheets/d/1q9nWasZJ-K8bFGvbE9n0qSRuKGA4Toe3Y89cKCiVtCU/edit?usp=sharing"",""สตูล!S650"")+IMPORTRANGE(""https://docs.google.com/sprea"&amp;"dsheets/d/18T20gbkS_WBjdscyTOV05cvq_JqvqQ17C81mpxf7Ncs/edit?usp=sharing"",""สุราษฎร์ธานี!S650"")"),0)</f>
        <v>0</v>
      </c>
      <c r="T650" s="47">
        <f t="shared" ca="1" si="458"/>
        <v>0</v>
      </c>
      <c r="U650" s="47">
        <f t="shared" ca="1" si="459"/>
        <v>0</v>
      </c>
    </row>
    <row r="651" spans="1:21" ht="19.5" x14ac:dyDescent="0.3">
      <c r="A651" s="138"/>
      <c r="B651" s="139"/>
      <c r="C651" s="218" t="s">
        <v>18</v>
      </c>
      <c r="D651" s="476" t="s">
        <v>38</v>
      </c>
      <c r="E651" s="141"/>
      <c r="F651" s="141"/>
      <c r="G651" s="142"/>
      <c r="H651" s="189"/>
      <c r="I651" s="135"/>
      <c r="J651" s="135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kKUcYdkIfrgTSj8iHHHB2MD2FAtwyyocFgqGQn6ADyI/edit?usp=sharing"",""กระบี่!I652"")+IMPORTRANGE(""https://docs.google.com/spreadsheets/d/1GwtLaSlNZkLk7iDqcyZz22giiy40b_usZZBXYciEN1U/edit?usp=sharing"",""ชุ"&amp;"มพร!I652"")+IMPORTRANGE(""https://docs.google.com/spreadsheets/d/16pAz3pOhQEZBhvFNMa5KGgZS6iKWpsKX0pg6tQmwFpo/edit?usp=sharing"",""ตรัง!I652"")+IMPORTRANGE(""https://docs.google.com/spreadsheets/d/1Dj4jcHCTV9JXKCaMoheSXS52JE63kDKyG7bPXnFogHk/edit?usp=shar"&amp;"ing"",""นครศรีธรรมราช!I652"")+IMPORTRANGE(""https://docs.google.com/spreadsheets/d/1iodCdmuK2GR3jzUwk8tpccY2JHQQA-87DLOtJP-ooyU/edit?usp=sharing"",""นราธิวาส!I652"")+IMPORTRANGE(""https://docs.google.com/spreadsheets/d/1SDNX3JhDdYRuIOsj0Wh2M-Qa_eaXl0NbWmh"&amp;"AOTbfQAs/edit?usp=sharing"",""ปัตตานี!I652"")+IMPORTRANGE(""https://docs.google.com/spreadsheets/d/16JDLGguT8s5DsGCND1KcwHP_AWR_zDMTqLHPLJUKhaU/edit?usp=sharing"",""พังงา!I652"")+IMPORTRANGE(""https://docs.google.com/spreadsheets/d/17ht0gPKzzT3PObBL1XJkeR"&amp;"mntBXI7wGjpLV7QorqlTk/edit?usp=sharing"",""พัทลุง!I652"")+IMPORTRANGE(""https://docs.google.com/spreadsheets/d/1rd4qoM1q_hsgaolqNGfrim9gbsoLxQsda4-vOz5x_BM/edit?usp=sharing"",""ภูเก็ต!I652"")+IMPORTRANGE(""https://docs.google.com/spreadsheets/d/1woKwKjgoL"&amp;"ssDvPcPeVyezB5izizAn4X1JDrys69n6xI/edit?usp=sharing"",""ยะลา!I652"")+IMPORTRANGE(""https://docs.google.com/spreadsheets/d/1qfrKjzMhm2HJfxQ-qVlJlJQ25Hne1d0khsySbZyGtPA/edit?usp=sharing"",""ระนอง!I652"")+IMPORTRANGE(""https://docs.google.com/spreadsheets/d/"&amp;"1IbSCnFOKpZsnFogBHJnL_isstZVaOMnFiIN0fGTPZZw/edit?usp=sharing"",""สงขลา!I652"")+IMPORTRANGE(""https://docs.google.com/spreadsheets/d/1q9nWasZJ-K8bFGvbE9n0qSRuKGA4Toe3Y89cKCiVtCU/edit?usp=sharing"",""สตูล!I652"")+IMPORTRANGE(""https://docs.google.com/sprea"&amp;"dsheets/d/18T20gbkS_WBjdscyTOV05cvq_JqvqQ17C81mpxf7Ncs/edit?usp=sharing"",""สุราษฎร์ธานี!I652"")"),0)</f>
        <v>0</v>
      </c>
      <c r="J652" s="477">
        <f ca="1">IFERROR(__xludf.DUMMYFUNCTION("IMPORTRANGE(""https://docs.google.com/spreadsheets/d/1kKUcYdkIfrgTSj8iHHHB2MD2FAtwyyocFgqGQn6ADyI/edit?usp=sharing"",""กระบี่!J652"")+IMPORTRANGE(""https://docs.google.com/spreadsheets/d/1GwtLaSlNZkLk7iDqcyZz22giiy40b_usZZBXYciEN1U/edit?usp=sharing"",""ชุ"&amp;"มพร!J652"")+IMPORTRANGE(""https://docs.google.com/spreadsheets/d/16pAz3pOhQEZBhvFNMa5KGgZS6iKWpsKX0pg6tQmwFpo/edit?usp=sharing"",""ตรัง!J652"")+IMPORTRANGE(""https://docs.google.com/spreadsheets/d/1Dj4jcHCTV9JXKCaMoheSXS52JE63kDKyG7bPXnFogHk/edit?usp=shar"&amp;"ing"",""นครศรีธรรมราช!J652"")+IMPORTRANGE(""https://docs.google.com/spreadsheets/d/1iodCdmuK2GR3jzUwk8tpccY2JHQQA-87DLOtJP-ooyU/edit?usp=sharing"",""นราธิวาส!J652"")+IMPORTRANGE(""https://docs.google.com/spreadsheets/d/1SDNX3JhDdYRuIOsj0Wh2M-Qa_eaXl0NbWmh"&amp;"AOTbfQAs/edit?usp=sharing"",""ปัตตานี!J652"")+IMPORTRANGE(""https://docs.google.com/spreadsheets/d/16JDLGguT8s5DsGCND1KcwHP_AWR_zDMTqLHPLJUKhaU/edit?usp=sharing"",""พังงา!J652"")+IMPORTRANGE(""https://docs.google.com/spreadsheets/d/17ht0gPKzzT3PObBL1XJkeR"&amp;"mntBXI7wGjpLV7QorqlTk/edit?usp=sharing"",""พัทลุง!J652"")+IMPORTRANGE(""https://docs.google.com/spreadsheets/d/1rd4qoM1q_hsgaolqNGfrim9gbsoLxQsda4-vOz5x_BM/edit?usp=sharing"",""ภูเก็ต!J652"")+IMPORTRANGE(""https://docs.google.com/spreadsheets/d/1woKwKjgoL"&amp;"ssDvPcPeVyezB5izizAn4X1JDrys69n6xI/edit?usp=sharing"",""ยะลา!J652"")+IMPORTRANGE(""https://docs.google.com/spreadsheets/d/1qfrKjzMhm2HJfxQ-qVlJlJQ25Hne1d0khsySbZyGtPA/edit?usp=sharing"",""ระนอง!J652"")+IMPORTRANGE(""https://docs.google.com/spreadsheets/d/"&amp;"1IbSCnFOKpZsnFogBHJnL_isstZVaOMnFiIN0fGTPZZw/edit?usp=sharing"",""สงขลา!J652"")+IMPORTRANGE(""https://docs.google.com/spreadsheets/d/1q9nWasZJ-K8bFGvbE9n0qSRuKGA4Toe3Y89cKCiVtCU/edit?usp=sharing"",""สตูล!J652"")+IMPORTRANGE(""https://docs.google.com/sprea"&amp;"dsheets/d/18T20gbkS_WBjdscyTOV05cvq_JqvqQ17C81mpxf7Ncs/edit?usp=sharing"",""สุราษฎร์ธานี!J652"")"),0)</f>
        <v>0</v>
      </c>
      <c r="K652" s="47">
        <f t="shared" ref="K652:K654" ca="1" si="468">IF(I652&gt;0,J652*100/I652,0)</f>
        <v>0</v>
      </c>
      <c r="L652" s="46"/>
      <c r="M652" s="46"/>
      <c r="N652" s="46"/>
      <c r="O652" s="46"/>
      <c r="P652" s="46"/>
      <c r="Q652" s="46"/>
      <c r="R652" s="46"/>
      <c r="S652" s="46"/>
      <c r="T652" s="46"/>
      <c r="U652" s="46"/>
    </row>
    <row r="653" spans="1:21" ht="18.75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kKUcYdkIfrgTSj8iHHHB2MD2FAtwyyocFgqGQn6ADyI/edit?usp=sharing"",""กระบี่!I653"")+IMPORTRANGE(""https://docs.google.com/spreadsheets/d/1GwtLaSlNZkLk7iDqcyZz22giiy40b_usZZBXYciEN1U/edit?usp=sharing"",""ชุ"&amp;"มพร!I653"")+IMPORTRANGE(""https://docs.google.com/spreadsheets/d/16pAz3pOhQEZBhvFNMa5KGgZS6iKWpsKX0pg6tQmwFpo/edit?usp=sharing"",""ตรัง!I653"")+IMPORTRANGE(""https://docs.google.com/spreadsheets/d/1Dj4jcHCTV9JXKCaMoheSXS52JE63kDKyG7bPXnFogHk/edit?usp=shar"&amp;"ing"",""นครศรีธรรมราช!I653"")+IMPORTRANGE(""https://docs.google.com/spreadsheets/d/1iodCdmuK2GR3jzUwk8tpccY2JHQQA-87DLOtJP-ooyU/edit?usp=sharing"",""นราธิวาส!I653"")+IMPORTRANGE(""https://docs.google.com/spreadsheets/d/1SDNX3JhDdYRuIOsj0Wh2M-Qa_eaXl0NbWmh"&amp;"AOTbfQAs/edit?usp=sharing"",""ปัตตานี!I653"")+IMPORTRANGE(""https://docs.google.com/spreadsheets/d/16JDLGguT8s5DsGCND1KcwHP_AWR_zDMTqLHPLJUKhaU/edit?usp=sharing"",""พังงา!I653"")+IMPORTRANGE(""https://docs.google.com/spreadsheets/d/17ht0gPKzzT3PObBL1XJkeR"&amp;"mntBXI7wGjpLV7QorqlTk/edit?usp=sharing"",""พัทลุง!I653"")+IMPORTRANGE(""https://docs.google.com/spreadsheets/d/1rd4qoM1q_hsgaolqNGfrim9gbsoLxQsda4-vOz5x_BM/edit?usp=sharing"",""ภูเก็ต!I653"")+IMPORTRANGE(""https://docs.google.com/spreadsheets/d/1woKwKjgoL"&amp;"ssDvPcPeVyezB5izizAn4X1JDrys69n6xI/edit?usp=sharing"",""ยะลา!I653"")+IMPORTRANGE(""https://docs.google.com/spreadsheets/d/1qfrKjzMhm2HJfxQ-qVlJlJQ25Hne1d0khsySbZyGtPA/edit?usp=sharing"",""ระนอง!I653"")+IMPORTRANGE(""https://docs.google.com/spreadsheets/d/"&amp;"1IbSCnFOKpZsnFogBHJnL_isstZVaOMnFiIN0fGTPZZw/edit?usp=sharing"",""สงขลา!I653"")+IMPORTRANGE(""https://docs.google.com/spreadsheets/d/1q9nWasZJ-K8bFGvbE9n0qSRuKGA4Toe3Y89cKCiVtCU/edit?usp=sharing"",""สตูล!I653"")+IMPORTRANGE(""https://docs.google.com/sprea"&amp;"dsheets/d/18T20gbkS_WBjdscyTOV05cvq_JqvqQ17C81mpxf7Ncs/edit?usp=sharing"",""สุราษฎร์ธานี!I653"")"),60)</f>
        <v>60</v>
      </c>
      <c r="J653" s="477">
        <f ca="1">IFERROR(__xludf.DUMMYFUNCTION("IMPORTRANGE(""https://docs.google.com/spreadsheets/d/1kKUcYdkIfrgTSj8iHHHB2MD2FAtwyyocFgqGQn6ADyI/edit?usp=sharing"",""กระบี่!J653"")+IMPORTRANGE(""https://docs.google.com/spreadsheets/d/1GwtLaSlNZkLk7iDqcyZz22giiy40b_usZZBXYciEN1U/edit?usp=sharing"",""ชุ"&amp;"มพร!J653"")+IMPORTRANGE(""https://docs.google.com/spreadsheets/d/16pAz3pOhQEZBhvFNMa5KGgZS6iKWpsKX0pg6tQmwFpo/edit?usp=sharing"",""ตรัง!J653"")+IMPORTRANGE(""https://docs.google.com/spreadsheets/d/1Dj4jcHCTV9JXKCaMoheSXS52JE63kDKyG7bPXnFogHk/edit?usp=shar"&amp;"ing"",""นครศรีธรรมราช!J653"")+IMPORTRANGE(""https://docs.google.com/spreadsheets/d/1iodCdmuK2GR3jzUwk8tpccY2JHQQA-87DLOtJP-ooyU/edit?usp=sharing"",""นราธิวาส!J653"")+IMPORTRANGE(""https://docs.google.com/spreadsheets/d/1SDNX3JhDdYRuIOsj0Wh2M-Qa_eaXl0NbWmh"&amp;"AOTbfQAs/edit?usp=sharing"",""ปัตตานี!J653"")+IMPORTRANGE(""https://docs.google.com/spreadsheets/d/16JDLGguT8s5DsGCND1KcwHP_AWR_zDMTqLHPLJUKhaU/edit?usp=sharing"",""พังงา!J653"")+IMPORTRANGE(""https://docs.google.com/spreadsheets/d/17ht0gPKzzT3PObBL1XJkeR"&amp;"mntBXI7wGjpLV7QorqlTk/edit?usp=sharing"",""พัทลุง!J653"")+IMPORTRANGE(""https://docs.google.com/spreadsheets/d/1rd4qoM1q_hsgaolqNGfrim9gbsoLxQsda4-vOz5x_BM/edit?usp=sharing"",""ภูเก็ต!J653"")+IMPORTRANGE(""https://docs.google.com/spreadsheets/d/1woKwKjgoL"&amp;"ssDvPcPeVyezB5izizAn4X1JDrys69n6xI/edit?usp=sharing"",""ยะลา!J653"")+IMPORTRANGE(""https://docs.google.com/spreadsheets/d/1qfrKjzMhm2HJfxQ-qVlJlJQ25Hne1d0khsySbZyGtPA/edit?usp=sharing"",""ระนอง!J653"")+IMPORTRANGE(""https://docs.google.com/spreadsheets/d/"&amp;"1IbSCnFOKpZsnFogBHJnL_isstZVaOMnFiIN0fGTPZZw/edit?usp=sharing"",""สงขลา!J653"")+IMPORTRANGE(""https://docs.google.com/spreadsheets/d/1q9nWasZJ-K8bFGvbE9n0qSRuKGA4Toe3Y89cKCiVtCU/edit?usp=sharing"",""สตูล!J653"")+IMPORTRANGE(""https://docs.google.com/sprea"&amp;"dsheets/d/18T20gbkS_WBjdscyTOV05cvq_JqvqQ17C81mpxf7Ncs/edit?usp=sharing"",""สุราษฎร์ธานี!J653"")"),0)</f>
        <v>0</v>
      </c>
      <c r="K653" s="47">
        <f t="shared" ca="1" si="468"/>
        <v>0</v>
      </c>
      <c r="L653" s="46"/>
      <c r="M653" s="46"/>
      <c r="N653" s="46"/>
      <c r="O653" s="46"/>
      <c r="P653" s="46"/>
      <c r="Q653" s="46"/>
      <c r="R653" s="46"/>
      <c r="S653" s="46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kKUcYdkIfrgTSj8iHHHB2MD2FAtwyyocFgqGQn6ADyI/edit?usp=sharing"",""กระบี่!I654"")+IMPORTRANGE(""https://docs.google.com/spreadsheets/d/1GwtLaSlNZkLk7iDqcyZz22giiy40b_usZZBXYciEN1U/edit?usp=sharing"",""ชุ"&amp;"มพร!I654"")+IMPORTRANGE(""https://docs.google.com/spreadsheets/d/16pAz3pOhQEZBhvFNMa5KGgZS6iKWpsKX0pg6tQmwFpo/edit?usp=sharing"",""ตรัง!I654"")+IMPORTRANGE(""https://docs.google.com/spreadsheets/d/1Dj4jcHCTV9JXKCaMoheSXS52JE63kDKyG7bPXnFogHk/edit?usp=shar"&amp;"ing"",""นครศรีธรรมราช!I654"")+IMPORTRANGE(""https://docs.google.com/spreadsheets/d/1iodCdmuK2GR3jzUwk8tpccY2JHQQA-87DLOtJP-ooyU/edit?usp=sharing"",""นราธิวาส!I654"")+IMPORTRANGE(""https://docs.google.com/spreadsheets/d/1SDNX3JhDdYRuIOsj0Wh2M-Qa_eaXl0NbWmh"&amp;"AOTbfQAs/edit?usp=sharing"",""ปัตตานี!I654"")+IMPORTRANGE(""https://docs.google.com/spreadsheets/d/16JDLGguT8s5DsGCND1KcwHP_AWR_zDMTqLHPLJUKhaU/edit?usp=sharing"",""พังงา!I654"")+IMPORTRANGE(""https://docs.google.com/spreadsheets/d/17ht0gPKzzT3PObBL1XJkeR"&amp;"mntBXI7wGjpLV7QorqlTk/edit?usp=sharing"",""พัทลุง!I654"")+IMPORTRANGE(""https://docs.google.com/spreadsheets/d/1rd4qoM1q_hsgaolqNGfrim9gbsoLxQsda4-vOz5x_BM/edit?usp=sharing"",""ภูเก็ต!I654"")+IMPORTRANGE(""https://docs.google.com/spreadsheets/d/1woKwKjgoL"&amp;"ssDvPcPeVyezB5izizAn4X1JDrys69n6xI/edit?usp=sharing"",""ยะลา!I654"")+IMPORTRANGE(""https://docs.google.com/spreadsheets/d/1qfrKjzMhm2HJfxQ-qVlJlJQ25Hne1d0khsySbZyGtPA/edit?usp=sharing"",""ระนอง!I654"")+IMPORTRANGE(""https://docs.google.com/spreadsheets/d/"&amp;"1IbSCnFOKpZsnFogBHJnL_isstZVaOMnFiIN0fGTPZZw/edit?usp=sharing"",""สงขลา!I654"")+IMPORTRANGE(""https://docs.google.com/spreadsheets/d/1q9nWasZJ-K8bFGvbE9n0qSRuKGA4Toe3Y89cKCiVtCU/edit?usp=sharing"",""สตูล!I654"")+IMPORTRANGE(""https://docs.google.com/sprea"&amp;"dsheets/d/18T20gbkS_WBjdscyTOV05cvq_JqvqQ17C81mpxf7Ncs/edit?usp=sharing"",""สุราษฎร์ธานี!I654"")"),0)</f>
        <v>0</v>
      </c>
      <c r="J654" s="147">
        <f ca="1">J657+J660</f>
        <v>0</v>
      </c>
      <c r="K654" s="132">
        <f t="shared" ca="1" si="468"/>
        <v>0</v>
      </c>
      <c r="L654" s="46"/>
      <c r="M654" s="46"/>
      <c r="N654" s="46"/>
      <c r="O654" s="46"/>
      <c r="P654" s="46"/>
      <c r="Q654" s="46"/>
      <c r="R654" s="46"/>
      <c r="S654" s="46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f ca="1">IFERROR(__xludf.DUMMYFUNCTION("IMPORTRANGE(""https://docs.google.com/spreadsheets/d/1kKUcYdkIfrgTSj8iHHHB2MD2FAtwyyocFgqGQn6ADyI/edit?usp=sharing"",""กระบี่!J655"")+IMPORTRANGE(""https://docs.google.com/spreadsheets/d/1GwtLaSlNZkLk7iDqcyZz22giiy40b_usZZBXYciEN1U/edit?usp=sharing"",""ชุ"&amp;"มพร!J655"")+IMPORTRANGE(""https://docs.google.com/spreadsheets/d/16pAz3pOhQEZBhvFNMa5KGgZS6iKWpsKX0pg6tQmwFpo/edit?usp=sharing"",""ตรัง!J655"")+IMPORTRANGE(""https://docs.google.com/spreadsheets/d/1Dj4jcHCTV9JXKCaMoheSXS52JE63kDKyG7bPXnFogHk/edit?usp=shar"&amp;"ing"",""นครศรีธรรมราช!J655"")+IMPORTRANGE(""https://docs.google.com/spreadsheets/d/1iodCdmuK2GR3jzUwk8tpccY2JHQQA-87DLOtJP-ooyU/edit?usp=sharing"",""นราธิวาส!J655"")+IMPORTRANGE(""https://docs.google.com/spreadsheets/d/1SDNX3JhDdYRuIOsj0Wh2M-Qa_eaXl0NbWmh"&amp;"AOTbfQAs/edit?usp=sharing"",""ปัตตานี!J655"")+IMPORTRANGE(""https://docs.google.com/spreadsheets/d/16JDLGguT8s5DsGCND1KcwHP_AWR_zDMTqLHPLJUKhaU/edit?usp=sharing"",""พังงา!J655"")+IMPORTRANGE(""https://docs.google.com/spreadsheets/d/17ht0gPKzzT3PObBL1XJkeR"&amp;"mntBXI7wGjpLV7QorqlTk/edit?usp=sharing"",""พัทลุง!J655"")+IMPORTRANGE(""https://docs.google.com/spreadsheets/d/1rd4qoM1q_hsgaolqNGfrim9gbsoLxQsda4-vOz5x_BM/edit?usp=sharing"",""ภูเก็ต!J655"")+IMPORTRANGE(""https://docs.google.com/spreadsheets/d/1woKwKjgoL"&amp;"ssDvPcPeVyezB5izizAn4X1JDrys69n6xI/edit?usp=sharing"",""ยะลา!J655"")+IMPORTRANGE(""https://docs.google.com/spreadsheets/d/1qfrKjzMhm2HJfxQ-qVlJlJQ25Hne1d0khsySbZyGtPA/edit?usp=sharing"",""ระนอง!J655"")+IMPORTRANGE(""https://docs.google.com/spreadsheets/d/"&amp;"1IbSCnFOKpZsnFogBHJnL_isstZVaOMnFiIN0fGTPZZw/edit?usp=sharing"",""สงขลา!J655"")+IMPORTRANGE(""https://docs.google.com/spreadsheets/d/1q9nWasZJ-K8bFGvbE9n0qSRuKGA4Toe3Y89cKCiVtCU/edit?usp=sharing"",""สตูล!J655"")+IMPORTRANGE(""https://docs.google.com/sprea"&amp;"dsheets/d/18T20gbkS_WBjdscyTOV05cvq_JqvqQ17C81mpxf7Ncs/edit?usp=sharing"",""สุราษฎร์ธานี!J655"")"),0)</f>
        <v>0</v>
      </c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f ca="1">IFERROR(__xludf.DUMMYFUNCTION("IMPORTRANGE(""https://docs.google.com/spreadsheets/d/1kKUcYdkIfrgTSj8iHHHB2MD2FAtwyyocFgqGQn6ADyI/edit?usp=sharing"",""กระบี่!J656"")+IMPORTRANGE(""https://docs.google.com/spreadsheets/d/1GwtLaSlNZkLk7iDqcyZz22giiy40b_usZZBXYciEN1U/edit?usp=sharing"",""ชุ"&amp;"มพร!J656"")+IMPORTRANGE(""https://docs.google.com/spreadsheets/d/16pAz3pOhQEZBhvFNMa5KGgZS6iKWpsKX0pg6tQmwFpo/edit?usp=sharing"",""ตรัง!J656"")+IMPORTRANGE(""https://docs.google.com/spreadsheets/d/1Dj4jcHCTV9JXKCaMoheSXS52JE63kDKyG7bPXnFogHk/edit?usp=shar"&amp;"ing"",""นครศรีธรรมราช!J656"")+IMPORTRANGE(""https://docs.google.com/spreadsheets/d/1iodCdmuK2GR3jzUwk8tpccY2JHQQA-87DLOtJP-ooyU/edit?usp=sharing"",""นราธิวาส!J656"")+IMPORTRANGE(""https://docs.google.com/spreadsheets/d/1SDNX3JhDdYRuIOsj0Wh2M-Qa_eaXl0NbWmh"&amp;"AOTbfQAs/edit?usp=sharing"",""ปัตตานี!J656"")+IMPORTRANGE(""https://docs.google.com/spreadsheets/d/16JDLGguT8s5DsGCND1KcwHP_AWR_zDMTqLHPLJUKhaU/edit?usp=sharing"",""พังงา!J656"")+IMPORTRANGE(""https://docs.google.com/spreadsheets/d/17ht0gPKzzT3PObBL1XJkeR"&amp;"mntBXI7wGjpLV7QorqlTk/edit?usp=sharing"",""พัทลุง!J656"")+IMPORTRANGE(""https://docs.google.com/spreadsheets/d/1rd4qoM1q_hsgaolqNGfrim9gbsoLxQsda4-vOz5x_BM/edit?usp=sharing"",""ภูเก็ต!J656"")+IMPORTRANGE(""https://docs.google.com/spreadsheets/d/1woKwKjgoL"&amp;"ssDvPcPeVyezB5izizAn4X1JDrys69n6xI/edit?usp=sharing"",""ยะลา!J656"")+IMPORTRANGE(""https://docs.google.com/spreadsheets/d/1qfrKjzMhm2HJfxQ-qVlJlJQ25Hne1d0khsySbZyGtPA/edit?usp=sharing"",""ระนอง!J656"")+IMPORTRANGE(""https://docs.google.com/spreadsheets/d/"&amp;"1IbSCnFOKpZsnFogBHJnL_isstZVaOMnFiIN0fGTPZZw/edit?usp=sharing"",""สงขลา!J656"")+IMPORTRANGE(""https://docs.google.com/spreadsheets/d/1q9nWasZJ-K8bFGvbE9n0qSRuKGA4Toe3Y89cKCiVtCU/edit?usp=sharing"",""สตูล!J656"")+IMPORTRANGE(""https://docs.google.com/sprea"&amp;"dsheets/d/18T20gbkS_WBjdscyTOV05cvq_JqvqQ17C81mpxf7Ncs/edit?usp=sharing"",""สุราษฎร์ธานี!J656"")"),0)</f>
        <v>0</v>
      </c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kKUcYdkIfrgTSj8iHHHB2MD2FAtwyyocFgqGQn6ADyI/edit?usp=sharing"",""กระบี่!I657"")+IMPORTRANGE(""https://docs.google.com/spreadsheets/d/1GwtLaSlNZkLk7iDqcyZz22giiy40b_usZZBXYciEN1U/edit?usp=sharing"",""ชุ"&amp;"มพร!I657"")+IMPORTRANGE(""https://docs.google.com/spreadsheets/d/16pAz3pOhQEZBhvFNMa5KGgZS6iKWpsKX0pg6tQmwFpo/edit?usp=sharing"",""ตรัง!I657"")+IMPORTRANGE(""https://docs.google.com/spreadsheets/d/1Dj4jcHCTV9JXKCaMoheSXS52JE63kDKyG7bPXnFogHk/edit?usp=shar"&amp;"ing"",""นครศรีธรรมราช!I657"")+IMPORTRANGE(""https://docs.google.com/spreadsheets/d/1iodCdmuK2GR3jzUwk8tpccY2JHQQA-87DLOtJP-ooyU/edit?usp=sharing"",""นราธิวาส!I657"")+IMPORTRANGE(""https://docs.google.com/spreadsheets/d/1SDNX3JhDdYRuIOsj0Wh2M-Qa_eaXl0NbWmh"&amp;"AOTbfQAs/edit?usp=sharing"",""ปัตตานี!I657"")+IMPORTRANGE(""https://docs.google.com/spreadsheets/d/16JDLGguT8s5DsGCND1KcwHP_AWR_zDMTqLHPLJUKhaU/edit?usp=sharing"",""พังงา!I657"")+IMPORTRANGE(""https://docs.google.com/spreadsheets/d/17ht0gPKzzT3PObBL1XJkeR"&amp;"mntBXI7wGjpLV7QorqlTk/edit?usp=sharing"",""พัทลุง!I657"")+IMPORTRANGE(""https://docs.google.com/spreadsheets/d/1rd4qoM1q_hsgaolqNGfrim9gbsoLxQsda4-vOz5x_BM/edit?usp=sharing"",""ภูเก็ต!I657"")+IMPORTRANGE(""https://docs.google.com/spreadsheets/d/1woKwKjgoL"&amp;"ssDvPcPeVyezB5izizAn4X1JDrys69n6xI/edit?usp=sharing"",""ยะลา!I657"")+IMPORTRANGE(""https://docs.google.com/spreadsheets/d/1qfrKjzMhm2HJfxQ-qVlJlJQ25Hne1d0khsySbZyGtPA/edit?usp=sharing"",""ระนอง!I657"")+IMPORTRANGE(""https://docs.google.com/spreadsheets/d/"&amp;"1IbSCnFOKpZsnFogBHJnL_isstZVaOMnFiIN0fGTPZZw/edit?usp=sharing"",""สงขลา!I657"")+IMPORTRANGE(""https://docs.google.com/spreadsheets/d/1q9nWasZJ-K8bFGvbE9n0qSRuKGA4Toe3Y89cKCiVtCU/edit?usp=sharing"",""สตูล!I657"")+IMPORTRANGE(""https://docs.google.com/sprea"&amp;"dsheets/d/18T20gbkS_WBjdscyTOV05cvq_JqvqQ17C81mpxf7Ncs/edit?usp=sharing"",""สุราษฎร์ธานี!I657"")"),0)</f>
        <v>0</v>
      </c>
      <c r="J657" s="167">
        <f ca="1">IFERROR(__xludf.DUMMYFUNCTION("IMPORTRANGE(""https://docs.google.com/spreadsheets/d/1kKUcYdkIfrgTSj8iHHHB2MD2FAtwyyocFgqGQn6ADyI/edit?usp=sharing"",""กระบี่!J657"")+IMPORTRANGE(""https://docs.google.com/spreadsheets/d/1GwtLaSlNZkLk7iDqcyZz22giiy40b_usZZBXYciEN1U/edit?usp=sharing"",""ชุ"&amp;"มพร!J657"")+IMPORTRANGE(""https://docs.google.com/spreadsheets/d/16pAz3pOhQEZBhvFNMa5KGgZS6iKWpsKX0pg6tQmwFpo/edit?usp=sharing"",""ตรัง!J657"")+IMPORTRANGE(""https://docs.google.com/spreadsheets/d/1Dj4jcHCTV9JXKCaMoheSXS52JE63kDKyG7bPXnFogHk/edit?usp=shar"&amp;"ing"",""นครศรีธรรมราช!J657"")+IMPORTRANGE(""https://docs.google.com/spreadsheets/d/1iodCdmuK2GR3jzUwk8tpccY2JHQQA-87DLOtJP-ooyU/edit?usp=sharing"",""นราธิวาส!J657"")+IMPORTRANGE(""https://docs.google.com/spreadsheets/d/1SDNX3JhDdYRuIOsj0Wh2M-Qa_eaXl0NbWmh"&amp;"AOTbfQAs/edit?usp=sharing"",""ปัตตานี!J657"")+IMPORTRANGE(""https://docs.google.com/spreadsheets/d/16JDLGguT8s5DsGCND1KcwHP_AWR_zDMTqLHPLJUKhaU/edit?usp=sharing"",""พังงา!J657"")+IMPORTRANGE(""https://docs.google.com/spreadsheets/d/17ht0gPKzzT3PObBL1XJkeR"&amp;"mntBXI7wGjpLV7QorqlTk/edit?usp=sharing"",""พัทลุง!J657"")+IMPORTRANGE(""https://docs.google.com/spreadsheets/d/1rd4qoM1q_hsgaolqNGfrim9gbsoLxQsda4-vOz5x_BM/edit?usp=sharing"",""ภูเก็ต!J657"")+IMPORTRANGE(""https://docs.google.com/spreadsheets/d/1woKwKjgoL"&amp;"ssDvPcPeVyezB5izizAn4X1JDrys69n6xI/edit?usp=sharing"",""ยะลา!J657"")+IMPORTRANGE(""https://docs.google.com/spreadsheets/d/1qfrKjzMhm2HJfxQ-qVlJlJQ25Hne1d0khsySbZyGtPA/edit?usp=sharing"",""ระนอง!J657"")+IMPORTRANGE(""https://docs.google.com/spreadsheets/d/"&amp;"1IbSCnFOKpZsnFogBHJnL_isstZVaOMnFiIN0fGTPZZw/edit?usp=sharing"",""สงขลา!J657"")+IMPORTRANGE(""https://docs.google.com/spreadsheets/d/1q9nWasZJ-K8bFGvbE9n0qSRuKGA4Toe3Y89cKCiVtCU/edit?usp=sharing"",""สตูล!J657"")+IMPORTRANGE(""https://docs.google.com/sprea"&amp;"dsheets/d/18T20gbkS_WBjdscyTOV05cvq_JqvqQ17C81mpxf7Ncs/edit?usp=sharing"",""สุราษฎร์ธานี!J657"")"),0)</f>
        <v>0</v>
      </c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f ca="1">IFERROR(__xludf.DUMMYFUNCTION("IMPORTRANGE(""https://docs.google.com/spreadsheets/d/1kKUcYdkIfrgTSj8iHHHB2MD2FAtwyyocFgqGQn6ADyI/edit?usp=sharing"",""กระบี่!J658"")+IMPORTRANGE(""https://docs.google.com/spreadsheets/d/1GwtLaSlNZkLk7iDqcyZz22giiy40b_usZZBXYciEN1U/edit?usp=sharing"",""ชุ"&amp;"มพร!J658"")+IMPORTRANGE(""https://docs.google.com/spreadsheets/d/16pAz3pOhQEZBhvFNMa5KGgZS6iKWpsKX0pg6tQmwFpo/edit?usp=sharing"",""ตรัง!J658"")+IMPORTRANGE(""https://docs.google.com/spreadsheets/d/1Dj4jcHCTV9JXKCaMoheSXS52JE63kDKyG7bPXnFogHk/edit?usp=shar"&amp;"ing"",""นครศรีธรรมราช!J658"")+IMPORTRANGE(""https://docs.google.com/spreadsheets/d/1iodCdmuK2GR3jzUwk8tpccY2JHQQA-87DLOtJP-ooyU/edit?usp=sharing"",""นราธิวาส!J658"")+IMPORTRANGE(""https://docs.google.com/spreadsheets/d/1SDNX3JhDdYRuIOsj0Wh2M-Qa_eaXl0NbWmh"&amp;"AOTbfQAs/edit?usp=sharing"",""ปัตตานี!J658"")+IMPORTRANGE(""https://docs.google.com/spreadsheets/d/16JDLGguT8s5DsGCND1KcwHP_AWR_zDMTqLHPLJUKhaU/edit?usp=sharing"",""พังงา!J658"")+IMPORTRANGE(""https://docs.google.com/spreadsheets/d/17ht0gPKzzT3PObBL1XJkeR"&amp;"mntBXI7wGjpLV7QorqlTk/edit?usp=sharing"",""พัทลุง!J658"")+IMPORTRANGE(""https://docs.google.com/spreadsheets/d/1rd4qoM1q_hsgaolqNGfrim9gbsoLxQsda4-vOz5x_BM/edit?usp=sharing"",""ภูเก็ต!J658"")+IMPORTRANGE(""https://docs.google.com/spreadsheets/d/1woKwKjgoL"&amp;"ssDvPcPeVyezB5izizAn4X1JDrys69n6xI/edit?usp=sharing"",""ยะลา!J658"")+IMPORTRANGE(""https://docs.google.com/spreadsheets/d/1qfrKjzMhm2HJfxQ-qVlJlJQ25Hne1d0khsySbZyGtPA/edit?usp=sharing"",""ระนอง!J658"")+IMPORTRANGE(""https://docs.google.com/spreadsheets/d/"&amp;"1IbSCnFOKpZsnFogBHJnL_isstZVaOMnFiIN0fGTPZZw/edit?usp=sharing"",""สงขลา!J658"")+IMPORTRANGE(""https://docs.google.com/spreadsheets/d/1q9nWasZJ-K8bFGvbE9n0qSRuKGA4Toe3Y89cKCiVtCU/edit?usp=sharing"",""สตูล!J658"")+IMPORTRANGE(""https://docs.google.com/sprea"&amp;"dsheets/d/18T20gbkS_WBjdscyTOV05cvq_JqvqQ17C81mpxf7Ncs/edit?usp=sharing"",""สุราษฎร์ธานี!J658"")"),0)</f>
        <v>0</v>
      </c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f ca="1">IFERROR(__xludf.DUMMYFUNCTION("IMPORTRANGE(""https://docs.google.com/spreadsheets/d/1kKUcYdkIfrgTSj8iHHHB2MD2FAtwyyocFgqGQn6ADyI/edit?usp=sharing"",""กระบี่!J659"")+IMPORTRANGE(""https://docs.google.com/spreadsheets/d/1GwtLaSlNZkLk7iDqcyZz22giiy40b_usZZBXYciEN1U/edit?usp=sharing"",""ชุ"&amp;"มพร!J659"")+IMPORTRANGE(""https://docs.google.com/spreadsheets/d/16pAz3pOhQEZBhvFNMa5KGgZS6iKWpsKX0pg6tQmwFpo/edit?usp=sharing"",""ตรัง!J659"")+IMPORTRANGE(""https://docs.google.com/spreadsheets/d/1Dj4jcHCTV9JXKCaMoheSXS52JE63kDKyG7bPXnFogHk/edit?usp=shar"&amp;"ing"",""นครศรีธรรมราช!J659"")+IMPORTRANGE(""https://docs.google.com/spreadsheets/d/1iodCdmuK2GR3jzUwk8tpccY2JHQQA-87DLOtJP-ooyU/edit?usp=sharing"",""นราธิวาส!J659"")+IMPORTRANGE(""https://docs.google.com/spreadsheets/d/1SDNX3JhDdYRuIOsj0Wh2M-Qa_eaXl0NbWmh"&amp;"AOTbfQAs/edit?usp=sharing"",""ปัตตานี!J659"")+IMPORTRANGE(""https://docs.google.com/spreadsheets/d/16JDLGguT8s5DsGCND1KcwHP_AWR_zDMTqLHPLJUKhaU/edit?usp=sharing"",""พังงา!J659"")+IMPORTRANGE(""https://docs.google.com/spreadsheets/d/17ht0gPKzzT3PObBL1XJkeR"&amp;"mntBXI7wGjpLV7QorqlTk/edit?usp=sharing"",""พัทลุง!J659"")+IMPORTRANGE(""https://docs.google.com/spreadsheets/d/1rd4qoM1q_hsgaolqNGfrim9gbsoLxQsda4-vOz5x_BM/edit?usp=sharing"",""ภูเก็ต!J659"")+IMPORTRANGE(""https://docs.google.com/spreadsheets/d/1woKwKjgoL"&amp;"ssDvPcPeVyezB5izizAn4X1JDrys69n6xI/edit?usp=sharing"",""ยะลา!J659"")+IMPORTRANGE(""https://docs.google.com/spreadsheets/d/1qfrKjzMhm2HJfxQ-qVlJlJQ25Hne1d0khsySbZyGtPA/edit?usp=sharing"",""ระนอง!J659"")+IMPORTRANGE(""https://docs.google.com/spreadsheets/d/"&amp;"1IbSCnFOKpZsnFogBHJnL_isstZVaOMnFiIN0fGTPZZw/edit?usp=sharing"",""สงขลา!J659"")+IMPORTRANGE(""https://docs.google.com/spreadsheets/d/1q9nWasZJ-K8bFGvbE9n0qSRuKGA4Toe3Y89cKCiVtCU/edit?usp=sharing"",""สตูล!J659"")+IMPORTRANGE(""https://docs.google.com/sprea"&amp;"dsheets/d/18T20gbkS_WBjdscyTOV05cvq_JqvqQ17C81mpxf7Ncs/edit?usp=sharing"",""สุราษฎร์ธานี!J659"")"),0)</f>
        <v>0</v>
      </c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kKUcYdkIfrgTSj8iHHHB2MD2FAtwyyocFgqGQn6ADyI/edit?usp=sharing"",""กระบี่!I660"")+IMPORTRANGE(""https://docs.google.com/spreadsheets/d/1GwtLaSlNZkLk7iDqcyZz22giiy40b_usZZBXYciEN1U/edit?usp=sharing"",""ชุ"&amp;"มพร!I660"")+IMPORTRANGE(""https://docs.google.com/spreadsheets/d/16pAz3pOhQEZBhvFNMa5KGgZS6iKWpsKX0pg6tQmwFpo/edit?usp=sharing"",""ตรัง!I660"")+IMPORTRANGE(""https://docs.google.com/spreadsheets/d/1Dj4jcHCTV9JXKCaMoheSXS52JE63kDKyG7bPXnFogHk/edit?usp=shar"&amp;"ing"",""นครศรีธรรมราช!I660"")+IMPORTRANGE(""https://docs.google.com/spreadsheets/d/1iodCdmuK2GR3jzUwk8tpccY2JHQQA-87DLOtJP-ooyU/edit?usp=sharing"",""นราธิวาส!I660"")+IMPORTRANGE(""https://docs.google.com/spreadsheets/d/1SDNX3JhDdYRuIOsj0Wh2M-Qa_eaXl0NbWmh"&amp;"AOTbfQAs/edit?usp=sharing"",""ปัตตานี!I660"")+IMPORTRANGE(""https://docs.google.com/spreadsheets/d/16JDLGguT8s5DsGCND1KcwHP_AWR_zDMTqLHPLJUKhaU/edit?usp=sharing"",""พังงา!I660"")+IMPORTRANGE(""https://docs.google.com/spreadsheets/d/17ht0gPKzzT3PObBL1XJkeR"&amp;"mntBXI7wGjpLV7QorqlTk/edit?usp=sharing"",""พัทลุง!I660"")+IMPORTRANGE(""https://docs.google.com/spreadsheets/d/1rd4qoM1q_hsgaolqNGfrim9gbsoLxQsda4-vOz5x_BM/edit?usp=sharing"",""ภูเก็ต!I660"")+IMPORTRANGE(""https://docs.google.com/spreadsheets/d/1woKwKjgoL"&amp;"ssDvPcPeVyezB5izizAn4X1JDrys69n6xI/edit?usp=sharing"",""ยะลา!I660"")+IMPORTRANGE(""https://docs.google.com/spreadsheets/d/1qfrKjzMhm2HJfxQ-qVlJlJQ25Hne1d0khsySbZyGtPA/edit?usp=sharing"",""ระนอง!I660"")+IMPORTRANGE(""https://docs.google.com/spreadsheets/d/"&amp;"1IbSCnFOKpZsnFogBHJnL_isstZVaOMnFiIN0fGTPZZw/edit?usp=sharing"",""สงขลา!I660"")+IMPORTRANGE(""https://docs.google.com/spreadsheets/d/1q9nWasZJ-K8bFGvbE9n0qSRuKGA4Toe3Y89cKCiVtCU/edit?usp=sharing"",""สตูล!I660"")+IMPORTRANGE(""https://docs.google.com/sprea"&amp;"dsheets/d/18T20gbkS_WBjdscyTOV05cvq_JqvqQ17C81mpxf7Ncs/edit?usp=sharing"",""สุราษฎร์ธานี!I660"")"),0)</f>
        <v>0</v>
      </c>
      <c r="J660" s="167">
        <f ca="1">IFERROR(__xludf.DUMMYFUNCTION("IMPORTRANGE(""https://docs.google.com/spreadsheets/d/1kKUcYdkIfrgTSj8iHHHB2MD2FAtwyyocFgqGQn6ADyI/edit?usp=sharing"",""กระบี่!J660"")+IMPORTRANGE(""https://docs.google.com/spreadsheets/d/1GwtLaSlNZkLk7iDqcyZz22giiy40b_usZZBXYciEN1U/edit?usp=sharing"",""ชุ"&amp;"มพร!J660"")+IMPORTRANGE(""https://docs.google.com/spreadsheets/d/16pAz3pOhQEZBhvFNMa5KGgZS6iKWpsKX0pg6tQmwFpo/edit?usp=sharing"",""ตรัง!J660"")+IMPORTRANGE(""https://docs.google.com/spreadsheets/d/1Dj4jcHCTV9JXKCaMoheSXS52JE63kDKyG7bPXnFogHk/edit?usp=shar"&amp;"ing"",""นครศรีธรรมราช!J660"")+IMPORTRANGE(""https://docs.google.com/spreadsheets/d/1iodCdmuK2GR3jzUwk8tpccY2JHQQA-87DLOtJP-ooyU/edit?usp=sharing"",""นราธิวาส!J660"")+IMPORTRANGE(""https://docs.google.com/spreadsheets/d/1SDNX3JhDdYRuIOsj0Wh2M-Qa_eaXl0NbWmh"&amp;"AOTbfQAs/edit?usp=sharing"",""ปัตตานี!J660"")+IMPORTRANGE(""https://docs.google.com/spreadsheets/d/16JDLGguT8s5DsGCND1KcwHP_AWR_zDMTqLHPLJUKhaU/edit?usp=sharing"",""พังงา!J660"")+IMPORTRANGE(""https://docs.google.com/spreadsheets/d/17ht0gPKzzT3PObBL1XJkeR"&amp;"mntBXI7wGjpLV7QorqlTk/edit?usp=sharing"",""พัทลุง!J660"")+IMPORTRANGE(""https://docs.google.com/spreadsheets/d/1rd4qoM1q_hsgaolqNGfrim9gbsoLxQsda4-vOz5x_BM/edit?usp=sharing"",""ภูเก็ต!J660"")+IMPORTRANGE(""https://docs.google.com/spreadsheets/d/1woKwKjgoL"&amp;"ssDvPcPeVyezB5izizAn4X1JDrys69n6xI/edit?usp=sharing"",""ยะลา!J660"")+IMPORTRANGE(""https://docs.google.com/spreadsheets/d/1qfrKjzMhm2HJfxQ-qVlJlJQ25Hne1d0khsySbZyGtPA/edit?usp=sharing"",""ระนอง!J660"")+IMPORTRANGE(""https://docs.google.com/spreadsheets/d/"&amp;"1IbSCnFOKpZsnFogBHJnL_isstZVaOMnFiIN0fGTPZZw/edit?usp=sharing"",""สงขลา!J660"")+IMPORTRANGE(""https://docs.google.com/spreadsheets/d/1q9nWasZJ-K8bFGvbE9n0qSRuKGA4Toe3Y89cKCiVtCU/edit?usp=sharing"",""สตูล!J660"")+IMPORTRANGE(""https://docs.google.com/sprea"&amp;"dsheets/d/18T20gbkS_WBjdscyTOV05cvq_JqvqQ17C81mpxf7Ncs/edit?usp=sharing"",""สุราษฎร์ธานี!J660"")"),0)</f>
        <v>0</v>
      </c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kKUcYdkIfrgTSj8iHHHB2MD2FAtwyyocFgqGQn6ADyI/edit?usp=sharing"",""กระบี่!I661"")+IMPORTRANGE(""https://docs.google.com/spreadsheets/d/1GwtLaSlNZkLk7iDqcyZz22giiy40b_usZZBXYciEN1U/edit?usp=sharing"",""ชุ"&amp;"มพร!I661"")+IMPORTRANGE(""https://docs.google.com/spreadsheets/d/16pAz3pOhQEZBhvFNMa5KGgZS6iKWpsKX0pg6tQmwFpo/edit?usp=sharing"",""ตรัง!I661"")+IMPORTRANGE(""https://docs.google.com/spreadsheets/d/1Dj4jcHCTV9JXKCaMoheSXS52JE63kDKyG7bPXnFogHk/edit?usp=shar"&amp;"ing"",""นครศรีธรรมราช!I661"")+IMPORTRANGE(""https://docs.google.com/spreadsheets/d/1iodCdmuK2GR3jzUwk8tpccY2JHQQA-87DLOtJP-ooyU/edit?usp=sharing"",""นราธิวาส!I661"")+IMPORTRANGE(""https://docs.google.com/spreadsheets/d/1SDNX3JhDdYRuIOsj0Wh2M-Qa_eaXl0NbWmh"&amp;"AOTbfQAs/edit?usp=sharing"",""ปัตตานี!I661"")+IMPORTRANGE(""https://docs.google.com/spreadsheets/d/16JDLGguT8s5DsGCND1KcwHP_AWR_zDMTqLHPLJUKhaU/edit?usp=sharing"",""พังงา!I661"")+IMPORTRANGE(""https://docs.google.com/spreadsheets/d/17ht0gPKzzT3PObBL1XJkeR"&amp;"mntBXI7wGjpLV7QorqlTk/edit?usp=sharing"",""พัทลุง!I661"")+IMPORTRANGE(""https://docs.google.com/spreadsheets/d/1rd4qoM1q_hsgaolqNGfrim9gbsoLxQsda4-vOz5x_BM/edit?usp=sharing"",""ภูเก็ต!I661"")+IMPORTRANGE(""https://docs.google.com/spreadsheets/d/1woKwKjgoL"&amp;"ssDvPcPeVyezB5izizAn4X1JDrys69n6xI/edit?usp=sharing"",""ยะลา!I661"")+IMPORTRANGE(""https://docs.google.com/spreadsheets/d/1qfrKjzMhm2HJfxQ-qVlJlJQ25Hne1d0khsySbZyGtPA/edit?usp=sharing"",""ระนอง!I661"")+IMPORTRANGE(""https://docs.google.com/spreadsheets/d/"&amp;"1IbSCnFOKpZsnFogBHJnL_isstZVaOMnFiIN0fGTPZZw/edit?usp=sharing"",""สงขลา!I661"")+IMPORTRANGE(""https://docs.google.com/spreadsheets/d/1q9nWasZJ-K8bFGvbE9n0qSRuKGA4Toe3Y89cKCiVtCU/edit?usp=sharing"",""สตูล!I661"")+IMPORTRANGE(""https://docs.google.com/sprea"&amp;"dsheets/d/18T20gbkS_WBjdscyTOV05cvq_JqvqQ17C81mpxf7Ncs/edit?usp=sharing"",""สุราษฎร์ธานี!I661"")"),0)</f>
        <v>0</v>
      </c>
      <c r="J661" s="147">
        <f ca="1">J667+J670</f>
        <v>0</v>
      </c>
      <c r="K661" s="132">
        <f ca="1">IF(I661&gt;0,J661*100/I661,0)</f>
        <v>0</v>
      </c>
      <c r="L661" s="46"/>
      <c r="M661" s="46"/>
      <c r="N661" s="46"/>
      <c r="O661" s="46"/>
      <c r="P661" s="46"/>
      <c r="Q661" s="46"/>
      <c r="R661" s="46"/>
      <c r="S661" s="46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f ca="1">IFERROR(__xludf.DUMMYFUNCTION("IMPORTRANGE(""https://docs.google.com/spreadsheets/d/1kKUcYdkIfrgTSj8iHHHB2MD2FAtwyyocFgqGQn6ADyI/edit?usp=sharing"",""กระบี่!J662"")+IMPORTRANGE(""https://docs.google.com/spreadsheets/d/1GwtLaSlNZkLk7iDqcyZz22giiy40b_usZZBXYciEN1U/edit?usp=sharing"",""ชุ"&amp;"มพร!J662"")+IMPORTRANGE(""https://docs.google.com/spreadsheets/d/16pAz3pOhQEZBhvFNMa5KGgZS6iKWpsKX0pg6tQmwFpo/edit?usp=sharing"",""ตรัง!J662"")+IMPORTRANGE(""https://docs.google.com/spreadsheets/d/1Dj4jcHCTV9JXKCaMoheSXS52JE63kDKyG7bPXnFogHk/edit?usp=shar"&amp;"ing"",""นครศรีธรรมราช!J662"")+IMPORTRANGE(""https://docs.google.com/spreadsheets/d/1iodCdmuK2GR3jzUwk8tpccY2JHQQA-87DLOtJP-ooyU/edit?usp=sharing"",""นราธิวาส!J662"")+IMPORTRANGE(""https://docs.google.com/spreadsheets/d/1SDNX3JhDdYRuIOsj0Wh2M-Qa_eaXl0NbWmh"&amp;"AOTbfQAs/edit?usp=sharing"",""ปัตตานี!J662"")+IMPORTRANGE(""https://docs.google.com/spreadsheets/d/16JDLGguT8s5DsGCND1KcwHP_AWR_zDMTqLHPLJUKhaU/edit?usp=sharing"",""พังงา!J662"")+IMPORTRANGE(""https://docs.google.com/spreadsheets/d/17ht0gPKzzT3PObBL1XJkeR"&amp;"mntBXI7wGjpLV7QorqlTk/edit?usp=sharing"",""พัทลุง!J662"")+IMPORTRANGE(""https://docs.google.com/spreadsheets/d/1rd4qoM1q_hsgaolqNGfrim9gbsoLxQsda4-vOz5x_BM/edit?usp=sharing"",""ภูเก็ต!J662"")+IMPORTRANGE(""https://docs.google.com/spreadsheets/d/1woKwKjgoL"&amp;"ssDvPcPeVyezB5izizAn4X1JDrys69n6xI/edit?usp=sharing"",""ยะลา!J662"")+IMPORTRANGE(""https://docs.google.com/spreadsheets/d/1qfrKjzMhm2HJfxQ-qVlJlJQ25Hne1d0khsySbZyGtPA/edit?usp=sharing"",""ระนอง!J662"")+IMPORTRANGE(""https://docs.google.com/spreadsheets/d/"&amp;"1IbSCnFOKpZsnFogBHJnL_isstZVaOMnFiIN0fGTPZZw/edit?usp=sharing"",""สงขลา!J662"")+IMPORTRANGE(""https://docs.google.com/spreadsheets/d/1q9nWasZJ-K8bFGvbE9n0qSRuKGA4Toe3Y89cKCiVtCU/edit?usp=sharing"",""สตูล!J662"")+IMPORTRANGE(""https://docs.google.com/sprea"&amp;"dsheets/d/18T20gbkS_WBjdscyTOV05cvq_JqvqQ17C81mpxf7Ncs/edit?usp=sharing"",""สุราษฎร์ธานี!J662"")"),0)</f>
        <v>0</v>
      </c>
      <c r="K662" s="46"/>
      <c r="L662" s="479"/>
      <c r="M662" s="479"/>
      <c r="N662" s="479"/>
      <c r="O662" s="46"/>
      <c r="P662" s="46"/>
      <c r="Q662" s="479"/>
      <c r="R662" s="479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f ca="1">IFERROR(__xludf.DUMMYFUNCTION("IMPORTRANGE(""https://docs.google.com/spreadsheets/d/1kKUcYdkIfrgTSj8iHHHB2MD2FAtwyyocFgqGQn6ADyI/edit?usp=sharing"",""กระบี่!J663"")+IMPORTRANGE(""https://docs.google.com/spreadsheets/d/1GwtLaSlNZkLk7iDqcyZz22giiy40b_usZZBXYciEN1U/edit?usp=sharing"",""ชุ"&amp;"มพร!J663"")+IMPORTRANGE(""https://docs.google.com/spreadsheets/d/16pAz3pOhQEZBhvFNMa5KGgZS6iKWpsKX0pg6tQmwFpo/edit?usp=sharing"",""ตรัง!J663"")+IMPORTRANGE(""https://docs.google.com/spreadsheets/d/1Dj4jcHCTV9JXKCaMoheSXS52JE63kDKyG7bPXnFogHk/edit?usp=shar"&amp;"ing"",""นครศรีธรรมราช!J663"")+IMPORTRANGE(""https://docs.google.com/spreadsheets/d/1iodCdmuK2GR3jzUwk8tpccY2JHQQA-87DLOtJP-ooyU/edit?usp=sharing"",""นราธิวาส!J663"")+IMPORTRANGE(""https://docs.google.com/spreadsheets/d/1SDNX3JhDdYRuIOsj0Wh2M-Qa_eaXl0NbWmh"&amp;"AOTbfQAs/edit?usp=sharing"",""ปัตตานี!J663"")+IMPORTRANGE(""https://docs.google.com/spreadsheets/d/16JDLGguT8s5DsGCND1KcwHP_AWR_zDMTqLHPLJUKhaU/edit?usp=sharing"",""พังงา!J663"")+IMPORTRANGE(""https://docs.google.com/spreadsheets/d/17ht0gPKzzT3PObBL1XJkeR"&amp;"mntBXI7wGjpLV7QorqlTk/edit?usp=sharing"",""พัทลุง!J663"")+IMPORTRANGE(""https://docs.google.com/spreadsheets/d/1rd4qoM1q_hsgaolqNGfrim9gbsoLxQsda4-vOz5x_BM/edit?usp=sharing"",""ภูเก็ต!J663"")+IMPORTRANGE(""https://docs.google.com/spreadsheets/d/1woKwKjgoL"&amp;"ssDvPcPeVyezB5izizAn4X1JDrys69n6xI/edit?usp=sharing"",""ยะลา!J663"")+IMPORTRANGE(""https://docs.google.com/spreadsheets/d/1qfrKjzMhm2HJfxQ-qVlJlJQ25Hne1d0khsySbZyGtPA/edit?usp=sharing"",""ระนอง!J663"")+IMPORTRANGE(""https://docs.google.com/spreadsheets/d/"&amp;"1IbSCnFOKpZsnFogBHJnL_isstZVaOMnFiIN0fGTPZZw/edit?usp=sharing"",""สงขลา!J663"")+IMPORTRANGE(""https://docs.google.com/spreadsheets/d/1q9nWasZJ-K8bFGvbE9n0qSRuKGA4Toe3Y89cKCiVtCU/edit?usp=sharing"",""สตูล!J663"")+IMPORTRANGE(""https://docs.google.com/sprea"&amp;"dsheets/d/18T20gbkS_WBjdscyTOV05cvq_JqvqQ17C81mpxf7Ncs/edit?usp=sharing"",""สุราษฎร์ธานี!J663"")"),0)</f>
        <v>0</v>
      </c>
      <c r="K663" s="46"/>
      <c r="L663" s="479"/>
      <c r="M663" s="479"/>
      <c r="N663" s="479"/>
      <c r="O663" s="46"/>
      <c r="P663" s="46"/>
      <c r="Q663" s="479"/>
      <c r="R663" s="479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479"/>
      <c r="M664" s="479"/>
      <c r="N664" s="479"/>
      <c r="O664" s="46"/>
      <c r="P664" s="46"/>
      <c r="Q664" s="479"/>
      <c r="R664" s="479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f ca="1">IFERROR(__xludf.DUMMYFUNCTION("IMPORTRANGE(""https://docs.google.com/spreadsheets/d/1kKUcYdkIfrgTSj8iHHHB2MD2FAtwyyocFgqGQn6ADyI/edit?usp=sharing"",""กระบี่!J665"")+IMPORTRANGE(""https://docs.google.com/spreadsheets/d/1GwtLaSlNZkLk7iDqcyZz22giiy40b_usZZBXYciEN1U/edit?usp=sharing"",""ชุ"&amp;"มพร!J665"")+IMPORTRANGE(""https://docs.google.com/spreadsheets/d/16pAz3pOhQEZBhvFNMa5KGgZS6iKWpsKX0pg6tQmwFpo/edit?usp=sharing"",""ตรัง!J665"")+IMPORTRANGE(""https://docs.google.com/spreadsheets/d/1Dj4jcHCTV9JXKCaMoheSXS52JE63kDKyG7bPXnFogHk/edit?usp=shar"&amp;"ing"",""นครศรีธรรมราช!J665"")+IMPORTRANGE(""https://docs.google.com/spreadsheets/d/1iodCdmuK2GR3jzUwk8tpccY2JHQQA-87DLOtJP-ooyU/edit?usp=sharing"",""นราธิวาส!J665"")+IMPORTRANGE(""https://docs.google.com/spreadsheets/d/1SDNX3JhDdYRuIOsj0Wh2M-Qa_eaXl0NbWmh"&amp;"AOTbfQAs/edit?usp=sharing"",""ปัตตานี!J665"")+IMPORTRANGE(""https://docs.google.com/spreadsheets/d/16JDLGguT8s5DsGCND1KcwHP_AWR_zDMTqLHPLJUKhaU/edit?usp=sharing"",""พังงา!J665"")+IMPORTRANGE(""https://docs.google.com/spreadsheets/d/17ht0gPKzzT3PObBL1XJkeR"&amp;"mntBXI7wGjpLV7QorqlTk/edit?usp=sharing"",""พัทลุง!J665"")+IMPORTRANGE(""https://docs.google.com/spreadsheets/d/1rd4qoM1q_hsgaolqNGfrim9gbsoLxQsda4-vOz5x_BM/edit?usp=sharing"",""ภูเก็ต!J665"")+IMPORTRANGE(""https://docs.google.com/spreadsheets/d/1woKwKjgoL"&amp;"ssDvPcPeVyezB5izizAn4X1JDrys69n6xI/edit?usp=sharing"",""ยะลา!J665"")+IMPORTRANGE(""https://docs.google.com/spreadsheets/d/1qfrKjzMhm2HJfxQ-qVlJlJQ25Hne1d0khsySbZyGtPA/edit?usp=sharing"",""ระนอง!J665"")+IMPORTRANGE(""https://docs.google.com/spreadsheets/d/"&amp;"1IbSCnFOKpZsnFogBHJnL_isstZVaOMnFiIN0fGTPZZw/edit?usp=sharing"",""สงขลา!J665"")+IMPORTRANGE(""https://docs.google.com/spreadsheets/d/1q9nWasZJ-K8bFGvbE9n0qSRuKGA4Toe3Y89cKCiVtCU/edit?usp=sharing"",""สตูล!J665"")+IMPORTRANGE(""https://docs.google.com/sprea"&amp;"dsheets/d/18T20gbkS_WBjdscyTOV05cvq_JqvqQ17C81mpxf7Ncs/edit?usp=sharing"",""สุราษฎร์ธานี!J665"")"),0)</f>
        <v>0</v>
      </c>
      <c r="K665" s="46"/>
      <c r="L665" s="479"/>
      <c r="M665" s="479"/>
      <c r="N665" s="479"/>
      <c r="O665" s="46"/>
      <c r="P665" s="46"/>
      <c r="Q665" s="479"/>
      <c r="R665" s="479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f ca="1">IFERROR(__xludf.DUMMYFUNCTION("IMPORTRANGE(""https://docs.google.com/spreadsheets/d/1kKUcYdkIfrgTSj8iHHHB2MD2FAtwyyocFgqGQn6ADyI/edit?usp=sharing"",""กระบี่!J666"")+IMPORTRANGE(""https://docs.google.com/spreadsheets/d/1GwtLaSlNZkLk7iDqcyZz22giiy40b_usZZBXYciEN1U/edit?usp=sharing"",""ชุ"&amp;"มพร!J666"")+IMPORTRANGE(""https://docs.google.com/spreadsheets/d/16pAz3pOhQEZBhvFNMa5KGgZS6iKWpsKX0pg6tQmwFpo/edit?usp=sharing"",""ตรัง!J666"")+IMPORTRANGE(""https://docs.google.com/spreadsheets/d/1Dj4jcHCTV9JXKCaMoheSXS52JE63kDKyG7bPXnFogHk/edit?usp=shar"&amp;"ing"",""นครศรีธรรมราช!J666"")+IMPORTRANGE(""https://docs.google.com/spreadsheets/d/1iodCdmuK2GR3jzUwk8tpccY2JHQQA-87DLOtJP-ooyU/edit?usp=sharing"",""นราธิวาส!J666"")+IMPORTRANGE(""https://docs.google.com/spreadsheets/d/1SDNX3JhDdYRuIOsj0Wh2M-Qa_eaXl0NbWmh"&amp;"AOTbfQAs/edit?usp=sharing"",""ปัตตานี!J666"")+IMPORTRANGE(""https://docs.google.com/spreadsheets/d/16JDLGguT8s5DsGCND1KcwHP_AWR_zDMTqLHPLJUKhaU/edit?usp=sharing"",""พังงา!J666"")+IMPORTRANGE(""https://docs.google.com/spreadsheets/d/17ht0gPKzzT3PObBL1XJkeR"&amp;"mntBXI7wGjpLV7QorqlTk/edit?usp=sharing"",""พัทลุง!J666"")+IMPORTRANGE(""https://docs.google.com/spreadsheets/d/1rd4qoM1q_hsgaolqNGfrim9gbsoLxQsda4-vOz5x_BM/edit?usp=sharing"",""ภูเก็ต!J666"")+IMPORTRANGE(""https://docs.google.com/spreadsheets/d/1woKwKjgoL"&amp;"ssDvPcPeVyezB5izizAn4X1JDrys69n6xI/edit?usp=sharing"",""ยะลา!J666"")+IMPORTRANGE(""https://docs.google.com/spreadsheets/d/1qfrKjzMhm2HJfxQ-qVlJlJQ25Hne1d0khsySbZyGtPA/edit?usp=sharing"",""ระนอง!J666"")+IMPORTRANGE(""https://docs.google.com/spreadsheets/d/"&amp;"1IbSCnFOKpZsnFogBHJnL_isstZVaOMnFiIN0fGTPZZw/edit?usp=sharing"",""สงขลา!J666"")+IMPORTRANGE(""https://docs.google.com/spreadsheets/d/1q9nWasZJ-K8bFGvbE9n0qSRuKGA4Toe3Y89cKCiVtCU/edit?usp=sharing"",""สตูล!J666"")+IMPORTRANGE(""https://docs.google.com/sprea"&amp;"dsheets/d/18T20gbkS_WBjdscyTOV05cvq_JqvqQ17C81mpxf7Ncs/edit?usp=sharing"",""สุราษฎร์ธานี!J666"")"),0)</f>
        <v>0</v>
      </c>
      <c r="K666" s="46"/>
      <c r="L666" s="479"/>
      <c r="M666" s="479"/>
      <c r="N666" s="479"/>
      <c r="O666" s="46"/>
      <c r="P666" s="46"/>
      <c r="Q666" s="479"/>
      <c r="R666" s="479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f ca="1">IFERROR(__xludf.DUMMYFUNCTION("IMPORTRANGE(""https://docs.google.com/spreadsheets/d/1kKUcYdkIfrgTSj8iHHHB2MD2FAtwyyocFgqGQn6ADyI/edit?usp=sharing"",""กระบี่!J667"")+IMPORTRANGE(""https://docs.google.com/spreadsheets/d/1GwtLaSlNZkLk7iDqcyZz22giiy40b_usZZBXYciEN1U/edit?usp=sharing"",""ชุ"&amp;"มพร!J667"")+IMPORTRANGE(""https://docs.google.com/spreadsheets/d/16pAz3pOhQEZBhvFNMa5KGgZS6iKWpsKX0pg6tQmwFpo/edit?usp=sharing"",""ตรัง!J667"")+IMPORTRANGE(""https://docs.google.com/spreadsheets/d/1Dj4jcHCTV9JXKCaMoheSXS52JE63kDKyG7bPXnFogHk/edit?usp=shar"&amp;"ing"",""นครศรีธรรมราช!J667"")+IMPORTRANGE(""https://docs.google.com/spreadsheets/d/1iodCdmuK2GR3jzUwk8tpccY2JHQQA-87DLOtJP-ooyU/edit?usp=sharing"",""นราธิวาส!J667"")+IMPORTRANGE(""https://docs.google.com/spreadsheets/d/1SDNX3JhDdYRuIOsj0Wh2M-Qa_eaXl0NbWmh"&amp;"AOTbfQAs/edit?usp=sharing"",""ปัตตานี!J667"")+IMPORTRANGE(""https://docs.google.com/spreadsheets/d/16JDLGguT8s5DsGCND1KcwHP_AWR_zDMTqLHPLJUKhaU/edit?usp=sharing"",""พังงา!J667"")+IMPORTRANGE(""https://docs.google.com/spreadsheets/d/17ht0gPKzzT3PObBL1XJkeR"&amp;"mntBXI7wGjpLV7QorqlTk/edit?usp=sharing"",""พัทลุง!J667"")+IMPORTRANGE(""https://docs.google.com/spreadsheets/d/1rd4qoM1q_hsgaolqNGfrim9gbsoLxQsda4-vOz5x_BM/edit?usp=sharing"",""ภูเก็ต!J667"")+IMPORTRANGE(""https://docs.google.com/spreadsheets/d/1woKwKjgoL"&amp;"ssDvPcPeVyezB5izizAn4X1JDrys69n6xI/edit?usp=sharing"",""ยะลา!J667"")+IMPORTRANGE(""https://docs.google.com/spreadsheets/d/1qfrKjzMhm2HJfxQ-qVlJlJQ25Hne1d0khsySbZyGtPA/edit?usp=sharing"",""ระนอง!J667"")+IMPORTRANGE(""https://docs.google.com/spreadsheets/d/"&amp;"1IbSCnFOKpZsnFogBHJnL_isstZVaOMnFiIN0fGTPZZw/edit?usp=sharing"",""สงขลา!J667"")+IMPORTRANGE(""https://docs.google.com/spreadsheets/d/1q9nWasZJ-K8bFGvbE9n0qSRuKGA4Toe3Y89cKCiVtCU/edit?usp=sharing"",""สตูล!J667"")+IMPORTRANGE(""https://docs.google.com/sprea"&amp;"dsheets/d/18T20gbkS_WBjdscyTOV05cvq_JqvqQ17C81mpxf7Ncs/edit?usp=sharing"",""สุราษฎร์ธานี!J667"")"),0)</f>
        <v>0</v>
      </c>
      <c r="K667" s="46"/>
      <c r="L667" s="479"/>
      <c r="M667" s="479"/>
      <c r="N667" s="479"/>
      <c r="O667" s="46"/>
      <c r="P667" s="46"/>
      <c r="Q667" s="479"/>
      <c r="R667" s="479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f ca="1">IFERROR(__xludf.DUMMYFUNCTION("IMPORTRANGE(""https://docs.google.com/spreadsheets/d/1kKUcYdkIfrgTSj8iHHHB2MD2FAtwyyocFgqGQn6ADyI/edit?usp=sharing"",""กระบี่!J668"")+IMPORTRANGE(""https://docs.google.com/spreadsheets/d/1GwtLaSlNZkLk7iDqcyZz22giiy40b_usZZBXYciEN1U/edit?usp=sharing"",""ชุ"&amp;"มพร!J668"")+IMPORTRANGE(""https://docs.google.com/spreadsheets/d/16pAz3pOhQEZBhvFNMa5KGgZS6iKWpsKX0pg6tQmwFpo/edit?usp=sharing"",""ตรัง!J668"")+IMPORTRANGE(""https://docs.google.com/spreadsheets/d/1Dj4jcHCTV9JXKCaMoheSXS52JE63kDKyG7bPXnFogHk/edit?usp=shar"&amp;"ing"",""นครศรีธรรมราช!J668"")+IMPORTRANGE(""https://docs.google.com/spreadsheets/d/1iodCdmuK2GR3jzUwk8tpccY2JHQQA-87DLOtJP-ooyU/edit?usp=sharing"",""นราธิวาส!J668"")+IMPORTRANGE(""https://docs.google.com/spreadsheets/d/1SDNX3JhDdYRuIOsj0Wh2M-Qa_eaXl0NbWmh"&amp;"AOTbfQAs/edit?usp=sharing"",""ปัตตานี!J668"")+IMPORTRANGE(""https://docs.google.com/spreadsheets/d/16JDLGguT8s5DsGCND1KcwHP_AWR_zDMTqLHPLJUKhaU/edit?usp=sharing"",""พังงา!J668"")+IMPORTRANGE(""https://docs.google.com/spreadsheets/d/17ht0gPKzzT3PObBL1XJkeR"&amp;"mntBXI7wGjpLV7QorqlTk/edit?usp=sharing"",""พัทลุง!J668"")+IMPORTRANGE(""https://docs.google.com/spreadsheets/d/1rd4qoM1q_hsgaolqNGfrim9gbsoLxQsda4-vOz5x_BM/edit?usp=sharing"",""ภูเก็ต!J668"")+IMPORTRANGE(""https://docs.google.com/spreadsheets/d/1woKwKjgoL"&amp;"ssDvPcPeVyezB5izizAn4X1JDrys69n6xI/edit?usp=sharing"",""ยะลา!J668"")+IMPORTRANGE(""https://docs.google.com/spreadsheets/d/1qfrKjzMhm2HJfxQ-qVlJlJQ25Hne1d0khsySbZyGtPA/edit?usp=sharing"",""ระนอง!J668"")+IMPORTRANGE(""https://docs.google.com/spreadsheets/d/"&amp;"1IbSCnFOKpZsnFogBHJnL_isstZVaOMnFiIN0fGTPZZw/edit?usp=sharing"",""สงขลา!J668"")+IMPORTRANGE(""https://docs.google.com/spreadsheets/d/1q9nWasZJ-K8bFGvbE9n0qSRuKGA4Toe3Y89cKCiVtCU/edit?usp=sharing"",""สตูล!J668"")+IMPORTRANGE(""https://docs.google.com/sprea"&amp;"dsheets/d/18T20gbkS_WBjdscyTOV05cvq_JqvqQ17C81mpxf7Ncs/edit?usp=sharing"",""สุราษฎร์ธานี!J668"")"),0)</f>
        <v>0</v>
      </c>
      <c r="K668" s="46"/>
      <c r="L668" s="479"/>
      <c r="M668" s="479"/>
      <c r="N668" s="479"/>
      <c r="O668" s="46"/>
      <c r="P668" s="46"/>
      <c r="Q668" s="479"/>
      <c r="R668" s="479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f ca="1">IFERROR(__xludf.DUMMYFUNCTION("IMPORTRANGE(""https://docs.google.com/spreadsheets/d/1kKUcYdkIfrgTSj8iHHHB2MD2FAtwyyocFgqGQn6ADyI/edit?usp=sharing"",""กระบี่!J669"")+IMPORTRANGE(""https://docs.google.com/spreadsheets/d/1GwtLaSlNZkLk7iDqcyZz22giiy40b_usZZBXYciEN1U/edit?usp=sharing"",""ชุ"&amp;"มพร!J669"")+IMPORTRANGE(""https://docs.google.com/spreadsheets/d/16pAz3pOhQEZBhvFNMa5KGgZS6iKWpsKX0pg6tQmwFpo/edit?usp=sharing"",""ตรัง!J669"")+IMPORTRANGE(""https://docs.google.com/spreadsheets/d/1Dj4jcHCTV9JXKCaMoheSXS52JE63kDKyG7bPXnFogHk/edit?usp=shar"&amp;"ing"",""นครศรีธรรมราช!J669"")+IMPORTRANGE(""https://docs.google.com/spreadsheets/d/1iodCdmuK2GR3jzUwk8tpccY2JHQQA-87DLOtJP-ooyU/edit?usp=sharing"",""นราธิวาส!J669"")+IMPORTRANGE(""https://docs.google.com/spreadsheets/d/1SDNX3JhDdYRuIOsj0Wh2M-Qa_eaXl0NbWmh"&amp;"AOTbfQAs/edit?usp=sharing"",""ปัตตานี!J669"")+IMPORTRANGE(""https://docs.google.com/spreadsheets/d/16JDLGguT8s5DsGCND1KcwHP_AWR_zDMTqLHPLJUKhaU/edit?usp=sharing"",""พังงา!J669"")+IMPORTRANGE(""https://docs.google.com/spreadsheets/d/17ht0gPKzzT3PObBL1XJkeR"&amp;"mntBXI7wGjpLV7QorqlTk/edit?usp=sharing"",""พัทลุง!J669"")+IMPORTRANGE(""https://docs.google.com/spreadsheets/d/1rd4qoM1q_hsgaolqNGfrim9gbsoLxQsda4-vOz5x_BM/edit?usp=sharing"",""ภูเก็ต!J669"")+IMPORTRANGE(""https://docs.google.com/spreadsheets/d/1woKwKjgoL"&amp;"ssDvPcPeVyezB5izizAn4X1JDrys69n6xI/edit?usp=sharing"",""ยะลา!J669"")+IMPORTRANGE(""https://docs.google.com/spreadsheets/d/1qfrKjzMhm2HJfxQ-qVlJlJQ25Hne1d0khsySbZyGtPA/edit?usp=sharing"",""ระนอง!J669"")+IMPORTRANGE(""https://docs.google.com/spreadsheets/d/"&amp;"1IbSCnFOKpZsnFogBHJnL_isstZVaOMnFiIN0fGTPZZw/edit?usp=sharing"",""สงขลา!J669"")+IMPORTRANGE(""https://docs.google.com/spreadsheets/d/1q9nWasZJ-K8bFGvbE9n0qSRuKGA4Toe3Y89cKCiVtCU/edit?usp=sharing"",""สตูล!J669"")+IMPORTRANGE(""https://docs.google.com/sprea"&amp;"dsheets/d/18T20gbkS_WBjdscyTOV05cvq_JqvqQ17C81mpxf7Ncs/edit?usp=sharing"",""สุราษฎร์ธานี!J669"")"),0)</f>
        <v>0</v>
      </c>
      <c r="K669" s="46"/>
      <c r="L669" s="479"/>
      <c r="M669" s="479"/>
      <c r="N669" s="479"/>
      <c r="O669" s="46"/>
      <c r="P669" s="46"/>
      <c r="Q669" s="479"/>
      <c r="R669" s="479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f ca="1">IFERROR(__xludf.DUMMYFUNCTION("IMPORTRANGE(""https://docs.google.com/spreadsheets/d/1kKUcYdkIfrgTSj8iHHHB2MD2FAtwyyocFgqGQn6ADyI/edit?usp=sharing"",""กระบี่!J670"")+IMPORTRANGE(""https://docs.google.com/spreadsheets/d/1GwtLaSlNZkLk7iDqcyZz22giiy40b_usZZBXYciEN1U/edit?usp=sharing"",""ชุ"&amp;"มพร!J670"")+IMPORTRANGE(""https://docs.google.com/spreadsheets/d/16pAz3pOhQEZBhvFNMa5KGgZS6iKWpsKX0pg6tQmwFpo/edit?usp=sharing"",""ตรัง!J670"")+IMPORTRANGE(""https://docs.google.com/spreadsheets/d/1Dj4jcHCTV9JXKCaMoheSXS52JE63kDKyG7bPXnFogHk/edit?usp=shar"&amp;"ing"",""นครศรีธรรมราช!J670"")+IMPORTRANGE(""https://docs.google.com/spreadsheets/d/1iodCdmuK2GR3jzUwk8tpccY2JHQQA-87DLOtJP-ooyU/edit?usp=sharing"",""นราธิวาส!J670"")+IMPORTRANGE(""https://docs.google.com/spreadsheets/d/1SDNX3JhDdYRuIOsj0Wh2M-Qa_eaXl0NbWmh"&amp;"AOTbfQAs/edit?usp=sharing"",""ปัตตานี!J670"")+IMPORTRANGE(""https://docs.google.com/spreadsheets/d/16JDLGguT8s5DsGCND1KcwHP_AWR_zDMTqLHPLJUKhaU/edit?usp=sharing"",""พังงา!J670"")+IMPORTRANGE(""https://docs.google.com/spreadsheets/d/17ht0gPKzzT3PObBL1XJkeR"&amp;"mntBXI7wGjpLV7QorqlTk/edit?usp=sharing"",""พัทลุง!J670"")+IMPORTRANGE(""https://docs.google.com/spreadsheets/d/1rd4qoM1q_hsgaolqNGfrim9gbsoLxQsda4-vOz5x_BM/edit?usp=sharing"",""ภูเก็ต!J670"")+IMPORTRANGE(""https://docs.google.com/spreadsheets/d/1woKwKjgoL"&amp;"ssDvPcPeVyezB5izizAn4X1JDrys69n6xI/edit?usp=sharing"",""ยะลา!J670"")+IMPORTRANGE(""https://docs.google.com/spreadsheets/d/1qfrKjzMhm2HJfxQ-qVlJlJQ25Hne1d0khsySbZyGtPA/edit?usp=sharing"",""ระนอง!J670"")+IMPORTRANGE(""https://docs.google.com/spreadsheets/d/"&amp;"1IbSCnFOKpZsnFogBHJnL_isstZVaOMnFiIN0fGTPZZw/edit?usp=sharing"",""สงขลา!J670"")+IMPORTRANGE(""https://docs.google.com/spreadsheets/d/1q9nWasZJ-K8bFGvbE9n0qSRuKGA4Toe3Y89cKCiVtCU/edit?usp=sharing"",""สตูล!J670"")+IMPORTRANGE(""https://docs.google.com/sprea"&amp;"dsheets/d/18T20gbkS_WBjdscyTOV05cvq_JqvqQ17C81mpxf7Ncs/edit?usp=sharing"",""สุราษฎร์ธานี!J670"")"),0)</f>
        <v>0</v>
      </c>
      <c r="K670" s="46"/>
      <c r="L670" s="479"/>
      <c r="M670" s="479"/>
      <c r="N670" s="479"/>
      <c r="O670" s="46"/>
      <c r="P670" s="46"/>
      <c r="Q670" s="479"/>
      <c r="R670" s="479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kKUcYdkIfrgTSj8iHHHB2MD2FAtwyyocFgqGQn6ADyI/edit?usp=sharing"",""กระบี่!J671"")+IMPORTRANGE(""https://docs.google.com/spreadsheets/d/1GwtLaSlNZkLk7iDqcyZz22giiy40b_usZZBXYciEN1U/edit?usp=sharing"",""ชุ"&amp;"มพร!J671"")+IMPORTRANGE(""https://docs.google.com/spreadsheets/d/16pAz3pOhQEZBhvFNMa5KGgZS6iKWpsKX0pg6tQmwFpo/edit?usp=sharing"",""ตรัง!J671"")+IMPORTRANGE(""https://docs.google.com/spreadsheets/d/1Dj4jcHCTV9JXKCaMoheSXS52JE63kDKyG7bPXnFogHk/edit?usp=shar"&amp;"ing"",""นครศรีธรรมราช!J671"")+IMPORTRANGE(""https://docs.google.com/spreadsheets/d/1iodCdmuK2GR3jzUwk8tpccY2JHQQA-87DLOtJP-ooyU/edit?usp=sharing"",""นราธิวาส!J671"")+IMPORTRANGE(""https://docs.google.com/spreadsheets/d/1SDNX3JhDdYRuIOsj0Wh2M-Qa_eaXl0NbWmh"&amp;"AOTbfQAs/edit?usp=sharing"",""ปัตตานี!J671"")+IMPORTRANGE(""https://docs.google.com/spreadsheets/d/16JDLGguT8s5DsGCND1KcwHP_AWR_zDMTqLHPLJUKhaU/edit?usp=sharing"",""พังงา!J671"")+IMPORTRANGE(""https://docs.google.com/spreadsheets/d/17ht0gPKzzT3PObBL1XJkeR"&amp;"mntBXI7wGjpLV7QorqlTk/edit?usp=sharing"",""พัทลุง!J671"")+IMPORTRANGE(""https://docs.google.com/spreadsheets/d/1rd4qoM1q_hsgaolqNGfrim9gbsoLxQsda4-vOz5x_BM/edit?usp=sharing"",""ภูเก็ต!J671"")+IMPORTRANGE(""https://docs.google.com/spreadsheets/d/1woKwKjgoL"&amp;"ssDvPcPeVyezB5izizAn4X1JDrys69n6xI/edit?usp=sharing"",""ยะลา!J671"")+IMPORTRANGE(""https://docs.google.com/spreadsheets/d/1qfrKjzMhm2HJfxQ-qVlJlJQ25Hne1d0khsySbZyGtPA/edit?usp=sharing"",""ระนอง!J671"")+IMPORTRANGE(""https://docs.google.com/spreadsheets/d/"&amp;"1IbSCnFOKpZsnFogBHJnL_isstZVaOMnFiIN0fGTPZZw/edit?usp=sharing"",""สงขลา!J671"")+IMPORTRANGE(""https://docs.google.com/spreadsheets/d/1q9nWasZJ-K8bFGvbE9n0qSRuKGA4Toe3Y89cKCiVtCU/edit?usp=sharing"",""สตูล!J671"")+IMPORTRANGE(""https://docs.google.com/sprea"&amp;"dsheets/d/18T20gbkS_WBjdscyTOV05cvq_JqvqQ17C81mpxf7Ncs/edit?usp=sharing"",""สุราษฎร์ธานี!J671"")"),0)</f>
        <v>0</v>
      </c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kKUcYdkIfrgTSj8iHHHB2MD2FAtwyyocFgqGQn6ADyI/edit?usp=sharing"",""กระบี่!J672"")+IMPORTRANGE(""https://docs.google.com/spreadsheets/d/1GwtLaSlNZkLk7iDqcyZz22giiy40b_usZZBXYciEN1U/edit?usp=sharing"",""ชุ"&amp;"มพร!J672"")+IMPORTRANGE(""https://docs.google.com/spreadsheets/d/16pAz3pOhQEZBhvFNMa5KGgZS6iKWpsKX0pg6tQmwFpo/edit?usp=sharing"",""ตรัง!J672"")+IMPORTRANGE(""https://docs.google.com/spreadsheets/d/1Dj4jcHCTV9JXKCaMoheSXS52JE63kDKyG7bPXnFogHk/edit?usp=shar"&amp;"ing"",""นครศรีธรรมราช!J672"")+IMPORTRANGE(""https://docs.google.com/spreadsheets/d/1iodCdmuK2GR3jzUwk8tpccY2JHQQA-87DLOtJP-ooyU/edit?usp=sharing"",""นราธิวาส!J672"")+IMPORTRANGE(""https://docs.google.com/spreadsheets/d/1SDNX3JhDdYRuIOsj0Wh2M-Qa_eaXl0NbWmh"&amp;"AOTbfQAs/edit?usp=sharing"",""ปัตตานี!J672"")+IMPORTRANGE(""https://docs.google.com/spreadsheets/d/16JDLGguT8s5DsGCND1KcwHP_AWR_zDMTqLHPLJUKhaU/edit?usp=sharing"",""พังงา!J672"")+IMPORTRANGE(""https://docs.google.com/spreadsheets/d/17ht0gPKzzT3PObBL1XJkeR"&amp;"mntBXI7wGjpLV7QorqlTk/edit?usp=sharing"",""พัทลุง!J672"")+IMPORTRANGE(""https://docs.google.com/spreadsheets/d/1rd4qoM1q_hsgaolqNGfrim9gbsoLxQsda4-vOz5x_BM/edit?usp=sharing"",""ภูเก็ต!J672"")+IMPORTRANGE(""https://docs.google.com/spreadsheets/d/1woKwKjgoL"&amp;"ssDvPcPeVyezB5izizAn4X1JDrys69n6xI/edit?usp=sharing"",""ยะลา!J672"")+IMPORTRANGE(""https://docs.google.com/spreadsheets/d/1qfrKjzMhm2HJfxQ-qVlJlJQ25Hne1d0khsySbZyGtPA/edit?usp=sharing"",""ระนอง!J672"")+IMPORTRANGE(""https://docs.google.com/spreadsheets/d/"&amp;"1IbSCnFOKpZsnFogBHJnL_isstZVaOMnFiIN0fGTPZZw/edit?usp=sharing"",""สงขลา!J672"")+IMPORTRANGE(""https://docs.google.com/spreadsheets/d/1q9nWasZJ-K8bFGvbE9n0qSRuKGA4Toe3Y89cKCiVtCU/edit?usp=sharing"",""สตูล!J672"")+IMPORTRANGE(""https://docs.google.com/sprea"&amp;"dsheets/d/18T20gbkS_WBjdscyTOV05cvq_JqvqQ17C81mpxf7Ncs/edit?usp=sharing"",""สุราษฎร์ธานี!J672"")"),0)</f>
        <v>0</v>
      </c>
      <c r="K672" s="46"/>
      <c r="L672" s="479"/>
      <c r="M672" s="479"/>
      <c r="N672" s="479"/>
      <c r="O672" s="46"/>
      <c r="P672" s="46"/>
      <c r="Q672" s="479"/>
      <c r="R672" s="479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kKUcYdkIfrgTSj8iHHHB2MD2FAtwyyocFgqGQn6ADyI/edit?usp=sharing"",""กระบี่!I673"")+IMPORTRANGE(""https://docs.google.com/spreadsheets/d/1GwtLaSlNZkLk7iDqcyZz22giiy40b_usZZBXYciEN1U/edit?usp=sharing"",""ชุ"&amp;"มพร!I673"")+IMPORTRANGE(""https://docs.google.com/spreadsheets/d/16pAz3pOhQEZBhvFNMa5KGgZS6iKWpsKX0pg6tQmwFpo/edit?usp=sharing"",""ตรัง!I673"")+IMPORTRANGE(""https://docs.google.com/spreadsheets/d/1Dj4jcHCTV9JXKCaMoheSXS52JE63kDKyG7bPXnFogHk/edit?usp=shar"&amp;"ing"",""นครศรีธรรมราช!I673"")+IMPORTRANGE(""https://docs.google.com/spreadsheets/d/1iodCdmuK2GR3jzUwk8tpccY2JHQQA-87DLOtJP-ooyU/edit?usp=sharing"",""นราธิวาส!I673"")+IMPORTRANGE(""https://docs.google.com/spreadsheets/d/1SDNX3JhDdYRuIOsj0Wh2M-Qa_eaXl0NbWmh"&amp;"AOTbfQAs/edit?usp=sharing"",""ปัตตานี!I673"")+IMPORTRANGE(""https://docs.google.com/spreadsheets/d/16JDLGguT8s5DsGCND1KcwHP_AWR_zDMTqLHPLJUKhaU/edit?usp=sharing"",""พังงา!I673"")+IMPORTRANGE(""https://docs.google.com/spreadsheets/d/17ht0gPKzzT3PObBL1XJkeR"&amp;"mntBXI7wGjpLV7QorqlTk/edit?usp=sharing"",""พัทลุง!I673"")+IMPORTRANGE(""https://docs.google.com/spreadsheets/d/1rd4qoM1q_hsgaolqNGfrim9gbsoLxQsda4-vOz5x_BM/edit?usp=sharing"",""ภูเก็ต!I673"")+IMPORTRANGE(""https://docs.google.com/spreadsheets/d/1woKwKjgoL"&amp;"ssDvPcPeVyezB5izizAn4X1JDrys69n6xI/edit?usp=sharing"",""ยะลา!I673"")+IMPORTRANGE(""https://docs.google.com/spreadsheets/d/1qfrKjzMhm2HJfxQ-qVlJlJQ25Hne1d0khsySbZyGtPA/edit?usp=sharing"",""ระนอง!I673"")+IMPORTRANGE(""https://docs.google.com/spreadsheets/d/"&amp;"1IbSCnFOKpZsnFogBHJnL_isstZVaOMnFiIN0fGTPZZw/edit?usp=sharing"",""สงขลา!I673"")+IMPORTRANGE(""https://docs.google.com/spreadsheets/d/1q9nWasZJ-K8bFGvbE9n0qSRuKGA4Toe3Y89cKCiVtCU/edit?usp=sharing"",""สตูล!I673"")+IMPORTRANGE(""https://docs.google.com/sprea"&amp;"dsheets/d/18T20gbkS_WBjdscyTOV05cvq_JqvqQ17C81mpxf7Ncs/edit?usp=sharing"",""สุราษฎร์ธานี!I673"")"),0)</f>
        <v>0</v>
      </c>
      <c r="J673" s="477">
        <f ca="1">IFERROR(__xludf.DUMMYFUNCTION("IMPORTRANGE(""https://docs.google.com/spreadsheets/d/1kKUcYdkIfrgTSj8iHHHB2MD2FAtwyyocFgqGQn6ADyI/edit?usp=sharing"",""กระบี่!J673"")+IMPORTRANGE(""https://docs.google.com/spreadsheets/d/1GwtLaSlNZkLk7iDqcyZz22giiy40b_usZZBXYciEN1U/edit?usp=sharing"",""ชุ"&amp;"มพร!J673"")+IMPORTRANGE(""https://docs.google.com/spreadsheets/d/16pAz3pOhQEZBhvFNMa5KGgZS6iKWpsKX0pg6tQmwFpo/edit?usp=sharing"",""ตรัง!J673"")+IMPORTRANGE(""https://docs.google.com/spreadsheets/d/1Dj4jcHCTV9JXKCaMoheSXS52JE63kDKyG7bPXnFogHk/edit?usp=shar"&amp;"ing"",""นครศรีธรรมราช!J673"")+IMPORTRANGE(""https://docs.google.com/spreadsheets/d/1iodCdmuK2GR3jzUwk8tpccY2JHQQA-87DLOtJP-ooyU/edit?usp=sharing"",""นราธิวาส!J673"")+IMPORTRANGE(""https://docs.google.com/spreadsheets/d/1SDNX3JhDdYRuIOsj0Wh2M-Qa_eaXl0NbWmh"&amp;"AOTbfQAs/edit?usp=sharing"",""ปัตตานี!J673"")+IMPORTRANGE(""https://docs.google.com/spreadsheets/d/16JDLGguT8s5DsGCND1KcwHP_AWR_zDMTqLHPLJUKhaU/edit?usp=sharing"",""พังงา!J673"")+IMPORTRANGE(""https://docs.google.com/spreadsheets/d/17ht0gPKzzT3PObBL1XJkeR"&amp;"mntBXI7wGjpLV7QorqlTk/edit?usp=sharing"",""พัทลุง!J673"")+IMPORTRANGE(""https://docs.google.com/spreadsheets/d/1rd4qoM1q_hsgaolqNGfrim9gbsoLxQsda4-vOz5x_BM/edit?usp=sharing"",""ภูเก็ต!J673"")+IMPORTRANGE(""https://docs.google.com/spreadsheets/d/1woKwKjgoL"&amp;"ssDvPcPeVyezB5izizAn4X1JDrys69n6xI/edit?usp=sharing"",""ยะลา!J673"")+IMPORTRANGE(""https://docs.google.com/spreadsheets/d/1qfrKjzMhm2HJfxQ-qVlJlJQ25Hne1d0khsySbZyGtPA/edit?usp=sharing"",""ระนอง!J673"")+IMPORTRANGE(""https://docs.google.com/spreadsheets/d/"&amp;"1IbSCnFOKpZsnFogBHJnL_isstZVaOMnFiIN0fGTPZZw/edit?usp=sharing"",""สงขลา!J673"")+IMPORTRANGE(""https://docs.google.com/spreadsheets/d/1q9nWasZJ-K8bFGvbE9n0qSRuKGA4Toe3Y89cKCiVtCU/edit?usp=sharing"",""สตูล!J673"")+IMPORTRANGE(""https://docs.google.com/sprea"&amp;"dsheets/d/18T20gbkS_WBjdscyTOV05cvq_JqvqQ17C81mpxf7Ncs/edit?usp=sharing"",""สุราษฎร์ธานี!J673"")"),0)</f>
        <v>0</v>
      </c>
      <c r="K673" s="47">
        <f t="shared" ref="K673:K676" ca="1" si="469">IF(I673&gt;0,J673*100/I673,0)</f>
        <v>0</v>
      </c>
      <c r="L673" s="479"/>
      <c r="M673" s="479"/>
      <c r="N673" s="479"/>
      <c r="O673" s="46"/>
      <c r="P673" s="46"/>
      <c r="Q673" s="479"/>
      <c r="R673" s="479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kKUcYdkIfrgTSj8iHHHB2MD2FAtwyyocFgqGQn6ADyI/edit?usp=sharing"",""กระบี่!I674"")+IMPORTRANGE(""https://docs.google.com/spreadsheets/d/1GwtLaSlNZkLk7iDqcyZz22giiy40b_usZZBXYciEN1U/edit?usp=sharing"",""ชุ"&amp;"มพร!I674"")+IMPORTRANGE(""https://docs.google.com/spreadsheets/d/16pAz3pOhQEZBhvFNMa5KGgZS6iKWpsKX0pg6tQmwFpo/edit?usp=sharing"",""ตรัง!I674"")+IMPORTRANGE(""https://docs.google.com/spreadsheets/d/1Dj4jcHCTV9JXKCaMoheSXS52JE63kDKyG7bPXnFogHk/edit?usp=shar"&amp;"ing"",""นครศรีธรรมราช!I674"")+IMPORTRANGE(""https://docs.google.com/spreadsheets/d/1iodCdmuK2GR3jzUwk8tpccY2JHQQA-87DLOtJP-ooyU/edit?usp=sharing"",""นราธิวาส!I674"")+IMPORTRANGE(""https://docs.google.com/spreadsheets/d/1SDNX3JhDdYRuIOsj0Wh2M-Qa_eaXl0NbWmh"&amp;"AOTbfQAs/edit?usp=sharing"",""ปัตตานี!I674"")+IMPORTRANGE(""https://docs.google.com/spreadsheets/d/16JDLGguT8s5DsGCND1KcwHP_AWR_zDMTqLHPLJUKhaU/edit?usp=sharing"",""พังงา!I674"")+IMPORTRANGE(""https://docs.google.com/spreadsheets/d/17ht0gPKzzT3PObBL1XJkeR"&amp;"mntBXI7wGjpLV7QorqlTk/edit?usp=sharing"",""พัทลุง!I674"")+IMPORTRANGE(""https://docs.google.com/spreadsheets/d/1rd4qoM1q_hsgaolqNGfrim9gbsoLxQsda4-vOz5x_BM/edit?usp=sharing"",""ภูเก็ต!I674"")+IMPORTRANGE(""https://docs.google.com/spreadsheets/d/1woKwKjgoL"&amp;"ssDvPcPeVyezB5izizAn4X1JDrys69n6xI/edit?usp=sharing"",""ยะลา!I674"")+IMPORTRANGE(""https://docs.google.com/spreadsheets/d/1qfrKjzMhm2HJfxQ-qVlJlJQ25Hne1d0khsySbZyGtPA/edit?usp=sharing"",""ระนอง!I674"")+IMPORTRANGE(""https://docs.google.com/spreadsheets/d/"&amp;"1IbSCnFOKpZsnFogBHJnL_isstZVaOMnFiIN0fGTPZZw/edit?usp=sharing"",""สงขลา!I674"")+IMPORTRANGE(""https://docs.google.com/spreadsheets/d/1q9nWasZJ-K8bFGvbE9n0qSRuKGA4Toe3Y89cKCiVtCU/edit?usp=sharing"",""สตูล!I674"")+IMPORTRANGE(""https://docs.google.com/sprea"&amp;"dsheets/d/18T20gbkS_WBjdscyTOV05cvq_JqvqQ17C81mpxf7Ncs/edit?usp=sharing"",""สุราษฎร์ธานี!I674"")"),0)</f>
        <v>0</v>
      </c>
      <c r="J674" s="147">
        <f ca="1">J676+J679</f>
        <v>0</v>
      </c>
      <c r="K674" s="132">
        <f t="shared" ca="1" si="469"/>
        <v>0</v>
      </c>
      <c r="L674" s="479"/>
      <c r="M674" s="479"/>
      <c r="N674" s="479"/>
      <c r="O674" s="46"/>
      <c r="P674" s="46"/>
      <c r="Q674" s="479"/>
      <c r="R674" s="479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kKUcYdkIfrgTSj8iHHHB2MD2FAtwyyocFgqGQn6ADyI/edit?usp=sharing"",""กระบี่!I675"")+IMPORTRANGE(""https://docs.google.com/spreadsheets/d/1GwtLaSlNZkLk7iDqcyZz22giiy40b_usZZBXYciEN1U/edit?usp=sharing"",""ชุ"&amp;"มพร!I675"")+IMPORTRANGE(""https://docs.google.com/spreadsheets/d/16pAz3pOhQEZBhvFNMa5KGgZS6iKWpsKX0pg6tQmwFpo/edit?usp=sharing"",""ตรัง!I675"")+IMPORTRANGE(""https://docs.google.com/spreadsheets/d/1Dj4jcHCTV9JXKCaMoheSXS52JE63kDKyG7bPXnFogHk/edit?usp=shar"&amp;"ing"",""นครศรีธรรมราช!I675"")+IMPORTRANGE(""https://docs.google.com/spreadsheets/d/1iodCdmuK2GR3jzUwk8tpccY2JHQQA-87DLOtJP-ooyU/edit?usp=sharing"",""นราธิวาส!I675"")+IMPORTRANGE(""https://docs.google.com/spreadsheets/d/1SDNX3JhDdYRuIOsj0Wh2M-Qa_eaXl0NbWmh"&amp;"AOTbfQAs/edit?usp=sharing"",""ปัตตานี!I675"")+IMPORTRANGE(""https://docs.google.com/spreadsheets/d/16JDLGguT8s5DsGCND1KcwHP_AWR_zDMTqLHPLJUKhaU/edit?usp=sharing"",""พังงา!I675"")+IMPORTRANGE(""https://docs.google.com/spreadsheets/d/17ht0gPKzzT3PObBL1XJkeR"&amp;"mntBXI7wGjpLV7QorqlTk/edit?usp=sharing"",""พัทลุง!I675"")+IMPORTRANGE(""https://docs.google.com/spreadsheets/d/1rd4qoM1q_hsgaolqNGfrim9gbsoLxQsda4-vOz5x_BM/edit?usp=sharing"",""ภูเก็ต!I675"")+IMPORTRANGE(""https://docs.google.com/spreadsheets/d/1woKwKjgoL"&amp;"ssDvPcPeVyezB5izizAn4X1JDrys69n6xI/edit?usp=sharing"",""ยะลา!I675"")+IMPORTRANGE(""https://docs.google.com/spreadsheets/d/1qfrKjzMhm2HJfxQ-qVlJlJQ25Hne1d0khsySbZyGtPA/edit?usp=sharing"",""ระนอง!I675"")+IMPORTRANGE(""https://docs.google.com/spreadsheets/d/"&amp;"1IbSCnFOKpZsnFogBHJnL_isstZVaOMnFiIN0fGTPZZw/edit?usp=sharing"",""สงขลา!I675"")+IMPORTRANGE(""https://docs.google.com/spreadsheets/d/1q9nWasZJ-K8bFGvbE9n0qSRuKGA4Toe3Y89cKCiVtCU/edit?usp=sharing"",""สตูล!I675"")+IMPORTRANGE(""https://docs.google.com/sprea"&amp;"dsheets/d/18T20gbkS_WBjdscyTOV05cvq_JqvqQ17C81mpxf7Ncs/edit?usp=sharing"",""สุราษฎร์ธานี!I675"")"),0)</f>
        <v>0</v>
      </c>
      <c r="J675" s="147">
        <f ca="1">J678+J681</f>
        <v>0</v>
      </c>
      <c r="K675" s="132">
        <f t="shared" ca="1" si="469"/>
        <v>0</v>
      </c>
      <c r="L675" s="46"/>
      <c r="M675" s="46"/>
      <c r="N675" s="46"/>
      <c r="O675" s="46"/>
      <c r="P675" s="46"/>
      <c r="Q675" s="46"/>
      <c r="R675" s="46"/>
      <c r="S675" s="46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kKUcYdkIfrgTSj8iHHHB2MD2FAtwyyocFgqGQn6ADyI/edit?usp=sharing"",""กระบี่!I676"")+IMPORTRANGE(""https://docs.google.com/spreadsheets/d/1GwtLaSlNZkLk7iDqcyZz22giiy40b_usZZBXYciEN1U/edit?usp=sharing"",""ชุ"&amp;"มพร!I676"")+IMPORTRANGE(""https://docs.google.com/spreadsheets/d/16pAz3pOhQEZBhvFNMa5KGgZS6iKWpsKX0pg6tQmwFpo/edit?usp=sharing"",""ตรัง!I676"")+IMPORTRANGE(""https://docs.google.com/spreadsheets/d/1Dj4jcHCTV9JXKCaMoheSXS52JE63kDKyG7bPXnFogHk/edit?usp=shar"&amp;"ing"",""นครศรีธรรมราช!I676"")+IMPORTRANGE(""https://docs.google.com/spreadsheets/d/1iodCdmuK2GR3jzUwk8tpccY2JHQQA-87DLOtJP-ooyU/edit?usp=sharing"",""นราธิวาส!I676"")+IMPORTRANGE(""https://docs.google.com/spreadsheets/d/1SDNX3JhDdYRuIOsj0Wh2M-Qa_eaXl0NbWmh"&amp;"AOTbfQAs/edit?usp=sharing"",""ปัตตานี!I676"")+IMPORTRANGE(""https://docs.google.com/spreadsheets/d/16JDLGguT8s5DsGCND1KcwHP_AWR_zDMTqLHPLJUKhaU/edit?usp=sharing"",""พังงา!I676"")+IMPORTRANGE(""https://docs.google.com/spreadsheets/d/17ht0gPKzzT3PObBL1XJkeR"&amp;"mntBXI7wGjpLV7QorqlTk/edit?usp=sharing"",""พัทลุง!I676"")+IMPORTRANGE(""https://docs.google.com/spreadsheets/d/1rd4qoM1q_hsgaolqNGfrim9gbsoLxQsda4-vOz5x_BM/edit?usp=sharing"",""ภูเก็ต!I676"")+IMPORTRANGE(""https://docs.google.com/spreadsheets/d/1woKwKjgoL"&amp;"ssDvPcPeVyezB5izizAn4X1JDrys69n6xI/edit?usp=sharing"",""ยะลา!I676"")+IMPORTRANGE(""https://docs.google.com/spreadsheets/d/1qfrKjzMhm2HJfxQ-qVlJlJQ25Hne1d0khsySbZyGtPA/edit?usp=sharing"",""ระนอง!I676"")+IMPORTRANGE(""https://docs.google.com/spreadsheets/d/"&amp;"1IbSCnFOKpZsnFogBHJnL_isstZVaOMnFiIN0fGTPZZw/edit?usp=sharing"",""สงขลา!I676"")+IMPORTRANGE(""https://docs.google.com/spreadsheets/d/1q9nWasZJ-K8bFGvbE9n0qSRuKGA4Toe3Y89cKCiVtCU/edit?usp=sharing"",""สตูล!I676"")+IMPORTRANGE(""https://docs.google.com/sprea"&amp;"dsheets/d/18T20gbkS_WBjdscyTOV05cvq_JqvqQ17C81mpxf7Ncs/edit?usp=sharing"",""สุราษฎร์ธานี!I676"")"),0)</f>
        <v>0</v>
      </c>
      <c r="J676" s="477">
        <f ca="1">IFERROR(__xludf.DUMMYFUNCTION("IMPORTRANGE(""https://docs.google.com/spreadsheets/d/1kKUcYdkIfrgTSj8iHHHB2MD2FAtwyyocFgqGQn6ADyI/edit?usp=sharing"",""กระบี่!J676"")+IMPORTRANGE(""https://docs.google.com/spreadsheets/d/1GwtLaSlNZkLk7iDqcyZz22giiy40b_usZZBXYciEN1U/edit?usp=sharing"",""ชุ"&amp;"มพร!J676"")+IMPORTRANGE(""https://docs.google.com/spreadsheets/d/16pAz3pOhQEZBhvFNMa5KGgZS6iKWpsKX0pg6tQmwFpo/edit?usp=sharing"",""ตรัง!J676"")+IMPORTRANGE(""https://docs.google.com/spreadsheets/d/1Dj4jcHCTV9JXKCaMoheSXS52JE63kDKyG7bPXnFogHk/edit?usp=shar"&amp;"ing"",""นครศรีธรรมราช!J676"")+IMPORTRANGE(""https://docs.google.com/spreadsheets/d/1iodCdmuK2GR3jzUwk8tpccY2JHQQA-87DLOtJP-ooyU/edit?usp=sharing"",""นราธิวาส!J676"")+IMPORTRANGE(""https://docs.google.com/spreadsheets/d/1SDNX3JhDdYRuIOsj0Wh2M-Qa_eaXl0NbWmh"&amp;"AOTbfQAs/edit?usp=sharing"",""ปัตตานี!J676"")+IMPORTRANGE(""https://docs.google.com/spreadsheets/d/16JDLGguT8s5DsGCND1KcwHP_AWR_zDMTqLHPLJUKhaU/edit?usp=sharing"",""พังงา!J676"")+IMPORTRANGE(""https://docs.google.com/spreadsheets/d/17ht0gPKzzT3PObBL1XJkeR"&amp;"mntBXI7wGjpLV7QorqlTk/edit?usp=sharing"",""พัทลุง!J676"")+IMPORTRANGE(""https://docs.google.com/spreadsheets/d/1rd4qoM1q_hsgaolqNGfrim9gbsoLxQsda4-vOz5x_BM/edit?usp=sharing"",""ภูเก็ต!J676"")+IMPORTRANGE(""https://docs.google.com/spreadsheets/d/1woKwKjgoL"&amp;"ssDvPcPeVyezB5izizAn4X1JDrys69n6xI/edit?usp=sharing"",""ยะลา!J676"")+IMPORTRANGE(""https://docs.google.com/spreadsheets/d/1qfrKjzMhm2HJfxQ-qVlJlJQ25Hne1d0khsySbZyGtPA/edit?usp=sharing"",""ระนอง!J676"")+IMPORTRANGE(""https://docs.google.com/spreadsheets/d/"&amp;"1IbSCnFOKpZsnFogBHJnL_isstZVaOMnFiIN0fGTPZZw/edit?usp=sharing"",""สงขลา!J676"")+IMPORTRANGE(""https://docs.google.com/spreadsheets/d/1q9nWasZJ-K8bFGvbE9n0qSRuKGA4Toe3Y89cKCiVtCU/edit?usp=sharing"",""สตูล!J676"")+IMPORTRANGE(""https://docs.google.com/sprea"&amp;"dsheets/d/18T20gbkS_WBjdscyTOV05cvq_JqvqQ17C81mpxf7Ncs/edit?usp=sharing"",""สุราษฎร์ธานี!J676"")"),0)</f>
        <v>0</v>
      </c>
      <c r="K676" s="47">
        <f t="shared" ca="1" si="469"/>
        <v>0</v>
      </c>
      <c r="L676" s="46"/>
      <c r="M676" s="46"/>
      <c r="N676" s="46"/>
      <c r="O676" s="46"/>
      <c r="P676" s="46"/>
      <c r="Q676" s="46"/>
      <c r="R676" s="46"/>
      <c r="S676" s="46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kKUcYdkIfrgTSj8iHHHB2MD2FAtwyyocFgqGQn6ADyI/edit?usp=sharing"",""กระบี่!J677"")+IMPORTRANGE(""https://docs.google.com/spreadsheets/d/1GwtLaSlNZkLk7iDqcyZz22giiy40b_usZZBXYciEN1U/edit?usp=sharing"",""ชุ"&amp;"มพร!J677"")+IMPORTRANGE(""https://docs.google.com/spreadsheets/d/16pAz3pOhQEZBhvFNMa5KGgZS6iKWpsKX0pg6tQmwFpo/edit?usp=sharing"",""ตรัง!J677"")+IMPORTRANGE(""https://docs.google.com/spreadsheets/d/1Dj4jcHCTV9JXKCaMoheSXS52JE63kDKyG7bPXnFogHk/edit?usp=shar"&amp;"ing"",""นครศรีธรรมราช!J677"")+IMPORTRANGE(""https://docs.google.com/spreadsheets/d/1iodCdmuK2GR3jzUwk8tpccY2JHQQA-87DLOtJP-ooyU/edit?usp=sharing"",""นราธิวาส!J677"")+IMPORTRANGE(""https://docs.google.com/spreadsheets/d/1SDNX3JhDdYRuIOsj0Wh2M-Qa_eaXl0NbWmh"&amp;"AOTbfQAs/edit?usp=sharing"",""ปัตตานี!J677"")+IMPORTRANGE(""https://docs.google.com/spreadsheets/d/16JDLGguT8s5DsGCND1KcwHP_AWR_zDMTqLHPLJUKhaU/edit?usp=sharing"",""พังงา!J677"")+IMPORTRANGE(""https://docs.google.com/spreadsheets/d/17ht0gPKzzT3PObBL1XJkeR"&amp;"mntBXI7wGjpLV7QorqlTk/edit?usp=sharing"",""พัทลุง!J677"")+IMPORTRANGE(""https://docs.google.com/spreadsheets/d/1rd4qoM1q_hsgaolqNGfrim9gbsoLxQsda4-vOz5x_BM/edit?usp=sharing"",""ภูเก็ต!J677"")+IMPORTRANGE(""https://docs.google.com/spreadsheets/d/1woKwKjgoL"&amp;"ssDvPcPeVyezB5izizAn4X1JDrys69n6xI/edit?usp=sharing"",""ยะลา!J677"")+IMPORTRANGE(""https://docs.google.com/spreadsheets/d/1qfrKjzMhm2HJfxQ-qVlJlJQ25Hne1d0khsySbZyGtPA/edit?usp=sharing"",""ระนอง!J677"")+IMPORTRANGE(""https://docs.google.com/spreadsheets/d/"&amp;"1IbSCnFOKpZsnFogBHJnL_isstZVaOMnFiIN0fGTPZZw/edit?usp=sharing"",""สงขลา!J677"")+IMPORTRANGE(""https://docs.google.com/spreadsheets/d/1q9nWasZJ-K8bFGvbE9n0qSRuKGA4Toe3Y89cKCiVtCU/edit?usp=sharing"",""สตูล!J677"")+IMPORTRANGE(""https://docs.google.com/sprea"&amp;"dsheets/d/18T20gbkS_WBjdscyTOV05cvq_JqvqQ17C81mpxf7Ncs/edit?usp=sharing"",""สุราษฎร์ธานี!J677"")"),0)</f>
        <v>0</v>
      </c>
      <c r="K677" s="46"/>
      <c r="L677" s="479"/>
      <c r="M677" s="479"/>
      <c r="N677" s="479"/>
      <c r="O677" s="46"/>
      <c r="P677" s="46"/>
      <c r="Q677" s="479"/>
      <c r="R677" s="479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kKUcYdkIfrgTSj8iHHHB2MD2FAtwyyocFgqGQn6ADyI/edit?usp=sharing"",""กระบี่!I678"")+IMPORTRANGE(""https://docs.google.com/spreadsheets/d/1GwtLaSlNZkLk7iDqcyZz22giiy40b_usZZBXYciEN1U/edit?usp=sharing"",""ชุ"&amp;"มพร!I678"")+IMPORTRANGE(""https://docs.google.com/spreadsheets/d/16pAz3pOhQEZBhvFNMa5KGgZS6iKWpsKX0pg6tQmwFpo/edit?usp=sharing"",""ตรัง!I678"")+IMPORTRANGE(""https://docs.google.com/spreadsheets/d/1Dj4jcHCTV9JXKCaMoheSXS52JE63kDKyG7bPXnFogHk/edit?usp=shar"&amp;"ing"",""นครศรีธรรมราช!I678"")+IMPORTRANGE(""https://docs.google.com/spreadsheets/d/1iodCdmuK2GR3jzUwk8tpccY2JHQQA-87DLOtJP-ooyU/edit?usp=sharing"",""นราธิวาส!I678"")+IMPORTRANGE(""https://docs.google.com/spreadsheets/d/1SDNX3JhDdYRuIOsj0Wh2M-Qa_eaXl0NbWmh"&amp;"AOTbfQAs/edit?usp=sharing"",""ปัตตานี!I678"")+IMPORTRANGE(""https://docs.google.com/spreadsheets/d/16JDLGguT8s5DsGCND1KcwHP_AWR_zDMTqLHPLJUKhaU/edit?usp=sharing"",""พังงา!I678"")+IMPORTRANGE(""https://docs.google.com/spreadsheets/d/17ht0gPKzzT3PObBL1XJkeR"&amp;"mntBXI7wGjpLV7QorqlTk/edit?usp=sharing"",""พัทลุง!I678"")+IMPORTRANGE(""https://docs.google.com/spreadsheets/d/1rd4qoM1q_hsgaolqNGfrim9gbsoLxQsda4-vOz5x_BM/edit?usp=sharing"",""ภูเก็ต!I678"")+IMPORTRANGE(""https://docs.google.com/spreadsheets/d/1woKwKjgoL"&amp;"ssDvPcPeVyezB5izizAn4X1JDrys69n6xI/edit?usp=sharing"",""ยะลา!I678"")+IMPORTRANGE(""https://docs.google.com/spreadsheets/d/1qfrKjzMhm2HJfxQ-qVlJlJQ25Hne1d0khsySbZyGtPA/edit?usp=sharing"",""ระนอง!I678"")+IMPORTRANGE(""https://docs.google.com/spreadsheets/d/"&amp;"1IbSCnFOKpZsnFogBHJnL_isstZVaOMnFiIN0fGTPZZw/edit?usp=sharing"",""สงขลา!I678"")+IMPORTRANGE(""https://docs.google.com/spreadsheets/d/1q9nWasZJ-K8bFGvbE9n0qSRuKGA4Toe3Y89cKCiVtCU/edit?usp=sharing"",""สตูล!I678"")+IMPORTRANGE(""https://docs.google.com/sprea"&amp;"dsheets/d/18T20gbkS_WBjdscyTOV05cvq_JqvqQ17C81mpxf7Ncs/edit?usp=sharing"",""สุราษฎร์ธานี!I678"")"),0)</f>
        <v>0</v>
      </c>
      <c r="J678" s="477">
        <f ca="1">IFERROR(__xludf.DUMMYFUNCTION("IMPORTRANGE(""https://docs.google.com/spreadsheets/d/1kKUcYdkIfrgTSj8iHHHB2MD2FAtwyyocFgqGQn6ADyI/edit?usp=sharing"",""กระบี่!J678"")+IMPORTRANGE(""https://docs.google.com/spreadsheets/d/1GwtLaSlNZkLk7iDqcyZz22giiy40b_usZZBXYciEN1U/edit?usp=sharing"",""ชุ"&amp;"มพร!J678"")+IMPORTRANGE(""https://docs.google.com/spreadsheets/d/16pAz3pOhQEZBhvFNMa5KGgZS6iKWpsKX0pg6tQmwFpo/edit?usp=sharing"",""ตรัง!J678"")+IMPORTRANGE(""https://docs.google.com/spreadsheets/d/1Dj4jcHCTV9JXKCaMoheSXS52JE63kDKyG7bPXnFogHk/edit?usp=shar"&amp;"ing"",""นครศรีธรรมราช!J678"")+IMPORTRANGE(""https://docs.google.com/spreadsheets/d/1iodCdmuK2GR3jzUwk8tpccY2JHQQA-87DLOtJP-ooyU/edit?usp=sharing"",""นราธิวาส!J678"")+IMPORTRANGE(""https://docs.google.com/spreadsheets/d/1SDNX3JhDdYRuIOsj0Wh2M-Qa_eaXl0NbWmh"&amp;"AOTbfQAs/edit?usp=sharing"",""ปัตตานี!J678"")+IMPORTRANGE(""https://docs.google.com/spreadsheets/d/16JDLGguT8s5DsGCND1KcwHP_AWR_zDMTqLHPLJUKhaU/edit?usp=sharing"",""พังงา!J678"")+IMPORTRANGE(""https://docs.google.com/spreadsheets/d/17ht0gPKzzT3PObBL1XJkeR"&amp;"mntBXI7wGjpLV7QorqlTk/edit?usp=sharing"",""พัทลุง!J678"")+IMPORTRANGE(""https://docs.google.com/spreadsheets/d/1rd4qoM1q_hsgaolqNGfrim9gbsoLxQsda4-vOz5x_BM/edit?usp=sharing"",""ภูเก็ต!J678"")+IMPORTRANGE(""https://docs.google.com/spreadsheets/d/1woKwKjgoL"&amp;"ssDvPcPeVyezB5izizAn4X1JDrys69n6xI/edit?usp=sharing"",""ยะลา!J678"")+IMPORTRANGE(""https://docs.google.com/spreadsheets/d/1qfrKjzMhm2HJfxQ-qVlJlJQ25Hne1d0khsySbZyGtPA/edit?usp=sharing"",""ระนอง!J678"")+IMPORTRANGE(""https://docs.google.com/spreadsheets/d/"&amp;"1IbSCnFOKpZsnFogBHJnL_isstZVaOMnFiIN0fGTPZZw/edit?usp=sharing"",""สงขลา!J678"")+IMPORTRANGE(""https://docs.google.com/spreadsheets/d/1q9nWasZJ-K8bFGvbE9n0qSRuKGA4Toe3Y89cKCiVtCU/edit?usp=sharing"",""สตูล!J678"")+IMPORTRANGE(""https://docs.google.com/sprea"&amp;"dsheets/d/18T20gbkS_WBjdscyTOV05cvq_JqvqQ17C81mpxf7Ncs/edit?usp=sharing"",""สุราษฎร์ธานี!J678"")"),0)</f>
        <v>0</v>
      </c>
      <c r="K678" s="47">
        <f t="shared" ref="K678:K679" ca="1" si="470">IF(I678&gt;0,J678*100/I678,0)</f>
        <v>0</v>
      </c>
      <c r="L678" s="479"/>
      <c r="M678" s="479"/>
      <c r="N678" s="479"/>
      <c r="O678" s="46"/>
      <c r="P678" s="46"/>
      <c r="Q678" s="479"/>
      <c r="R678" s="479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kKUcYdkIfrgTSj8iHHHB2MD2FAtwyyocFgqGQn6ADyI/edit?usp=sharing"",""กระบี่!I679"")+IMPORTRANGE(""https://docs.google.com/spreadsheets/d/1GwtLaSlNZkLk7iDqcyZz22giiy40b_usZZBXYciEN1U/edit?usp=sharing"",""ชุ"&amp;"มพร!I679"")+IMPORTRANGE(""https://docs.google.com/spreadsheets/d/16pAz3pOhQEZBhvFNMa5KGgZS6iKWpsKX0pg6tQmwFpo/edit?usp=sharing"",""ตรัง!I679"")+IMPORTRANGE(""https://docs.google.com/spreadsheets/d/1Dj4jcHCTV9JXKCaMoheSXS52JE63kDKyG7bPXnFogHk/edit?usp=shar"&amp;"ing"",""นครศรีธรรมราช!I679"")+IMPORTRANGE(""https://docs.google.com/spreadsheets/d/1iodCdmuK2GR3jzUwk8tpccY2JHQQA-87DLOtJP-ooyU/edit?usp=sharing"",""นราธิวาส!I679"")+IMPORTRANGE(""https://docs.google.com/spreadsheets/d/1SDNX3JhDdYRuIOsj0Wh2M-Qa_eaXl0NbWmh"&amp;"AOTbfQAs/edit?usp=sharing"",""ปัตตานี!I679"")+IMPORTRANGE(""https://docs.google.com/spreadsheets/d/16JDLGguT8s5DsGCND1KcwHP_AWR_zDMTqLHPLJUKhaU/edit?usp=sharing"",""พังงา!I679"")+IMPORTRANGE(""https://docs.google.com/spreadsheets/d/17ht0gPKzzT3PObBL1XJkeR"&amp;"mntBXI7wGjpLV7QorqlTk/edit?usp=sharing"",""พัทลุง!I679"")+IMPORTRANGE(""https://docs.google.com/spreadsheets/d/1rd4qoM1q_hsgaolqNGfrim9gbsoLxQsda4-vOz5x_BM/edit?usp=sharing"",""ภูเก็ต!I679"")+IMPORTRANGE(""https://docs.google.com/spreadsheets/d/1woKwKjgoL"&amp;"ssDvPcPeVyezB5izizAn4X1JDrys69n6xI/edit?usp=sharing"",""ยะลา!I679"")+IMPORTRANGE(""https://docs.google.com/spreadsheets/d/1qfrKjzMhm2HJfxQ-qVlJlJQ25Hne1d0khsySbZyGtPA/edit?usp=sharing"",""ระนอง!I679"")+IMPORTRANGE(""https://docs.google.com/spreadsheets/d/"&amp;"1IbSCnFOKpZsnFogBHJnL_isstZVaOMnFiIN0fGTPZZw/edit?usp=sharing"",""สงขลา!I679"")+IMPORTRANGE(""https://docs.google.com/spreadsheets/d/1q9nWasZJ-K8bFGvbE9n0qSRuKGA4Toe3Y89cKCiVtCU/edit?usp=sharing"",""สตูล!I679"")+IMPORTRANGE(""https://docs.google.com/sprea"&amp;"dsheets/d/18T20gbkS_WBjdscyTOV05cvq_JqvqQ17C81mpxf7Ncs/edit?usp=sharing"",""สุราษฎร์ธานี!I679"")"),0)</f>
        <v>0</v>
      </c>
      <c r="J679" s="477">
        <f ca="1">IFERROR(__xludf.DUMMYFUNCTION("IMPORTRANGE(""https://docs.google.com/spreadsheets/d/1kKUcYdkIfrgTSj8iHHHB2MD2FAtwyyocFgqGQn6ADyI/edit?usp=sharing"",""กระบี่!J679"")+IMPORTRANGE(""https://docs.google.com/spreadsheets/d/1GwtLaSlNZkLk7iDqcyZz22giiy40b_usZZBXYciEN1U/edit?usp=sharing"",""ชุ"&amp;"มพร!J679"")+IMPORTRANGE(""https://docs.google.com/spreadsheets/d/16pAz3pOhQEZBhvFNMa5KGgZS6iKWpsKX0pg6tQmwFpo/edit?usp=sharing"",""ตรัง!J679"")+IMPORTRANGE(""https://docs.google.com/spreadsheets/d/1Dj4jcHCTV9JXKCaMoheSXS52JE63kDKyG7bPXnFogHk/edit?usp=shar"&amp;"ing"",""นครศรีธรรมราช!J679"")+IMPORTRANGE(""https://docs.google.com/spreadsheets/d/1iodCdmuK2GR3jzUwk8tpccY2JHQQA-87DLOtJP-ooyU/edit?usp=sharing"",""นราธิวาส!J679"")+IMPORTRANGE(""https://docs.google.com/spreadsheets/d/1SDNX3JhDdYRuIOsj0Wh2M-Qa_eaXl0NbWmh"&amp;"AOTbfQAs/edit?usp=sharing"",""ปัตตานี!J679"")+IMPORTRANGE(""https://docs.google.com/spreadsheets/d/16JDLGguT8s5DsGCND1KcwHP_AWR_zDMTqLHPLJUKhaU/edit?usp=sharing"",""พังงา!J679"")+IMPORTRANGE(""https://docs.google.com/spreadsheets/d/17ht0gPKzzT3PObBL1XJkeR"&amp;"mntBXI7wGjpLV7QorqlTk/edit?usp=sharing"",""พัทลุง!J679"")+IMPORTRANGE(""https://docs.google.com/spreadsheets/d/1rd4qoM1q_hsgaolqNGfrim9gbsoLxQsda4-vOz5x_BM/edit?usp=sharing"",""ภูเก็ต!J679"")+IMPORTRANGE(""https://docs.google.com/spreadsheets/d/1woKwKjgoL"&amp;"ssDvPcPeVyezB5izizAn4X1JDrys69n6xI/edit?usp=sharing"",""ยะลา!J679"")+IMPORTRANGE(""https://docs.google.com/spreadsheets/d/1qfrKjzMhm2HJfxQ-qVlJlJQ25Hne1d0khsySbZyGtPA/edit?usp=sharing"",""ระนอง!J679"")+IMPORTRANGE(""https://docs.google.com/spreadsheets/d/"&amp;"1IbSCnFOKpZsnFogBHJnL_isstZVaOMnFiIN0fGTPZZw/edit?usp=sharing"",""สงขลา!J679"")+IMPORTRANGE(""https://docs.google.com/spreadsheets/d/1q9nWasZJ-K8bFGvbE9n0qSRuKGA4Toe3Y89cKCiVtCU/edit?usp=sharing"",""สตูล!J679"")+IMPORTRANGE(""https://docs.google.com/sprea"&amp;"dsheets/d/18T20gbkS_WBjdscyTOV05cvq_JqvqQ17C81mpxf7Ncs/edit?usp=sharing"",""สุราษฎร์ธานี!J679"")"),0)</f>
        <v>0</v>
      </c>
      <c r="K679" s="47">
        <f t="shared" ca="1" si="470"/>
        <v>0</v>
      </c>
      <c r="L679" s="46"/>
      <c r="M679" s="46"/>
      <c r="N679" s="46"/>
      <c r="O679" s="46"/>
      <c r="P679" s="46"/>
      <c r="Q679" s="46"/>
      <c r="R679" s="46"/>
      <c r="S679" s="46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kKUcYdkIfrgTSj8iHHHB2MD2FAtwyyocFgqGQn6ADyI/edit?usp=sharing"",""กระบี่!J680"")+IMPORTRANGE(""https://docs.google.com/spreadsheets/d/1GwtLaSlNZkLk7iDqcyZz22giiy40b_usZZBXYciEN1U/edit?usp=sharing"",""ชุ"&amp;"มพร!J680"")+IMPORTRANGE(""https://docs.google.com/spreadsheets/d/16pAz3pOhQEZBhvFNMa5KGgZS6iKWpsKX0pg6tQmwFpo/edit?usp=sharing"",""ตรัง!J680"")+IMPORTRANGE(""https://docs.google.com/spreadsheets/d/1Dj4jcHCTV9JXKCaMoheSXS52JE63kDKyG7bPXnFogHk/edit?usp=shar"&amp;"ing"",""นครศรีธรรมราช!J680"")+IMPORTRANGE(""https://docs.google.com/spreadsheets/d/1iodCdmuK2GR3jzUwk8tpccY2JHQQA-87DLOtJP-ooyU/edit?usp=sharing"",""นราธิวาส!J680"")+IMPORTRANGE(""https://docs.google.com/spreadsheets/d/1SDNX3JhDdYRuIOsj0Wh2M-Qa_eaXl0NbWmh"&amp;"AOTbfQAs/edit?usp=sharing"",""ปัตตานี!J680"")+IMPORTRANGE(""https://docs.google.com/spreadsheets/d/16JDLGguT8s5DsGCND1KcwHP_AWR_zDMTqLHPLJUKhaU/edit?usp=sharing"",""พังงา!J680"")+IMPORTRANGE(""https://docs.google.com/spreadsheets/d/17ht0gPKzzT3PObBL1XJkeR"&amp;"mntBXI7wGjpLV7QorqlTk/edit?usp=sharing"",""พัทลุง!J680"")+IMPORTRANGE(""https://docs.google.com/spreadsheets/d/1rd4qoM1q_hsgaolqNGfrim9gbsoLxQsda4-vOz5x_BM/edit?usp=sharing"",""ภูเก็ต!J680"")+IMPORTRANGE(""https://docs.google.com/spreadsheets/d/1woKwKjgoL"&amp;"ssDvPcPeVyezB5izizAn4X1JDrys69n6xI/edit?usp=sharing"",""ยะลา!J680"")+IMPORTRANGE(""https://docs.google.com/spreadsheets/d/1qfrKjzMhm2HJfxQ-qVlJlJQ25Hne1d0khsySbZyGtPA/edit?usp=sharing"",""ระนอง!J680"")+IMPORTRANGE(""https://docs.google.com/spreadsheets/d/"&amp;"1IbSCnFOKpZsnFogBHJnL_isstZVaOMnFiIN0fGTPZZw/edit?usp=sharing"",""สงขลา!J680"")+IMPORTRANGE(""https://docs.google.com/spreadsheets/d/1q9nWasZJ-K8bFGvbE9n0qSRuKGA4Toe3Y89cKCiVtCU/edit?usp=sharing"",""สตูล!J680"")+IMPORTRANGE(""https://docs.google.com/sprea"&amp;"dsheets/d/18T20gbkS_WBjdscyTOV05cvq_JqvqQ17C81mpxf7Ncs/edit?usp=sharing"",""สุราษฎร์ธานี!J680"")"),0)</f>
        <v>0</v>
      </c>
      <c r="K680" s="46"/>
      <c r="L680" s="479"/>
      <c r="M680" s="479"/>
      <c r="N680" s="479"/>
      <c r="O680" s="46"/>
      <c r="P680" s="46"/>
      <c r="Q680" s="479"/>
      <c r="R680" s="479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kKUcYdkIfrgTSj8iHHHB2MD2FAtwyyocFgqGQn6ADyI/edit?usp=sharing"",""กระบี่!I681"")+IMPORTRANGE(""https://docs.google.com/spreadsheets/d/1GwtLaSlNZkLk7iDqcyZz22giiy40b_usZZBXYciEN1U/edit?usp=sharing"",""ชุ"&amp;"มพร!I681"")+IMPORTRANGE(""https://docs.google.com/spreadsheets/d/16pAz3pOhQEZBhvFNMa5KGgZS6iKWpsKX0pg6tQmwFpo/edit?usp=sharing"",""ตรัง!I681"")+IMPORTRANGE(""https://docs.google.com/spreadsheets/d/1Dj4jcHCTV9JXKCaMoheSXS52JE63kDKyG7bPXnFogHk/edit?usp=shar"&amp;"ing"",""นครศรีธรรมราช!I681"")+IMPORTRANGE(""https://docs.google.com/spreadsheets/d/1iodCdmuK2GR3jzUwk8tpccY2JHQQA-87DLOtJP-ooyU/edit?usp=sharing"",""นราธิวาส!I681"")+IMPORTRANGE(""https://docs.google.com/spreadsheets/d/1SDNX3JhDdYRuIOsj0Wh2M-Qa_eaXl0NbWmh"&amp;"AOTbfQAs/edit?usp=sharing"",""ปัตตานี!I681"")+IMPORTRANGE(""https://docs.google.com/spreadsheets/d/16JDLGguT8s5DsGCND1KcwHP_AWR_zDMTqLHPLJUKhaU/edit?usp=sharing"",""พังงา!I681"")+IMPORTRANGE(""https://docs.google.com/spreadsheets/d/17ht0gPKzzT3PObBL1XJkeR"&amp;"mntBXI7wGjpLV7QorqlTk/edit?usp=sharing"",""พัทลุง!I681"")+IMPORTRANGE(""https://docs.google.com/spreadsheets/d/1rd4qoM1q_hsgaolqNGfrim9gbsoLxQsda4-vOz5x_BM/edit?usp=sharing"",""ภูเก็ต!I681"")+IMPORTRANGE(""https://docs.google.com/spreadsheets/d/1woKwKjgoL"&amp;"ssDvPcPeVyezB5izizAn4X1JDrys69n6xI/edit?usp=sharing"",""ยะลา!I681"")+IMPORTRANGE(""https://docs.google.com/spreadsheets/d/1qfrKjzMhm2HJfxQ-qVlJlJQ25Hne1d0khsySbZyGtPA/edit?usp=sharing"",""ระนอง!I681"")+IMPORTRANGE(""https://docs.google.com/spreadsheets/d/"&amp;"1IbSCnFOKpZsnFogBHJnL_isstZVaOMnFiIN0fGTPZZw/edit?usp=sharing"",""สงขลา!I681"")+IMPORTRANGE(""https://docs.google.com/spreadsheets/d/1q9nWasZJ-K8bFGvbE9n0qSRuKGA4Toe3Y89cKCiVtCU/edit?usp=sharing"",""สตูล!I681"")+IMPORTRANGE(""https://docs.google.com/sprea"&amp;"dsheets/d/18T20gbkS_WBjdscyTOV05cvq_JqvqQ17C81mpxf7Ncs/edit?usp=sharing"",""สุราษฎร์ธานี!I681"")"),0)</f>
        <v>0</v>
      </c>
      <c r="J681" s="477">
        <f ca="1">IFERROR(__xludf.DUMMYFUNCTION("IMPORTRANGE(""https://docs.google.com/spreadsheets/d/1kKUcYdkIfrgTSj8iHHHB2MD2FAtwyyocFgqGQn6ADyI/edit?usp=sharing"",""กระบี่!J681"")+IMPORTRANGE(""https://docs.google.com/spreadsheets/d/1GwtLaSlNZkLk7iDqcyZz22giiy40b_usZZBXYciEN1U/edit?usp=sharing"",""ชุ"&amp;"มพร!J681"")+IMPORTRANGE(""https://docs.google.com/spreadsheets/d/16pAz3pOhQEZBhvFNMa5KGgZS6iKWpsKX0pg6tQmwFpo/edit?usp=sharing"",""ตรัง!J681"")+IMPORTRANGE(""https://docs.google.com/spreadsheets/d/1Dj4jcHCTV9JXKCaMoheSXS52JE63kDKyG7bPXnFogHk/edit?usp=shar"&amp;"ing"",""นครศรีธรรมราช!J681"")+IMPORTRANGE(""https://docs.google.com/spreadsheets/d/1iodCdmuK2GR3jzUwk8tpccY2JHQQA-87DLOtJP-ooyU/edit?usp=sharing"",""นราธิวาส!J681"")+IMPORTRANGE(""https://docs.google.com/spreadsheets/d/1SDNX3JhDdYRuIOsj0Wh2M-Qa_eaXl0NbWmh"&amp;"AOTbfQAs/edit?usp=sharing"",""ปัตตานี!J681"")+IMPORTRANGE(""https://docs.google.com/spreadsheets/d/16JDLGguT8s5DsGCND1KcwHP_AWR_zDMTqLHPLJUKhaU/edit?usp=sharing"",""พังงา!J681"")+IMPORTRANGE(""https://docs.google.com/spreadsheets/d/17ht0gPKzzT3PObBL1XJkeR"&amp;"mntBXI7wGjpLV7QorqlTk/edit?usp=sharing"",""พัทลุง!J681"")+IMPORTRANGE(""https://docs.google.com/spreadsheets/d/1rd4qoM1q_hsgaolqNGfrim9gbsoLxQsda4-vOz5x_BM/edit?usp=sharing"",""ภูเก็ต!J681"")+IMPORTRANGE(""https://docs.google.com/spreadsheets/d/1woKwKjgoL"&amp;"ssDvPcPeVyezB5izizAn4X1JDrys69n6xI/edit?usp=sharing"",""ยะลา!J681"")+IMPORTRANGE(""https://docs.google.com/spreadsheets/d/1qfrKjzMhm2HJfxQ-qVlJlJQ25Hne1d0khsySbZyGtPA/edit?usp=sharing"",""ระนอง!J681"")+IMPORTRANGE(""https://docs.google.com/spreadsheets/d/"&amp;"1IbSCnFOKpZsnFogBHJnL_isstZVaOMnFiIN0fGTPZZw/edit?usp=sharing"",""สงขลา!J681"")+IMPORTRANGE(""https://docs.google.com/spreadsheets/d/1q9nWasZJ-K8bFGvbE9n0qSRuKGA4Toe3Y89cKCiVtCU/edit?usp=sharing"",""สตูล!J681"")+IMPORTRANGE(""https://docs.google.com/sprea"&amp;"dsheets/d/18T20gbkS_WBjdscyTOV05cvq_JqvqQ17C81mpxf7Ncs/edit?usp=sharing"",""สุราษฎร์ธานี!J681"")"),0)</f>
        <v>0</v>
      </c>
      <c r="K681" s="47">
        <f t="shared" ref="K681:K682" ca="1" si="471">IF(I681&gt;0,J681*100/I681,0)</f>
        <v>0</v>
      </c>
      <c r="L681" s="479"/>
      <c r="M681" s="479"/>
      <c r="N681" s="479"/>
      <c r="O681" s="46"/>
      <c r="P681" s="46"/>
      <c r="Q681" s="479"/>
      <c r="R681" s="479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kKUcYdkIfrgTSj8iHHHB2MD2FAtwyyocFgqGQn6ADyI/edit?usp=sharing"",""กระบี่!I682"")+IMPORTRANGE(""https://docs.google.com/spreadsheets/d/1GwtLaSlNZkLk7iDqcyZz22giiy40b_usZZBXYciEN1U/edit?usp=sharing"",""ชุ"&amp;"มพร!I682"")+IMPORTRANGE(""https://docs.google.com/spreadsheets/d/16pAz3pOhQEZBhvFNMa5KGgZS6iKWpsKX0pg6tQmwFpo/edit?usp=sharing"",""ตรัง!I682"")+IMPORTRANGE(""https://docs.google.com/spreadsheets/d/1Dj4jcHCTV9JXKCaMoheSXS52JE63kDKyG7bPXnFogHk/edit?usp=shar"&amp;"ing"",""นครศรีธรรมราช!I682"")+IMPORTRANGE(""https://docs.google.com/spreadsheets/d/1iodCdmuK2GR3jzUwk8tpccY2JHQQA-87DLOtJP-ooyU/edit?usp=sharing"",""นราธิวาส!I682"")+IMPORTRANGE(""https://docs.google.com/spreadsheets/d/1SDNX3JhDdYRuIOsj0Wh2M-Qa_eaXl0NbWmh"&amp;"AOTbfQAs/edit?usp=sharing"",""ปัตตานี!I682"")+IMPORTRANGE(""https://docs.google.com/spreadsheets/d/16JDLGguT8s5DsGCND1KcwHP_AWR_zDMTqLHPLJUKhaU/edit?usp=sharing"",""พังงา!I682"")+IMPORTRANGE(""https://docs.google.com/spreadsheets/d/17ht0gPKzzT3PObBL1XJkeR"&amp;"mntBXI7wGjpLV7QorqlTk/edit?usp=sharing"",""พัทลุง!I682"")+IMPORTRANGE(""https://docs.google.com/spreadsheets/d/1rd4qoM1q_hsgaolqNGfrim9gbsoLxQsda4-vOz5x_BM/edit?usp=sharing"",""ภูเก็ต!I682"")+IMPORTRANGE(""https://docs.google.com/spreadsheets/d/1woKwKjgoL"&amp;"ssDvPcPeVyezB5izizAn4X1JDrys69n6xI/edit?usp=sharing"",""ยะลา!I682"")+IMPORTRANGE(""https://docs.google.com/spreadsheets/d/1qfrKjzMhm2HJfxQ-qVlJlJQ25Hne1d0khsySbZyGtPA/edit?usp=sharing"",""ระนอง!I682"")+IMPORTRANGE(""https://docs.google.com/spreadsheets/d/"&amp;"1IbSCnFOKpZsnFogBHJnL_isstZVaOMnFiIN0fGTPZZw/edit?usp=sharing"",""สงขลา!I682"")+IMPORTRANGE(""https://docs.google.com/spreadsheets/d/1q9nWasZJ-K8bFGvbE9n0qSRuKGA4Toe3Y89cKCiVtCU/edit?usp=sharing"",""สตูล!I682"")+IMPORTRANGE(""https://docs.google.com/sprea"&amp;"dsheets/d/18T20gbkS_WBjdscyTOV05cvq_JqvqQ17C81mpxf7Ncs/edit?usp=sharing"",""สุราษฎร์ธานี!I682"")"),0)</f>
        <v>0</v>
      </c>
      <c r="J682" s="147">
        <f ca="1">J685+J688</f>
        <v>0</v>
      </c>
      <c r="K682" s="132">
        <f t="shared" ca="1" si="471"/>
        <v>0</v>
      </c>
      <c r="L682" s="46"/>
      <c r="M682" s="46"/>
      <c r="N682" s="46"/>
      <c r="O682" s="46"/>
      <c r="P682" s="46"/>
      <c r="Q682" s="46"/>
      <c r="R682" s="46"/>
      <c r="S682" s="46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f ca="1">IFERROR(__xludf.DUMMYFUNCTION("IMPORTRANGE(""https://docs.google.com/spreadsheets/d/1kKUcYdkIfrgTSj8iHHHB2MD2FAtwyyocFgqGQn6ADyI/edit?usp=sharing"",""กระบี่!J683"")+IMPORTRANGE(""https://docs.google.com/spreadsheets/d/1GwtLaSlNZkLk7iDqcyZz22giiy40b_usZZBXYciEN1U/edit?usp=sharing"",""ชุ"&amp;"มพร!J683"")+IMPORTRANGE(""https://docs.google.com/spreadsheets/d/16pAz3pOhQEZBhvFNMa5KGgZS6iKWpsKX0pg6tQmwFpo/edit?usp=sharing"",""ตรัง!J683"")+IMPORTRANGE(""https://docs.google.com/spreadsheets/d/1Dj4jcHCTV9JXKCaMoheSXS52JE63kDKyG7bPXnFogHk/edit?usp=shar"&amp;"ing"",""นครศรีธรรมราช!J683"")+IMPORTRANGE(""https://docs.google.com/spreadsheets/d/1iodCdmuK2GR3jzUwk8tpccY2JHQQA-87DLOtJP-ooyU/edit?usp=sharing"",""นราธิวาส!J683"")+IMPORTRANGE(""https://docs.google.com/spreadsheets/d/1SDNX3JhDdYRuIOsj0Wh2M-Qa_eaXl0NbWmh"&amp;"AOTbfQAs/edit?usp=sharing"",""ปัตตานี!J683"")+IMPORTRANGE(""https://docs.google.com/spreadsheets/d/16JDLGguT8s5DsGCND1KcwHP_AWR_zDMTqLHPLJUKhaU/edit?usp=sharing"",""พังงา!J683"")+IMPORTRANGE(""https://docs.google.com/spreadsheets/d/17ht0gPKzzT3PObBL1XJkeR"&amp;"mntBXI7wGjpLV7QorqlTk/edit?usp=sharing"",""พัทลุง!J683"")+IMPORTRANGE(""https://docs.google.com/spreadsheets/d/1rd4qoM1q_hsgaolqNGfrim9gbsoLxQsda4-vOz5x_BM/edit?usp=sharing"",""ภูเก็ต!J683"")+IMPORTRANGE(""https://docs.google.com/spreadsheets/d/1woKwKjgoL"&amp;"ssDvPcPeVyezB5izizAn4X1JDrys69n6xI/edit?usp=sharing"",""ยะลา!J683"")+IMPORTRANGE(""https://docs.google.com/spreadsheets/d/1qfrKjzMhm2HJfxQ-qVlJlJQ25Hne1d0khsySbZyGtPA/edit?usp=sharing"",""ระนอง!J683"")+IMPORTRANGE(""https://docs.google.com/spreadsheets/d/"&amp;"1IbSCnFOKpZsnFogBHJnL_isstZVaOMnFiIN0fGTPZZw/edit?usp=sharing"",""สงขลา!J683"")+IMPORTRANGE(""https://docs.google.com/spreadsheets/d/1q9nWasZJ-K8bFGvbE9n0qSRuKGA4Toe3Y89cKCiVtCU/edit?usp=sharing"",""สตูล!J683"")+IMPORTRANGE(""https://docs.google.com/sprea"&amp;"dsheets/d/18T20gbkS_WBjdscyTOV05cvq_JqvqQ17C81mpxf7Ncs/edit?usp=sharing"",""สุราษฎร์ธานี!J683"")"),0)</f>
        <v>0</v>
      </c>
      <c r="K683" s="46"/>
      <c r="L683" s="479"/>
      <c r="M683" s="479"/>
      <c r="N683" s="479"/>
      <c r="O683" s="46"/>
      <c r="P683" s="46"/>
      <c r="Q683" s="479"/>
      <c r="R683" s="479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f ca="1">IFERROR(__xludf.DUMMYFUNCTION("IMPORTRANGE(""https://docs.google.com/spreadsheets/d/1kKUcYdkIfrgTSj8iHHHB2MD2FAtwyyocFgqGQn6ADyI/edit?usp=sharing"",""กระบี่!J684"")+IMPORTRANGE(""https://docs.google.com/spreadsheets/d/1GwtLaSlNZkLk7iDqcyZz22giiy40b_usZZBXYciEN1U/edit?usp=sharing"",""ชุ"&amp;"มพร!J684"")+IMPORTRANGE(""https://docs.google.com/spreadsheets/d/16pAz3pOhQEZBhvFNMa5KGgZS6iKWpsKX0pg6tQmwFpo/edit?usp=sharing"",""ตรัง!J684"")+IMPORTRANGE(""https://docs.google.com/spreadsheets/d/1Dj4jcHCTV9JXKCaMoheSXS52JE63kDKyG7bPXnFogHk/edit?usp=shar"&amp;"ing"",""นครศรีธรรมราช!J684"")+IMPORTRANGE(""https://docs.google.com/spreadsheets/d/1iodCdmuK2GR3jzUwk8tpccY2JHQQA-87DLOtJP-ooyU/edit?usp=sharing"",""นราธิวาส!J684"")+IMPORTRANGE(""https://docs.google.com/spreadsheets/d/1SDNX3JhDdYRuIOsj0Wh2M-Qa_eaXl0NbWmh"&amp;"AOTbfQAs/edit?usp=sharing"",""ปัตตานี!J684"")+IMPORTRANGE(""https://docs.google.com/spreadsheets/d/16JDLGguT8s5DsGCND1KcwHP_AWR_zDMTqLHPLJUKhaU/edit?usp=sharing"",""พังงา!J684"")+IMPORTRANGE(""https://docs.google.com/spreadsheets/d/17ht0gPKzzT3PObBL1XJkeR"&amp;"mntBXI7wGjpLV7QorqlTk/edit?usp=sharing"",""พัทลุง!J684"")+IMPORTRANGE(""https://docs.google.com/spreadsheets/d/1rd4qoM1q_hsgaolqNGfrim9gbsoLxQsda4-vOz5x_BM/edit?usp=sharing"",""ภูเก็ต!J684"")+IMPORTRANGE(""https://docs.google.com/spreadsheets/d/1woKwKjgoL"&amp;"ssDvPcPeVyezB5izizAn4X1JDrys69n6xI/edit?usp=sharing"",""ยะลา!J684"")+IMPORTRANGE(""https://docs.google.com/spreadsheets/d/1qfrKjzMhm2HJfxQ-qVlJlJQ25Hne1d0khsySbZyGtPA/edit?usp=sharing"",""ระนอง!J684"")+IMPORTRANGE(""https://docs.google.com/spreadsheets/d/"&amp;"1IbSCnFOKpZsnFogBHJnL_isstZVaOMnFiIN0fGTPZZw/edit?usp=sharing"",""สงขลา!J684"")+IMPORTRANGE(""https://docs.google.com/spreadsheets/d/1q9nWasZJ-K8bFGvbE9n0qSRuKGA4Toe3Y89cKCiVtCU/edit?usp=sharing"",""สตูล!J684"")+IMPORTRANGE(""https://docs.google.com/sprea"&amp;"dsheets/d/18T20gbkS_WBjdscyTOV05cvq_JqvqQ17C81mpxf7Ncs/edit?usp=sharing"",""สุราษฎร์ธานี!J684"")"),0)</f>
        <v>0</v>
      </c>
      <c r="K684" s="46"/>
      <c r="L684" s="479"/>
      <c r="M684" s="479"/>
      <c r="N684" s="479"/>
      <c r="O684" s="46"/>
      <c r="P684" s="46"/>
      <c r="Q684" s="479"/>
      <c r="R684" s="479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f ca="1">IFERROR(__xludf.DUMMYFUNCTION("IMPORTRANGE(""https://docs.google.com/spreadsheets/d/1kKUcYdkIfrgTSj8iHHHB2MD2FAtwyyocFgqGQn6ADyI/edit?usp=sharing"",""กระบี่!J685"")+IMPORTRANGE(""https://docs.google.com/spreadsheets/d/1GwtLaSlNZkLk7iDqcyZz22giiy40b_usZZBXYciEN1U/edit?usp=sharing"",""ชุ"&amp;"มพร!J685"")+IMPORTRANGE(""https://docs.google.com/spreadsheets/d/16pAz3pOhQEZBhvFNMa5KGgZS6iKWpsKX0pg6tQmwFpo/edit?usp=sharing"",""ตรัง!J685"")+IMPORTRANGE(""https://docs.google.com/spreadsheets/d/1Dj4jcHCTV9JXKCaMoheSXS52JE63kDKyG7bPXnFogHk/edit?usp=shar"&amp;"ing"",""นครศรีธรรมราช!J685"")+IMPORTRANGE(""https://docs.google.com/spreadsheets/d/1iodCdmuK2GR3jzUwk8tpccY2JHQQA-87DLOtJP-ooyU/edit?usp=sharing"",""นราธิวาส!J685"")+IMPORTRANGE(""https://docs.google.com/spreadsheets/d/1SDNX3JhDdYRuIOsj0Wh2M-Qa_eaXl0NbWmh"&amp;"AOTbfQAs/edit?usp=sharing"",""ปัตตานี!J685"")+IMPORTRANGE(""https://docs.google.com/spreadsheets/d/16JDLGguT8s5DsGCND1KcwHP_AWR_zDMTqLHPLJUKhaU/edit?usp=sharing"",""พังงา!J685"")+IMPORTRANGE(""https://docs.google.com/spreadsheets/d/17ht0gPKzzT3PObBL1XJkeR"&amp;"mntBXI7wGjpLV7QorqlTk/edit?usp=sharing"",""พัทลุง!J685"")+IMPORTRANGE(""https://docs.google.com/spreadsheets/d/1rd4qoM1q_hsgaolqNGfrim9gbsoLxQsda4-vOz5x_BM/edit?usp=sharing"",""ภูเก็ต!J685"")+IMPORTRANGE(""https://docs.google.com/spreadsheets/d/1woKwKjgoL"&amp;"ssDvPcPeVyezB5izizAn4X1JDrys69n6xI/edit?usp=sharing"",""ยะลา!J685"")+IMPORTRANGE(""https://docs.google.com/spreadsheets/d/1qfrKjzMhm2HJfxQ-qVlJlJQ25Hne1d0khsySbZyGtPA/edit?usp=sharing"",""ระนอง!J685"")+IMPORTRANGE(""https://docs.google.com/spreadsheets/d/"&amp;"1IbSCnFOKpZsnFogBHJnL_isstZVaOMnFiIN0fGTPZZw/edit?usp=sharing"",""สงขลา!J685"")+IMPORTRANGE(""https://docs.google.com/spreadsheets/d/1q9nWasZJ-K8bFGvbE9n0qSRuKGA4Toe3Y89cKCiVtCU/edit?usp=sharing"",""สตูล!J685"")+IMPORTRANGE(""https://docs.google.com/sprea"&amp;"dsheets/d/18T20gbkS_WBjdscyTOV05cvq_JqvqQ17C81mpxf7Ncs/edit?usp=sharing"",""สุราษฎร์ธานี!J685"")"),0)</f>
        <v>0</v>
      </c>
      <c r="K685" s="46"/>
      <c r="L685" s="479"/>
      <c r="M685" s="479"/>
      <c r="N685" s="479"/>
      <c r="O685" s="46"/>
      <c r="P685" s="46"/>
      <c r="Q685" s="479"/>
      <c r="R685" s="479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f ca="1">IFERROR(__xludf.DUMMYFUNCTION("IMPORTRANGE(""https://docs.google.com/spreadsheets/d/1kKUcYdkIfrgTSj8iHHHB2MD2FAtwyyocFgqGQn6ADyI/edit?usp=sharing"",""กระบี่!J686"")+IMPORTRANGE(""https://docs.google.com/spreadsheets/d/1GwtLaSlNZkLk7iDqcyZz22giiy40b_usZZBXYciEN1U/edit?usp=sharing"",""ชุ"&amp;"มพร!J686"")+IMPORTRANGE(""https://docs.google.com/spreadsheets/d/16pAz3pOhQEZBhvFNMa5KGgZS6iKWpsKX0pg6tQmwFpo/edit?usp=sharing"",""ตรัง!J686"")+IMPORTRANGE(""https://docs.google.com/spreadsheets/d/1Dj4jcHCTV9JXKCaMoheSXS52JE63kDKyG7bPXnFogHk/edit?usp=shar"&amp;"ing"",""นครศรีธรรมราช!J686"")+IMPORTRANGE(""https://docs.google.com/spreadsheets/d/1iodCdmuK2GR3jzUwk8tpccY2JHQQA-87DLOtJP-ooyU/edit?usp=sharing"",""นราธิวาส!J686"")+IMPORTRANGE(""https://docs.google.com/spreadsheets/d/1SDNX3JhDdYRuIOsj0Wh2M-Qa_eaXl0NbWmh"&amp;"AOTbfQAs/edit?usp=sharing"",""ปัตตานี!J686"")+IMPORTRANGE(""https://docs.google.com/spreadsheets/d/16JDLGguT8s5DsGCND1KcwHP_AWR_zDMTqLHPLJUKhaU/edit?usp=sharing"",""พังงา!J686"")+IMPORTRANGE(""https://docs.google.com/spreadsheets/d/17ht0gPKzzT3PObBL1XJkeR"&amp;"mntBXI7wGjpLV7QorqlTk/edit?usp=sharing"",""พัทลุง!J686"")+IMPORTRANGE(""https://docs.google.com/spreadsheets/d/1rd4qoM1q_hsgaolqNGfrim9gbsoLxQsda4-vOz5x_BM/edit?usp=sharing"",""ภูเก็ต!J686"")+IMPORTRANGE(""https://docs.google.com/spreadsheets/d/1woKwKjgoL"&amp;"ssDvPcPeVyezB5izizAn4X1JDrys69n6xI/edit?usp=sharing"",""ยะลา!J686"")+IMPORTRANGE(""https://docs.google.com/spreadsheets/d/1qfrKjzMhm2HJfxQ-qVlJlJQ25Hne1d0khsySbZyGtPA/edit?usp=sharing"",""ระนอง!J686"")+IMPORTRANGE(""https://docs.google.com/spreadsheets/d/"&amp;"1IbSCnFOKpZsnFogBHJnL_isstZVaOMnFiIN0fGTPZZw/edit?usp=sharing"",""สงขลา!J686"")+IMPORTRANGE(""https://docs.google.com/spreadsheets/d/1q9nWasZJ-K8bFGvbE9n0qSRuKGA4Toe3Y89cKCiVtCU/edit?usp=sharing"",""สตูล!J686"")+IMPORTRANGE(""https://docs.google.com/sprea"&amp;"dsheets/d/18T20gbkS_WBjdscyTOV05cvq_JqvqQ17C81mpxf7Ncs/edit?usp=sharing"",""สุราษฎร์ธานี!J686"")"),0)</f>
        <v>0</v>
      </c>
      <c r="K686" s="46"/>
      <c r="L686" s="479"/>
      <c r="M686" s="479"/>
      <c r="N686" s="479"/>
      <c r="O686" s="46"/>
      <c r="P686" s="46"/>
      <c r="Q686" s="479"/>
      <c r="R686" s="479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f ca="1">IFERROR(__xludf.DUMMYFUNCTION("IMPORTRANGE(""https://docs.google.com/spreadsheets/d/1kKUcYdkIfrgTSj8iHHHB2MD2FAtwyyocFgqGQn6ADyI/edit?usp=sharing"",""กระบี่!J687"")+IMPORTRANGE(""https://docs.google.com/spreadsheets/d/1GwtLaSlNZkLk7iDqcyZz22giiy40b_usZZBXYciEN1U/edit?usp=sharing"",""ชุ"&amp;"มพร!J687"")+IMPORTRANGE(""https://docs.google.com/spreadsheets/d/16pAz3pOhQEZBhvFNMa5KGgZS6iKWpsKX0pg6tQmwFpo/edit?usp=sharing"",""ตรัง!J687"")+IMPORTRANGE(""https://docs.google.com/spreadsheets/d/1Dj4jcHCTV9JXKCaMoheSXS52JE63kDKyG7bPXnFogHk/edit?usp=shar"&amp;"ing"",""นครศรีธรรมราช!J687"")+IMPORTRANGE(""https://docs.google.com/spreadsheets/d/1iodCdmuK2GR3jzUwk8tpccY2JHQQA-87DLOtJP-ooyU/edit?usp=sharing"",""นราธิวาส!J687"")+IMPORTRANGE(""https://docs.google.com/spreadsheets/d/1SDNX3JhDdYRuIOsj0Wh2M-Qa_eaXl0NbWmh"&amp;"AOTbfQAs/edit?usp=sharing"",""ปัตตานี!J687"")+IMPORTRANGE(""https://docs.google.com/spreadsheets/d/16JDLGguT8s5DsGCND1KcwHP_AWR_zDMTqLHPLJUKhaU/edit?usp=sharing"",""พังงา!J687"")+IMPORTRANGE(""https://docs.google.com/spreadsheets/d/17ht0gPKzzT3PObBL1XJkeR"&amp;"mntBXI7wGjpLV7QorqlTk/edit?usp=sharing"",""พัทลุง!J687"")+IMPORTRANGE(""https://docs.google.com/spreadsheets/d/1rd4qoM1q_hsgaolqNGfrim9gbsoLxQsda4-vOz5x_BM/edit?usp=sharing"",""ภูเก็ต!J687"")+IMPORTRANGE(""https://docs.google.com/spreadsheets/d/1woKwKjgoL"&amp;"ssDvPcPeVyezB5izizAn4X1JDrys69n6xI/edit?usp=sharing"",""ยะลา!J687"")+IMPORTRANGE(""https://docs.google.com/spreadsheets/d/1qfrKjzMhm2HJfxQ-qVlJlJQ25Hne1d0khsySbZyGtPA/edit?usp=sharing"",""ระนอง!J687"")+IMPORTRANGE(""https://docs.google.com/spreadsheets/d/"&amp;"1IbSCnFOKpZsnFogBHJnL_isstZVaOMnFiIN0fGTPZZw/edit?usp=sharing"",""สงขลา!J687"")+IMPORTRANGE(""https://docs.google.com/spreadsheets/d/1q9nWasZJ-K8bFGvbE9n0qSRuKGA4Toe3Y89cKCiVtCU/edit?usp=sharing"",""สตูล!J687"")+IMPORTRANGE(""https://docs.google.com/sprea"&amp;"dsheets/d/18T20gbkS_WBjdscyTOV05cvq_JqvqQ17C81mpxf7Ncs/edit?usp=sharing"",""สุราษฎร์ธานี!J687"")"),0)</f>
        <v>0</v>
      </c>
      <c r="K687" s="46"/>
      <c r="L687" s="479"/>
      <c r="M687" s="479"/>
      <c r="N687" s="479"/>
      <c r="O687" s="46"/>
      <c r="P687" s="46"/>
      <c r="Q687" s="479"/>
      <c r="R687" s="479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f ca="1">IFERROR(__xludf.DUMMYFUNCTION("IMPORTRANGE(""https://docs.google.com/spreadsheets/d/1kKUcYdkIfrgTSj8iHHHB2MD2FAtwyyocFgqGQn6ADyI/edit?usp=sharing"",""กระบี่!J688"")+IMPORTRANGE(""https://docs.google.com/spreadsheets/d/1GwtLaSlNZkLk7iDqcyZz22giiy40b_usZZBXYciEN1U/edit?usp=sharing"",""ชุ"&amp;"มพร!J688"")+IMPORTRANGE(""https://docs.google.com/spreadsheets/d/16pAz3pOhQEZBhvFNMa5KGgZS6iKWpsKX0pg6tQmwFpo/edit?usp=sharing"",""ตรัง!J688"")+IMPORTRANGE(""https://docs.google.com/spreadsheets/d/1Dj4jcHCTV9JXKCaMoheSXS52JE63kDKyG7bPXnFogHk/edit?usp=shar"&amp;"ing"",""นครศรีธรรมราช!J688"")+IMPORTRANGE(""https://docs.google.com/spreadsheets/d/1iodCdmuK2GR3jzUwk8tpccY2JHQQA-87DLOtJP-ooyU/edit?usp=sharing"",""นราธิวาส!J688"")+IMPORTRANGE(""https://docs.google.com/spreadsheets/d/1SDNX3JhDdYRuIOsj0Wh2M-Qa_eaXl0NbWmh"&amp;"AOTbfQAs/edit?usp=sharing"",""ปัตตานี!J688"")+IMPORTRANGE(""https://docs.google.com/spreadsheets/d/16JDLGguT8s5DsGCND1KcwHP_AWR_zDMTqLHPLJUKhaU/edit?usp=sharing"",""พังงา!J688"")+IMPORTRANGE(""https://docs.google.com/spreadsheets/d/17ht0gPKzzT3PObBL1XJkeR"&amp;"mntBXI7wGjpLV7QorqlTk/edit?usp=sharing"",""พัทลุง!J688"")+IMPORTRANGE(""https://docs.google.com/spreadsheets/d/1rd4qoM1q_hsgaolqNGfrim9gbsoLxQsda4-vOz5x_BM/edit?usp=sharing"",""ภูเก็ต!J688"")+IMPORTRANGE(""https://docs.google.com/spreadsheets/d/1woKwKjgoL"&amp;"ssDvPcPeVyezB5izizAn4X1JDrys69n6xI/edit?usp=sharing"",""ยะลา!J688"")+IMPORTRANGE(""https://docs.google.com/spreadsheets/d/1qfrKjzMhm2HJfxQ-qVlJlJQ25Hne1d0khsySbZyGtPA/edit?usp=sharing"",""ระนอง!J688"")+IMPORTRANGE(""https://docs.google.com/spreadsheets/d/"&amp;"1IbSCnFOKpZsnFogBHJnL_isstZVaOMnFiIN0fGTPZZw/edit?usp=sharing"",""สงขลา!J688"")+IMPORTRANGE(""https://docs.google.com/spreadsheets/d/1q9nWasZJ-K8bFGvbE9n0qSRuKGA4Toe3Y89cKCiVtCU/edit?usp=sharing"",""สตูล!J688"")+IMPORTRANGE(""https://docs.google.com/sprea"&amp;"dsheets/d/18T20gbkS_WBjdscyTOV05cvq_JqvqQ17C81mpxf7Ncs/edit?usp=sharing"",""สุราษฎร์ธานี!J688"")"),0)</f>
        <v>0</v>
      </c>
      <c r="K688" s="4"/>
      <c r="L688" s="481"/>
      <c r="M688" s="481"/>
      <c r="N688" s="481"/>
      <c r="O688" s="4"/>
      <c r="P688" s="4"/>
      <c r="Q688" s="481"/>
      <c r="R688" s="481"/>
      <c r="S688" s="481"/>
      <c r="T688" s="4"/>
      <c r="U688" s="4"/>
    </row>
    <row r="689" spans="1:21" ht="19.5" x14ac:dyDescent="0.3">
      <c r="A689" s="456"/>
      <c r="B689" s="457" t="s">
        <v>258</v>
      </c>
      <c r="C689" s="456"/>
      <c r="D689" s="458"/>
      <c r="E689" s="458"/>
      <c r="F689" s="458"/>
      <c r="G689" s="459"/>
      <c r="H689" s="482" t="s">
        <v>35</v>
      </c>
      <c r="I689" s="483">
        <f t="shared" ref="I689:J689" ca="1" si="472">I707</f>
        <v>76</v>
      </c>
      <c r="J689" s="483">
        <f t="shared" ca="1" si="472"/>
        <v>2</v>
      </c>
      <c r="K689" s="484">
        <f ca="1">IF(I689&gt;0,J689*100/I689,0)</f>
        <v>2.6315789473684212</v>
      </c>
      <c r="L689" s="46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188" t="s">
        <v>18</v>
      </c>
      <c r="D690" s="532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132">
        <f t="shared" ref="L690:N690" ca="1" si="473">L691+L692</f>
        <v>0</v>
      </c>
      <c r="M690" s="132">
        <f t="shared" ca="1" si="473"/>
        <v>0</v>
      </c>
      <c r="N690" s="132">
        <f t="shared" ca="1" si="473"/>
        <v>0</v>
      </c>
      <c r="O690" s="132">
        <f t="shared" ref="O690:O698" ca="1" si="474">IF(L690&gt;0,N690*100/L690,0)</f>
        <v>0</v>
      </c>
      <c r="P690" s="132">
        <f t="shared" ref="P690:P698" ca="1" si="475">IF(M690&gt;0,N690*100/M690,0)</f>
        <v>0</v>
      </c>
      <c r="Q690" s="132">
        <f t="shared" ref="Q690:S690" ca="1" si="476">Q691+Q692</f>
        <v>865550</v>
      </c>
      <c r="R690" s="132">
        <f t="shared" ca="1" si="476"/>
        <v>865550</v>
      </c>
      <c r="S690" s="132">
        <f t="shared" ca="1" si="476"/>
        <v>136087.14000000001</v>
      </c>
      <c r="T690" s="132">
        <f t="shared" ref="T690:T698" ca="1" si="477">IF(Q690&gt;0,S690*100/Q690,0)</f>
        <v>15.722620299231705</v>
      </c>
      <c r="U690" s="132">
        <f t="shared" ref="U690:U698" ca="1" si="478">IF(R690&gt;0,S690*100/R690,0)</f>
        <v>15.722620299231705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9">
        <f t="shared" ref="L691:N691" ca="1" si="479">L694+L697</f>
        <v>0</v>
      </c>
      <c r="M691" s="49">
        <f t="shared" ca="1" si="479"/>
        <v>0</v>
      </c>
      <c r="N691" s="49">
        <f t="shared" ca="1" si="479"/>
        <v>0</v>
      </c>
      <c r="O691" s="49">
        <f t="shared" ca="1" si="474"/>
        <v>0</v>
      </c>
      <c r="P691" s="49">
        <f t="shared" ca="1" si="475"/>
        <v>0</v>
      </c>
      <c r="Q691" s="49">
        <f t="shared" ref="Q691:S691" ca="1" si="480">Q694+Q697</f>
        <v>0</v>
      </c>
      <c r="R691" s="49">
        <f t="shared" ca="1" si="480"/>
        <v>0</v>
      </c>
      <c r="S691" s="49">
        <f t="shared" ca="1" si="480"/>
        <v>0</v>
      </c>
      <c r="T691" s="49">
        <f t="shared" ca="1" si="477"/>
        <v>0</v>
      </c>
      <c r="U691" s="49">
        <f t="shared" ca="1" si="478"/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7">
        <f t="shared" ref="L692:N692" ca="1" si="481">L695+L698</f>
        <v>0</v>
      </c>
      <c r="M692" s="47">
        <f t="shared" ca="1" si="481"/>
        <v>0</v>
      </c>
      <c r="N692" s="47">
        <f t="shared" ca="1" si="481"/>
        <v>0</v>
      </c>
      <c r="O692" s="47">
        <f t="shared" ca="1" si="474"/>
        <v>0</v>
      </c>
      <c r="P692" s="47">
        <f t="shared" ca="1" si="475"/>
        <v>0</v>
      </c>
      <c r="Q692" s="47">
        <f t="shared" ref="Q692:S692" ca="1" si="482">Q695+Q698</f>
        <v>865550</v>
      </c>
      <c r="R692" s="47">
        <f t="shared" ca="1" si="482"/>
        <v>865550</v>
      </c>
      <c r="S692" s="47">
        <f t="shared" ca="1" si="482"/>
        <v>136087.14000000001</v>
      </c>
      <c r="T692" s="47">
        <f t="shared" ca="1" si="477"/>
        <v>15.722620299231705</v>
      </c>
      <c r="U692" s="47">
        <f t="shared" ca="1" si="478"/>
        <v>15.722620299231705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7">
        <f t="shared" ref="L693:N693" ca="1" si="483">L694+L695</f>
        <v>0</v>
      </c>
      <c r="M693" s="47">
        <f t="shared" ca="1" si="483"/>
        <v>0</v>
      </c>
      <c r="N693" s="47">
        <f t="shared" ca="1" si="483"/>
        <v>0</v>
      </c>
      <c r="O693" s="47">
        <f t="shared" ca="1" si="474"/>
        <v>0</v>
      </c>
      <c r="P693" s="47">
        <f t="shared" ca="1" si="475"/>
        <v>0</v>
      </c>
      <c r="Q693" s="47">
        <f t="shared" ref="Q693:S693" ca="1" si="484">Q694+Q695</f>
        <v>865550</v>
      </c>
      <c r="R693" s="47">
        <f t="shared" ca="1" si="484"/>
        <v>865550</v>
      </c>
      <c r="S693" s="47">
        <f t="shared" ca="1" si="484"/>
        <v>136087.14000000001</v>
      </c>
      <c r="T693" s="47">
        <f t="shared" ca="1" si="477"/>
        <v>15.722620299231705</v>
      </c>
      <c r="U693" s="47">
        <f t="shared" ca="1" si="478"/>
        <v>15.722620299231705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9">
        <f ca="1">IFERROR(__xludf.DUMMYFUNCTION("IMPORTRANGE(""https://docs.google.com/spreadsheets/d/1kKUcYdkIfrgTSj8iHHHB2MD2FAtwyyocFgqGQn6ADyI/edit?usp=sharing"",""กระบี่!L694"")+IMPORTRANGE(""https://docs.google.com/spreadsheets/d/1GwtLaSlNZkLk7iDqcyZz22giiy40b_usZZBXYciEN1U/edit?usp=sharing"",""ชุ"&amp;"มพร!L694"")+IMPORTRANGE(""https://docs.google.com/spreadsheets/d/16pAz3pOhQEZBhvFNMa5KGgZS6iKWpsKX0pg6tQmwFpo/edit?usp=sharing"",""ตรัง!L694"")+IMPORTRANGE(""https://docs.google.com/spreadsheets/d/1Dj4jcHCTV9JXKCaMoheSXS52JE63kDKyG7bPXnFogHk/edit?usp=shar"&amp;"ing"",""นครศรีธรรมราช!L694"")+IMPORTRANGE(""https://docs.google.com/spreadsheets/d/1iodCdmuK2GR3jzUwk8tpccY2JHQQA-87DLOtJP-ooyU/edit?usp=sharing"",""นราธิวาส!L694"")+IMPORTRANGE(""https://docs.google.com/spreadsheets/d/1SDNX3JhDdYRuIOsj0Wh2M-Qa_eaXl0NbWmh"&amp;"AOTbfQAs/edit?usp=sharing"",""ปัตตานี!L694"")+IMPORTRANGE(""https://docs.google.com/spreadsheets/d/16JDLGguT8s5DsGCND1KcwHP_AWR_zDMTqLHPLJUKhaU/edit?usp=sharing"",""พังงา!L694"")+IMPORTRANGE(""https://docs.google.com/spreadsheets/d/17ht0gPKzzT3PObBL1XJkeR"&amp;"mntBXI7wGjpLV7QorqlTk/edit?usp=sharing"",""พัทลุง!L694"")+IMPORTRANGE(""https://docs.google.com/spreadsheets/d/1rd4qoM1q_hsgaolqNGfrim9gbsoLxQsda4-vOz5x_BM/edit?usp=sharing"",""ภูเก็ต!L694"")+IMPORTRANGE(""https://docs.google.com/spreadsheets/d/1woKwKjgoL"&amp;"ssDvPcPeVyezB5izizAn4X1JDrys69n6xI/edit?usp=sharing"",""ยะลา!L694"")+IMPORTRANGE(""https://docs.google.com/spreadsheets/d/1qfrKjzMhm2HJfxQ-qVlJlJQ25Hne1d0khsySbZyGtPA/edit?usp=sharing"",""ระนอง!L694"")+IMPORTRANGE(""https://docs.google.com/spreadsheets/d/"&amp;"1IbSCnFOKpZsnFogBHJnL_isstZVaOMnFiIN0fGTPZZw/edit?usp=sharing"",""สงขลา!L694"")+IMPORTRANGE(""https://docs.google.com/spreadsheets/d/1q9nWasZJ-K8bFGvbE9n0qSRuKGA4Toe3Y89cKCiVtCU/edit?usp=sharing"",""สตูล!L694"")+IMPORTRANGE(""https://docs.google.com/sprea"&amp;"dsheets/d/18T20gbkS_WBjdscyTOV05cvq_JqvqQ17C81mpxf7Ncs/edit?usp=sharing"",""สุราษฎร์ธานี!L694"")"),0)</f>
        <v>0</v>
      </c>
      <c r="M694" s="49">
        <f ca="1">IFERROR(__xludf.DUMMYFUNCTION("IMPORTRANGE(""https://docs.google.com/spreadsheets/d/1kKUcYdkIfrgTSj8iHHHB2MD2FAtwyyocFgqGQn6ADyI/edit?usp=sharing"",""กระบี่!M694"")+IMPORTRANGE(""https://docs.google.com/spreadsheets/d/1GwtLaSlNZkLk7iDqcyZz22giiy40b_usZZBXYciEN1U/edit?usp=sharing"",""ชุ"&amp;"มพร!M694"")+IMPORTRANGE(""https://docs.google.com/spreadsheets/d/16pAz3pOhQEZBhvFNMa5KGgZS6iKWpsKX0pg6tQmwFpo/edit?usp=sharing"",""ตรัง!M694"")+IMPORTRANGE(""https://docs.google.com/spreadsheets/d/1Dj4jcHCTV9JXKCaMoheSXS52JE63kDKyG7bPXnFogHk/edit?usp=shar"&amp;"ing"",""นครศรีธรรมราช!M694"")+IMPORTRANGE(""https://docs.google.com/spreadsheets/d/1iodCdmuK2GR3jzUwk8tpccY2JHQQA-87DLOtJP-ooyU/edit?usp=sharing"",""นราธิวาส!M694"")+IMPORTRANGE(""https://docs.google.com/spreadsheets/d/1SDNX3JhDdYRuIOsj0Wh2M-Qa_eaXl0NbWmh"&amp;"AOTbfQAs/edit?usp=sharing"",""ปัตตานี!M694"")+IMPORTRANGE(""https://docs.google.com/spreadsheets/d/16JDLGguT8s5DsGCND1KcwHP_AWR_zDMTqLHPLJUKhaU/edit?usp=sharing"",""พังงา!M694"")+IMPORTRANGE(""https://docs.google.com/spreadsheets/d/17ht0gPKzzT3PObBL1XJkeR"&amp;"mntBXI7wGjpLV7QorqlTk/edit?usp=sharing"",""พัทลุง!M694"")+IMPORTRANGE(""https://docs.google.com/spreadsheets/d/1rd4qoM1q_hsgaolqNGfrim9gbsoLxQsda4-vOz5x_BM/edit?usp=sharing"",""ภูเก็ต!M694"")+IMPORTRANGE(""https://docs.google.com/spreadsheets/d/1woKwKjgoL"&amp;"ssDvPcPeVyezB5izizAn4X1JDrys69n6xI/edit?usp=sharing"",""ยะลา!M694"")+IMPORTRANGE(""https://docs.google.com/spreadsheets/d/1qfrKjzMhm2HJfxQ-qVlJlJQ25Hne1d0khsySbZyGtPA/edit?usp=sharing"",""ระนอง!M694"")+IMPORTRANGE(""https://docs.google.com/spreadsheets/d/"&amp;"1IbSCnFOKpZsnFogBHJnL_isstZVaOMnFiIN0fGTPZZw/edit?usp=sharing"",""สงขลา!M694"")+IMPORTRANGE(""https://docs.google.com/spreadsheets/d/1q9nWasZJ-K8bFGvbE9n0qSRuKGA4Toe3Y89cKCiVtCU/edit?usp=sharing"",""สตูล!M694"")+IMPORTRANGE(""https://docs.google.com/sprea"&amp;"dsheets/d/18T20gbkS_WBjdscyTOV05cvq_JqvqQ17C81mpxf7Ncs/edit?usp=sharing"",""สุราษฎร์ธานี!M694"")"),0)</f>
        <v>0</v>
      </c>
      <c r="N694" s="49">
        <f ca="1">IFERROR(__xludf.DUMMYFUNCTION("IMPORTRANGE(""https://docs.google.com/spreadsheets/d/1kKUcYdkIfrgTSj8iHHHB2MD2FAtwyyocFgqGQn6ADyI/edit?usp=sharing"",""กระบี่!N694"")+IMPORTRANGE(""https://docs.google.com/spreadsheets/d/1GwtLaSlNZkLk7iDqcyZz22giiy40b_usZZBXYciEN1U/edit?usp=sharing"",""ชุ"&amp;"มพร!N694"")+IMPORTRANGE(""https://docs.google.com/spreadsheets/d/16pAz3pOhQEZBhvFNMa5KGgZS6iKWpsKX0pg6tQmwFpo/edit?usp=sharing"",""ตรัง!N694"")+IMPORTRANGE(""https://docs.google.com/spreadsheets/d/1Dj4jcHCTV9JXKCaMoheSXS52JE63kDKyG7bPXnFogHk/edit?usp=shar"&amp;"ing"",""นครศรีธรรมราช!N694"")+IMPORTRANGE(""https://docs.google.com/spreadsheets/d/1iodCdmuK2GR3jzUwk8tpccY2JHQQA-87DLOtJP-ooyU/edit?usp=sharing"",""นราธิวาส!N694"")+IMPORTRANGE(""https://docs.google.com/spreadsheets/d/1SDNX3JhDdYRuIOsj0Wh2M-Qa_eaXl0NbWmh"&amp;"AOTbfQAs/edit?usp=sharing"",""ปัตตานี!N694"")+IMPORTRANGE(""https://docs.google.com/spreadsheets/d/16JDLGguT8s5DsGCND1KcwHP_AWR_zDMTqLHPLJUKhaU/edit?usp=sharing"",""พังงา!N694"")+IMPORTRANGE(""https://docs.google.com/spreadsheets/d/17ht0gPKzzT3PObBL1XJkeR"&amp;"mntBXI7wGjpLV7QorqlTk/edit?usp=sharing"",""พัทลุง!N694"")+IMPORTRANGE(""https://docs.google.com/spreadsheets/d/1rd4qoM1q_hsgaolqNGfrim9gbsoLxQsda4-vOz5x_BM/edit?usp=sharing"",""ภูเก็ต!N694"")+IMPORTRANGE(""https://docs.google.com/spreadsheets/d/1woKwKjgoL"&amp;"ssDvPcPeVyezB5izizAn4X1JDrys69n6xI/edit?usp=sharing"",""ยะลา!N694"")+IMPORTRANGE(""https://docs.google.com/spreadsheets/d/1qfrKjzMhm2HJfxQ-qVlJlJQ25Hne1d0khsySbZyGtPA/edit?usp=sharing"",""ระนอง!N694"")+IMPORTRANGE(""https://docs.google.com/spreadsheets/d/"&amp;"1IbSCnFOKpZsnFogBHJnL_isstZVaOMnFiIN0fGTPZZw/edit?usp=sharing"",""สงขลา!N694"")+IMPORTRANGE(""https://docs.google.com/spreadsheets/d/1q9nWasZJ-K8bFGvbE9n0qSRuKGA4Toe3Y89cKCiVtCU/edit?usp=sharing"",""สตูล!N694"")+IMPORTRANGE(""https://docs.google.com/sprea"&amp;"dsheets/d/18T20gbkS_WBjdscyTOV05cvq_JqvqQ17C81mpxf7Ncs/edit?usp=sharing"",""สุราษฎร์ธานี!N694"")"),0)</f>
        <v>0</v>
      </c>
      <c r="O694" s="49">
        <f t="shared" ca="1" si="474"/>
        <v>0</v>
      </c>
      <c r="P694" s="49">
        <f t="shared" ca="1" si="475"/>
        <v>0</v>
      </c>
      <c r="Q694" s="49">
        <f ca="1">IFERROR(__xludf.DUMMYFUNCTION("IMPORTRANGE(""https://docs.google.com/spreadsheets/d/1kKUcYdkIfrgTSj8iHHHB2MD2FAtwyyocFgqGQn6ADyI/edit?usp=sharing"",""กระบี่!Q694"")+IMPORTRANGE(""https://docs.google.com/spreadsheets/d/1GwtLaSlNZkLk7iDqcyZz22giiy40b_usZZBXYciEN1U/edit?usp=sharing"",""ชุ"&amp;"มพร!Q694"")+IMPORTRANGE(""https://docs.google.com/spreadsheets/d/16pAz3pOhQEZBhvFNMa5KGgZS6iKWpsKX0pg6tQmwFpo/edit?usp=sharing"",""ตรัง!Q694"")+IMPORTRANGE(""https://docs.google.com/spreadsheets/d/1Dj4jcHCTV9JXKCaMoheSXS52JE63kDKyG7bPXnFogHk/edit?usp=shar"&amp;"ing"",""นครศรีธรรมราช!Q694"")+IMPORTRANGE(""https://docs.google.com/spreadsheets/d/1iodCdmuK2GR3jzUwk8tpccY2JHQQA-87DLOtJP-ooyU/edit?usp=sharing"",""นราธิวาส!Q694"")+IMPORTRANGE(""https://docs.google.com/spreadsheets/d/1SDNX3JhDdYRuIOsj0Wh2M-Qa_eaXl0NbWmh"&amp;"AOTbfQAs/edit?usp=sharing"",""ปัตตานี!Q694"")+IMPORTRANGE(""https://docs.google.com/spreadsheets/d/16JDLGguT8s5DsGCND1KcwHP_AWR_zDMTqLHPLJUKhaU/edit?usp=sharing"",""พังงา!Q694"")+IMPORTRANGE(""https://docs.google.com/spreadsheets/d/17ht0gPKzzT3PObBL1XJkeR"&amp;"mntBXI7wGjpLV7QorqlTk/edit?usp=sharing"",""พัทลุง!Q694"")+IMPORTRANGE(""https://docs.google.com/spreadsheets/d/1rd4qoM1q_hsgaolqNGfrim9gbsoLxQsda4-vOz5x_BM/edit?usp=sharing"",""ภูเก็ต!Q694"")+IMPORTRANGE(""https://docs.google.com/spreadsheets/d/1woKwKjgoL"&amp;"ssDvPcPeVyezB5izizAn4X1JDrys69n6xI/edit?usp=sharing"",""ยะลา!Q694"")+IMPORTRANGE(""https://docs.google.com/spreadsheets/d/1qfrKjzMhm2HJfxQ-qVlJlJQ25Hne1d0khsySbZyGtPA/edit?usp=sharing"",""ระนอง!Q694"")+IMPORTRANGE(""https://docs.google.com/spreadsheets/d/"&amp;"1IbSCnFOKpZsnFogBHJnL_isstZVaOMnFiIN0fGTPZZw/edit?usp=sharing"",""สงขลา!Q694"")+IMPORTRANGE(""https://docs.google.com/spreadsheets/d/1q9nWasZJ-K8bFGvbE9n0qSRuKGA4Toe3Y89cKCiVtCU/edit?usp=sharing"",""สตูล!Q694"")+IMPORTRANGE(""https://docs.google.com/sprea"&amp;"dsheets/d/18T20gbkS_WBjdscyTOV05cvq_JqvqQ17C81mpxf7Ncs/edit?usp=sharing"",""สุราษฎร์ธานี!Q694"")"),0)</f>
        <v>0</v>
      </c>
      <c r="R694" s="49">
        <f ca="1">IFERROR(__xludf.DUMMYFUNCTION("IMPORTRANGE(""https://docs.google.com/spreadsheets/d/1kKUcYdkIfrgTSj8iHHHB2MD2FAtwyyocFgqGQn6ADyI/edit?usp=sharing"",""กระบี่!R694"")+IMPORTRANGE(""https://docs.google.com/spreadsheets/d/1GwtLaSlNZkLk7iDqcyZz22giiy40b_usZZBXYciEN1U/edit?usp=sharing"",""ชุ"&amp;"มพร!R694"")+IMPORTRANGE(""https://docs.google.com/spreadsheets/d/16pAz3pOhQEZBhvFNMa5KGgZS6iKWpsKX0pg6tQmwFpo/edit?usp=sharing"",""ตรัง!R694"")+IMPORTRANGE(""https://docs.google.com/spreadsheets/d/1Dj4jcHCTV9JXKCaMoheSXS52JE63kDKyG7bPXnFogHk/edit?usp=shar"&amp;"ing"",""นครศรีธรรมราช!R694"")+IMPORTRANGE(""https://docs.google.com/spreadsheets/d/1iodCdmuK2GR3jzUwk8tpccY2JHQQA-87DLOtJP-ooyU/edit?usp=sharing"",""นราธิวาส!R694"")+IMPORTRANGE(""https://docs.google.com/spreadsheets/d/1SDNX3JhDdYRuIOsj0Wh2M-Qa_eaXl0NbWmh"&amp;"AOTbfQAs/edit?usp=sharing"",""ปัตตานี!R694"")+IMPORTRANGE(""https://docs.google.com/spreadsheets/d/16JDLGguT8s5DsGCND1KcwHP_AWR_zDMTqLHPLJUKhaU/edit?usp=sharing"",""พังงา!R694"")+IMPORTRANGE(""https://docs.google.com/spreadsheets/d/17ht0gPKzzT3PObBL1XJkeR"&amp;"mntBXI7wGjpLV7QorqlTk/edit?usp=sharing"",""พัทลุง!R694"")+IMPORTRANGE(""https://docs.google.com/spreadsheets/d/1rd4qoM1q_hsgaolqNGfrim9gbsoLxQsda4-vOz5x_BM/edit?usp=sharing"",""ภูเก็ต!R694"")+IMPORTRANGE(""https://docs.google.com/spreadsheets/d/1woKwKjgoL"&amp;"ssDvPcPeVyezB5izizAn4X1JDrys69n6xI/edit?usp=sharing"",""ยะลา!R694"")+IMPORTRANGE(""https://docs.google.com/spreadsheets/d/1qfrKjzMhm2HJfxQ-qVlJlJQ25Hne1d0khsySbZyGtPA/edit?usp=sharing"",""ระนอง!R694"")+IMPORTRANGE(""https://docs.google.com/spreadsheets/d/"&amp;"1IbSCnFOKpZsnFogBHJnL_isstZVaOMnFiIN0fGTPZZw/edit?usp=sharing"",""สงขลา!R694"")+IMPORTRANGE(""https://docs.google.com/spreadsheets/d/1q9nWasZJ-K8bFGvbE9n0qSRuKGA4Toe3Y89cKCiVtCU/edit?usp=sharing"",""สตูล!R694"")+IMPORTRANGE(""https://docs.google.com/sprea"&amp;"dsheets/d/18T20gbkS_WBjdscyTOV05cvq_JqvqQ17C81mpxf7Ncs/edit?usp=sharing"",""สุราษฎร์ธานี!R694"")"),0)</f>
        <v>0</v>
      </c>
      <c r="S694" s="49">
        <f ca="1">IFERROR(__xludf.DUMMYFUNCTION("IMPORTRANGE(""https://docs.google.com/spreadsheets/d/1kKUcYdkIfrgTSj8iHHHB2MD2FAtwyyocFgqGQn6ADyI/edit?usp=sharing"",""กระบี่!S694"")+IMPORTRANGE(""https://docs.google.com/spreadsheets/d/1GwtLaSlNZkLk7iDqcyZz22giiy40b_usZZBXYciEN1U/edit?usp=sharing"",""ชุ"&amp;"มพร!S694"")+IMPORTRANGE(""https://docs.google.com/spreadsheets/d/16pAz3pOhQEZBhvFNMa5KGgZS6iKWpsKX0pg6tQmwFpo/edit?usp=sharing"",""ตรัง!S694"")+IMPORTRANGE(""https://docs.google.com/spreadsheets/d/1Dj4jcHCTV9JXKCaMoheSXS52JE63kDKyG7bPXnFogHk/edit?usp=shar"&amp;"ing"",""นครศรีธรรมราช!S694"")+IMPORTRANGE(""https://docs.google.com/spreadsheets/d/1iodCdmuK2GR3jzUwk8tpccY2JHQQA-87DLOtJP-ooyU/edit?usp=sharing"",""นราธิวาส!S694"")+IMPORTRANGE(""https://docs.google.com/spreadsheets/d/1SDNX3JhDdYRuIOsj0Wh2M-Qa_eaXl0NbWmh"&amp;"AOTbfQAs/edit?usp=sharing"",""ปัตตานี!S694"")+IMPORTRANGE(""https://docs.google.com/spreadsheets/d/16JDLGguT8s5DsGCND1KcwHP_AWR_zDMTqLHPLJUKhaU/edit?usp=sharing"",""พังงา!S694"")+IMPORTRANGE(""https://docs.google.com/spreadsheets/d/17ht0gPKzzT3PObBL1XJkeR"&amp;"mntBXI7wGjpLV7QorqlTk/edit?usp=sharing"",""พัทลุง!S694"")+IMPORTRANGE(""https://docs.google.com/spreadsheets/d/1rd4qoM1q_hsgaolqNGfrim9gbsoLxQsda4-vOz5x_BM/edit?usp=sharing"",""ภูเก็ต!S694"")+IMPORTRANGE(""https://docs.google.com/spreadsheets/d/1woKwKjgoL"&amp;"ssDvPcPeVyezB5izizAn4X1JDrys69n6xI/edit?usp=sharing"",""ยะลา!S694"")+IMPORTRANGE(""https://docs.google.com/spreadsheets/d/1qfrKjzMhm2HJfxQ-qVlJlJQ25Hne1d0khsySbZyGtPA/edit?usp=sharing"",""ระนอง!S694"")+IMPORTRANGE(""https://docs.google.com/spreadsheets/d/"&amp;"1IbSCnFOKpZsnFogBHJnL_isstZVaOMnFiIN0fGTPZZw/edit?usp=sharing"",""สงขลา!S694"")+IMPORTRANGE(""https://docs.google.com/spreadsheets/d/1q9nWasZJ-K8bFGvbE9n0qSRuKGA4Toe3Y89cKCiVtCU/edit?usp=sharing"",""สตูล!S694"")+IMPORTRANGE(""https://docs.google.com/sprea"&amp;"dsheets/d/18T20gbkS_WBjdscyTOV05cvq_JqvqQ17C81mpxf7Ncs/edit?usp=sharing"",""สุราษฎร์ธานี!S694"")"),0)</f>
        <v>0</v>
      </c>
      <c r="T694" s="49">
        <f t="shared" ca="1" si="477"/>
        <v>0</v>
      </c>
      <c r="U694" s="49">
        <f t="shared" ca="1" si="478"/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7">
        <f ca="1">IFERROR(__xludf.DUMMYFUNCTION("IMPORTRANGE(""https://docs.google.com/spreadsheets/d/1kKUcYdkIfrgTSj8iHHHB2MD2FAtwyyocFgqGQn6ADyI/edit?usp=sharing"",""กระบี่!L695"")+IMPORTRANGE(""https://docs.google.com/spreadsheets/d/1GwtLaSlNZkLk7iDqcyZz22giiy40b_usZZBXYciEN1U/edit?usp=sharing"",""ชุ"&amp;"มพร!L695"")+IMPORTRANGE(""https://docs.google.com/spreadsheets/d/16pAz3pOhQEZBhvFNMa5KGgZS6iKWpsKX0pg6tQmwFpo/edit?usp=sharing"",""ตรัง!L695"")+IMPORTRANGE(""https://docs.google.com/spreadsheets/d/1Dj4jcHCTV9JXKCaMoheSXS52JE63kDKyG7bPXnFogHk/edit?usp=shar"&amp;"ing"",""นครศรีธรรมราช!L695"")+IMPORTRANGE(""https://docs.google.com/spreadsheets/d/1iodCdmuK2GR3jzUwk8tpccY2JHQQA-87DLOtJP-ooyU/edit?usp=sharing"",""นราธิวาส!L695"")+IMPORTRANGE(""https://docs.google.com/spreadsheets/d/1SDNX3JhDdYRuIOsj0Wh2M-Qa_eaXl0NbWmh"&amp;"AOTbfQAs/edit?usp=sharing"",""ปัตตานี!L695"")+IMPORTRANGE(""https://docs.google.com/spreadsheets/d/16JDLGguT8s5DsGCND1KcwHP_AWR_zDMTqLHPLJUKhaU/edit?usp=sharing"",""พังงา!L695"")+IMPORTRANGE(""https://docs.google.com/spreadsheets/d/17ht0gPKzzT3PObBL1XJkeR"&amp;"mntBXI7wGjpLV7QorqlTk/edit?usp=sharing"",""พัทลุง!L695"")+IMPORTRANGE(""https://docs.google.com/spreadsheets/d/1rd4qoM1q_hsgaolqNGfrim9gbsoLxQsda4-vOz5x_BM/edit?usp=sharing"",""ภูเก็ต!L695"")+IMPORTRANGE(""https://docs.google.com/spreadsheets/d/1woKwKjgoL"&amp;"ssDvPcPeVyezB5izizAn4X1JDrys69n6xI/edit?usp=sharing"",""ยะลา!L695"")+IMPORTRANGE(""https://docs.google.com/spreadsheets/d/1qfrKjzMhm2HJfxQ-qVlJlJQ25Hne1d0khsySbZyGtPA/edit?usp=sharing"",""ระนอง!L695"")+IMPORTRANGE(""https://docs.google.com/spreadsheets/d/"&amp;"1IbSCnFOKpZsnFogBHJnL_isstZVaOMnFiIN0fGTPZZw/edit?usp=sharing"",""สงขลา!L695"")+IMPORTRANGE(""https://docs.google.com/spreadsheets/d/1q9nWasZJ-K8bFGvbE9n0qSRuKGA4Toe3Y89cKCiVtCU/edit?usp=sharing"",""สตูล!L695"")+IMPORTRANGE(""https://docs.google.com/sprea"&amp;"dsheets/d/18T20gbkS_WBjdscyTOV05cvq_JqvqQ17C81mpxf7Ncs/edit?usp=sharing"",""สุราษฎร์ธานี!L695"")"),0)</f>
        <v>0</v>
      </c>
      <c r="M695" s="47">
        <f ca="1">IFERROR(__xludf.DUMMYFUNCTION("IMPORTRANGE(""https://docs.google.com/spreadsheets/d/1kKUcYdkIfrgTSj8iHHHB2MD2FAtwyyocFgqGQn6ADyI/edit?usp=sharing"",""กระบี่!M695"")+IMPORTRANGE(""https://docs.google.com/spreadsheets/d/1GwtLaSlNZkLk7iDqcyZz22giiy40b_usZZBXYciEN1U/edit?usp=sharing"",""ชุ"&amp;"มพร!M695"")+IMPORTRANGE(""https://docs.google.com/spreadsheets/d/16pAz3pOhQEZBhvFNMa5KGgZS6iKWpsKX0pg6tQmwFpo/edit?usp=sharing"",""ตรัง!M695"")+IMPORTRANGE(""https://docs.google.com/spreadsheets/d/1Dj4jcHCTV9JXKCaMoheSXS52JE63kDKyG7bPXnFogHk/edit?usp=shar"&amp;"ing"",""นครศรีธรรมราช!M695"")+IMPORTRANGE(""https://docs.google.com/spreadsheets/d/1iodCdmuK2GR3jzUwk8tpccY2JHQQA-87DLOtJP-ooyU/edit?usp=sharing"",""นราธิวาส!M695"")+IMPORTRANGE(""https://docs.google.com/spreadsheets/d/1SDNX3JhDdYRuIOsj0Wh2M-Qa_eaXl0NbWmh"&amp;"AOTbfQAs/edit?usp=sharing"",""ปัตตานี!M695"")+IMPORTRANGE(""https://docs.google.com/spreadsheets/d/16JDLGguT8s5DsGCND1KcwHP_AWR_zDMTqLHPLJUKhaU/edit?usp=sharing"",""พังงา!M695"")+IMPORTRANGE(""https://docs.google.com/spreadsheets/d/17ht0gPKzzT3PObBL1XJkeR"&amp;"mntBXI7wGjpLV7QorqlTk/edit?usp=sharing"",""พัทลุง!M695"")+IMPORTRANGE(""https://docs.google.com/spreadsheets/d/1rd4qoM1q_hsgaolqNGfrim9gbsoLxQsda4-vOz5x_BM/edit?usp=sharing"",""ภูเก็ต!M695"")+IMPORTRANGE(""https://docs.google.com/spreadsheets/d/1woKwKjgoL"&amp;"ssDvPcPeVyezB5izizAn4X1JDrys69n6xI/edit?usp=sharing"",""ยะลา!M695"")+IMPORTRANGE(""https://docs.google.com/spreadsheets/d/1qfrKjzMhm2HJfxQ-qVlJlJQ25Hne1d0khsySbZyGtPA/edit?usp=sharing"",""ระนอง!M695"")+IMPORTRANGE(""https://docs.google.com/spreadsheets/d/"&amp;"1IbSCnFOKpZsnFogBHJnL_isstZVaOMnFiIN0fGTPZZw/edit?usp=sharing"",""สงขลา!M695"")+IMPORTRANGE(""https://docs.google.com/spreadsheets/d/1q9nWasZJ-K8bFGvbE9n0qSRuKGA4Toe3Y89cKCiVtCU/edit?usp=sharing"",""สตูล!M695"")+IMPORTRANGE(""https://docs.google.com/sprea"&amp;"dsheets/d/18T20gbkS_WBjdscyTOV05cvq_JqvqQ17C81mpxf7Ncs/edit?usp=sharing"",""สุราษฎร์ธานี!M695"")"),0)</f>
        <v>0</v>
      </c>
      <c r="N695" s="47">
        <f ca="1">IFERROR(__xludf.DUMMYFUNCTION("IMPORTRANGE(""https://docs.google.com/spreadsheets/d/1kKUcYdkIfrgTSj8iHHHB2MD2FAtwyyocFgqGQn6ADyI/edit?usp=sharing"",""กระบี่!N695"")+IMPORTRANGE(""https://docs.google.com/spreadsheets/d/1GwtLaSlNZkLk7iDqcyZz22giiy40b_usZZBXYciEN1U/edit?usp=sharing"",""ชุ"&amp;"มพร!N695"")+IMPORTRANGE(""https://docs.google.com/spreadsheets/d/16pAz3pOhQEZBhvFNMa5KGgZS6iKWpsKX0pg6tQmwFpo/edit?usp=sharing"",""ตรัง!N695"")+IMPORTRANGE(""https://docs.google.com/spreadsheets/d/1Dj4jcHCTV9JXKCaMoheSXS52JE63kDKyG7bPXnFogHk/edit?usp=shar"&amp;"ing"",""นครศรีธรรมราช!N695"")+IMPORTRANGE(""https://docs.google.com/spreadsheets/d/1iodCdmuK2GR3jzUwk8tpccY2JHQQA-87DLOtJP-ooyU/edit?usp=sharing"",""นราธิวาส!N695"")+IMPORTRANGE(""https://docs.google.com/spreadsheets/d/1SDNX3JhDdYRuIOsj0Wh2M-Qa_eaXl0NbWmh"&amp;"AOTbfQAs/edit?usp=sharing"",""ปัตตานี!N695"")+IMPORTRANGE(""https://docs.google.com/spreadsheets/d/16JDLGguT8s5DsGCND1KcwHP_AWR_zDMTqLHPLJUKhaU/edit?usp=sharing"",""พังงา!N695"")+IMPORTRANGE(""https://docs.google.com/spreadsheets/d/17ht0gPKzzT3PObBL1XJkeR"&amp;"mntBXI7wGjpLV7QorqlTk/edit?usp=sharing"",""พัทลุง!N695"")+IMPORTRANGE(""https://docs.google.com/spreadsheets/d/1rd4qoM1q_hsgaolqNGfrim9gbsoLxQsda4-vOz5x_BM/edit?usp=sharing"",""ภูเก็ต!N695"")+IMPORTRANGE(""https://docs.google.com/spreadsheets/d/1woKwKjgoL"&amp;"ssDvPcPeVyezB5izizAn4X1JDrys69n6xI/edit?usp=sharing"",""ยะลา!N695"")+IMPORTRANGE(""https://docs.google.com/spreadsheets/d/1qfrKjzMhm2HJfxQ-qVlJlJQ25Hne1d0khsySbZyGtPA/edit?usp=sharing"",""ระนอง!N695"")+IMPORTRANGE(""https://docs.google.com/spreadsheets/d/"&amp;"1IbSCnFOKpZsnFogBHJnL_isstZVaOMnFiIN0fGTPZZw/edit?usp=sharing"",""สงขลา!N695"")+IMPORTRANGE(""https://docs.google.com/spreadsheets/d/1q9nWasZJ-K8bFGvbE9n0qSRuKGA4Toe3Y89cKCiVtCU/edit?usp=sharing"",""สตูล!N695"")+IMPORTRANGE(""https://docs.google.com/sprea"&amp;"dsheets/d/18T20gbkS_WBjdscyTOV05cvq_JqvqQ17C81mpxf7Ncs/edit?usp=sharing"",""สุราษฎร์ธานี!N695"")"),0)</f>
        <v>0</v>
      </c>
      <c r="O695" s="47">
        <f t="shared" ca="1" si="474"/>
        <v>0</v>
      </c>
      <c r="P695" s="47">
        <f t="shared" ca="1" si="475"/>
        <v>0</v>
      </c>
      <c r="Q695" s="47">
        <f ca="1">IFERROR(__xludf.DUMMYFUNCTION("IMPORTRANGE(""https://docs.google.com/spreadsheets/d/1kKUcYdkIfrgTSj8iHHHB2MD2FAtwyyocFgqGQn6ADyI/edit?usp=sharing"",""กระบี่!Q695"")+IMPORTRANGE(""https://docs.google.com/spreadsheets/d/1GwtLaSlNZkLk7iDqcyZz22giiy40b_usZZBXYciEN1U/edit?usp=sharing"",""ชุ"&amp;"มพร!Q695"")+IMPORTRANGE(""https://docs.google.com/spreadsheets/d/16pAz3pOhQEZBhvFNMa5KGgZS6iKWpsKX0pg6tQmwFpo/edit?usp=sharing"",""ตรัง!Q695"")+IMPORTRANGE(""https://docs.google.com/spreadsheets/d/1Dj4jcHCTV9JXKCaMoheSXS52JE63kDKyG7bPXnFogHk/edit?usp=shar"&amp;"ing"",""นครศรีธรรมราช!Q695"")+IMPORTRANGE(""https://docs.google.com/spreadsheets/d/1iodCdmuK2GR3jzUwk8tpccY2JHQQA-87DLOtJP-ooyU/edit?usp=sharing"",""นราธิวาส!Q695"")+IMPORTRANGE(""https://docs.google.com/spreadsheets/d/1SDNX3JhDdYRuIOsj0Wh2M-Qa_eaXl0NbWmh"&amp;"AOTbfQAs/edit?usp=sharing"",""ปัตตานี!Q695"")+IMPORTRANGE(""https://docs.google.com/spreadsheets/d/16JDLGguT8s5DsGCND1KcwHP_AWR_zDMTqLHPLJUKhaU/edit?usp=sharing"",""พังงา!Q695"")+IMPORTRANGE(""https://docs.google.com/spreadsheets/d/17ht0gPKzzT3PObBL1XJkeR"&amp;"mntBXI7wGjpLV7QorqlTk/edit?usp=sharing"",""พัทลุง!Q695"")+IMPORTRANGE(""https://docs.google.com/spreadsheets/d/1rd4qoM1q_hsgaolqNGfrim9gbsoLxQsda4-vOz5x_BM/edit?usp=sharing"",""ภูเก็ต!Q695"")+IMPORTRANGE(""https://docs.google.com/spreadsheets/d/1woKwKjgoL"&amp;"ssDvPcPeVyezB5izizAn4X1JDrys69n6xI/edit?usp=sharing"",""ยะลา!Q695"")+IMPORTRANGE(""https://docs.google.com/spreadsheets/d/1qfrKjzMhm2HJfxQ-qVlJlJQ25Hne1d0khsySbZyGtPA/edit?usp=sharing"",""ระนอง!Q695"")+IMPORTRANGE(""https://docs.google.com/spreadsheets/d/"&amp;"1IbSCnFOKpZsnFogBHJnL_isstZVaOMnFiIN0fGTPZZw/edit?usp=sharing"",""สงขลา!Q695"")+IMPORTRANGE(""https://docs.google.com/spreadsheets/d/1q9nWasZJ-K8bFGvbE9n0qSRuKGA4Toe3Y89cKCiVtCU/edit?usp=sharing"",""สตูล!Q695"")+IMPORTRANGE(""https://docs.google.com/sprea"&amp;"dsheets/d/18T20gbkS_WBjdscyTOV05cvq_JqvqQ17C81mpxf7Ncs/edit?usp=sharing"",""สุราษฎร์ธานี!Q695"")"),865550)</f>
        <v>865550</v>
      </c>
      <c r="R695" s="47">
        <f ca="1">IFERROR(__xludf.DUMMYFUNCTION("IMPORTRANGE(""https://docs.google.com/spreadsheets/d/1kKUcYdkIfrgTSj8iHHHB2MD2FAtwyyocFgqGQn6ADyI/edit?usp=sharing"",""กระบี่!R695"")+IMPORTRANGE(""https://docs.google.com/spreadsheets/d/1GwtLaSlNZkLk7iDqcyZz22giiy40b_usZZBXYciEN1U/edit?usp=sharing"",""ชุ"&amp;"มพร!R695"")+IMPORTRANGE(""https://docs.google.com/spreadsheets/d/16pAz3pOhQEZBhvFNMa5KGgZS6iKWpsKX0pg6tQmwFpo/edit?usp=sharing"",""ตรัง!R695"")+IMPORTRANGE(""https://docs.google.com/spreadsheets/d/1Dj4jcHCTV9JXKCaMoheSXS52JE63kDKyG7bPXnFogHk/edit?usp=shar"&amp;"ing"",""นครศรีธรรมราช!R695"")+IMPORTRANGE(""https://docs.google.com/spreadsheets/d/1iodCdmuK2GR3jzUwk8tpccY2JHQQA-87DLOtJP-ooyU/edit?usp=sharing"",""นราธิวาส!R695"")+IMPORTRANGE(""https://docs.google.com/spreadsheets/d/1SDNX3JhDdYRuIOsj0Wh2M-Qa_eaXl0NbWmh"&amp;"AOTbfQAs/edit?usp=sharing"",""ปัตตานี!R695"")+IMPORTRANGE(""https://docs.google.com/spreadsheets/d/16JDLGguT8s5DsGCND1KcwHP_AWR_zDMTqLHPLJUKhaU/edit?usp=sharing"",""พังงา!R695"")+IMPORTRANGE(""https://docs.google.com/spreadsheets/d/17ht0gPKzzT3PObBL1XJkeR"&amp;"mntBXI7wGjpLV7QorqlTk/edit?usp=sharing"",""พัทลุง!R695"")+IMPORTRANGE(""https://docs.google.com/spreadsheets/d/1rd4qoM1q_hsgaolqNGfrim9gbsoLxQsda4-vOz5x_BM/edit?usp=sharing"",""ภูเก็ต!R695"")+IMPORTRANGE(""https://docs.google.com/spreadsheets/d/1woKwKjgoL"&amp;"ssDvPcPeVyezB5izizAn4X1JDrys69n6xI/edit?usp=sharing"",""ยะลา!R695"")+IMPORTRANGE(""https://docs.google.com/spreadsheets/d/1qfrKjzMhm2HJfxQ-qVlJlJQ25Hne1d0khsySbZyGtPA/edit?usp=sharing"",""ระนอง!R695"")+IMPORTRANGE(""https://docs.google.com/spreadsheets/d/"&amp;"1IbSCnFOKpZsnFogBHJnL_isstZVaOMnFiIN0fGTPZZw/edit?usp=sharing"",""สงขลา!R695"")+IMPORTRANGE(""https://docs.google.com/spreadsheets/d/1q9nWasZJ-K8bFGvbE9n0qSRuKGA4Toe3Y89cKCiVtCU/edit?usp=sharing"",""สตูล!R695"")+IMPORTRANGE(""https://docs.google.com/sprea"&amp;"dsheets/d/18T20gbkS_WBjdscyTOV05cvq_JqvqQ17C81mpxf7Ncs/edit?usp=sharing"",""สุราษฎร์ธานี!R695"")"),865550)</f>
        <v>865550</v>
      </c>
      <c r="S695" s="47">
        <f ca="1">IFERROR(__xludf.DUMMYFUNCTION("IMPORTRANGE(""https://docs.google.com/spreadsheets/d/1kKUcYdkIfrgTSj8iHHHB2MD2FAtwyyocFgqGQn6ADyI/edit?usp=sharing"",""กระบี่!S695"")+IMPORTRANGE(""https://docs.google.com/spreadsheets/d/1GwtLaSlNZkLk7iDqcyZz22giiy40b_usZZBXYciEN1U/edit?usp=sharing"",""ชุ"&amp;"มพร!S695"")+IMPORTRANGE(""https://docs.google.com/spreadsheets/d/16pAz3pOhQEZBhvFNMa5KGgZS6iKWpsKX0pg6tQmwFpo/edit?usp=sharing"",""ตรัง!S695"")+IMPORTRANGE(""https://docs.google.com/spreadsheets/d/1Dj4jcHCTV9JXKCaMoheSXS52JE63kDKyG7bPXnFogHk/edit?usp=shar"&amp;"ing"",""นครศรีธรรมราช!S695"")+IMPORTRANGE(""https://docs.google.com/spreadsheets/d/1iodCdmuK2GR3jzUwk8tpccY2JHQQA-87DLOtJP-ooyU/edit?usp=sharing"",""นราธิวาส!S695"")+IMPORTRANGE(""https://docs.google.com/spreadsheets/d/1SDNX3JhDdYRuIOsj0Wh2M-Qa_eaXl0NbWmh"&amp;"AOTbfQAs/edit?usp=sharing"",""ปัตตานี!S695"")+IMPORTRANGE(""https://docs.google.com/spreadsheets/d/16JDLGguT8s5DsGCND1KcwHP_AWR_zDMTqLHPLJUKhaU/edit?usp=sharing"",""พังงา!S695"")+IMPORTRANGE(""https://docs.google.com/spreadsheets/d/17ht0gPKzzT3PObBL1XJkeR"&amp;"mntBXI7wGjpLV7QorqlTk/edit?usp=sharing"",""พัทลุง!S695"")+IMPORTRANGE(""https://docs.google.com/spreadsheets/d/1rd4qoM1q_hsgaolqNGfrim9gbsoLxQsda4-vOz5x_BM/edit?usp=sharing"",""ภูเก็ต!S695"")+IMPORTRANGE(""https://docs.google.com/spreadsheets/d/1woKwKjgoL"&amp;"ssDvPcPeVyezB5izizAn4X1JDrys69n6xI/edit?usp=sharing"",""ยะลา!S695"")+IMPORTRANGE(""https://docs.google.com/spreadsheets/d/1qfrKjzMhm2HJfxQ-qVlJlJQ25Hne1d0khsySbZyGtPA/edit?usp=sharing"",""ระนอง!S695"")+IMPORTRANGE(""https://docs.google.com/spreadsheets/d/"&amp;"1IbSCnFOKpZsnFogBHJnL_isstZVaOMnFiIN0fGTPZZw/edit?usp=sharing"",""สงขลา!S695"")+IMPORTRANGE(""https://docs.google.com/spreadsheets/d/1q9nWasZJ-K8bFGvbE9n0qSRuKGA4Toe3Y89cKCiVtCU/edit?usp=sharing"",""สตูล!S695"")+IMPORTRANGE(""https://docs.google.com/sprea"&amp;"dsheets/d/18T20gbkS_WBjdscyTOV05cvq_JqvqQ17C81mpxf7Ncs/edit?usp=sharing"",""สุราษฎร์ธานี!S695"")"),136087.14)</f>
        <v>136087.14000000001</v>
      </c>
      <c r="T695" s="47">
        <f t="shared" ca="1" si="477"/>
        <v>15.722620299231705</v>
      </c>
      <c r="U695" s="47">
        <f t="shared" ca="1" si="478"/>
        <v>15.722620299231705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7">
        <f t="shared" ref="L696:N696" ca="1" si="485">L697+L698</f>
        <v>0</v>
      </c>
      <c r="M696" s="47">
        <f t="shared" ca="1" si="485"/>
        <v>0</v>
      </c>
      <c r="N696" s="47">
        <f t="shared" ca="1" si="485"/>
        <v>0</v>
      </c>
      <c r="O696" s="47">
        <f t="shared" ca="1" si="474"/>
        <v>0</v>
      </c>
      <c r="P696" s="47">
        <f t="shared" ca="1" si="475"/>
        <v>0</v>
      </c>
      <c r="Q696" s="47">
        <f t="shared" ref="Q696:S696" ca="1" si="486">Q697+Q698</f>
        <v>0</v>
      </c>
      <c r="R696" s="47">
        <f t="shared" ca="1" si="486"/>
        <v>0</v>
      </c>
      <c r="S696" s="47">
        <f t="shared" ca="1" si="486"/>
        <v>0</v>
      </c>
      <c r="T696" s="47">
        <f t="shared" ca="1" si="477"/>
        <v>0</v>
      </c>
      <c r="U696" s="47">
        <f t="shared" ca="1" si="478"/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9">
        <f ca="1">IFERROR(__xludf.DUMMYFUNCTION("IMPORTRANGE(""https://docs.google.com/spreadsheets/d/1kKUcYdkIfrgTSj8iHHHB2MD2FAtwyyocFgqGQn6ADyI/edit?usp=sharing"",""กระบี่!L697"")+IMPORTRANGE(""https://docs.google.com/spreadsheets/d/1GwtLaSlNZkLk7iDqcyZz22giiy40b_usZZBXYciEN1U/edit?usp=sharing"",""ชุ"&amp;"มพร!L697"")+IMPORTRANGE(""https://docs.google.com/spreadsheets/d/16pAz3pOhQEZBhvFNMa5KGgZS6iKWpsKX0pg6tQmwFpo/edit?usp=sharing"",""ตรัง!L697"")+IMPORTRANGE(""https://docs.google.com/spreadsheets/d/1Dj4jcHCTV9JXKCaMoheSXS52JE63kDKyG7bPXnFogHk/edit?usp=shar"&amp;"ing"",""นครศรีธรรมราช!L697"")+IMPORTRANGE(""https://docs.google.com/spreadsheets/d/1iodCdmuK2GR3jzUwk8tpccY2JHQQA-87DLOtJP-ooyU/edit?usp=sharing"",""นราธิวาส!L697"")+IMPORTRANGE(""https://docs.google.com/spreadsheets/d/1SDNX3JhDdYRuIOsj0Wh2M-Qa_eaXl0NbWmh"&amp;"AOTbfQAs/edit?usp=sharing"",""ปัตตานี!L697"")+IMPORTRANGE(""https://docs.google.com/spreadsheets/d/16JDLGguT8s5DsGCND1KcwHP_AWR_zDMTqLHPLJUKhaU/edit?usp=sharing"",""พังงา!L697"")+IMPORTRANGE(""https://docs.google.com/spreadsheets/d/17ht0gPKzzT3PObBL1XJkeR"&amp;"mntBXI7wGjpLV7QorqlTk/edit?usp=sharing"",""พัทลุง!L697"")+IMPORTRANGE(""https://docs.google.com/spreadsheets/d/1rd4qoM1q_hsgaolqNGfrim9gbsoLxQsda4-vOz5x_BM/edit?usp=sharing"",""ภูเก็ต!L697"")+IMPORTRANGE(""https://docs.google.com/spreadsheets/d/1woKwKjgoL"&amp;"ssDvPcPeVyezB5izizAn4X1JDrys69n6xI/edit?usp=sharing"",""ยะลา!L697"")+IMPORTRANGE(""https://docs.google.com/spreadsheets/d/1qfrKjzMhm2HJfxQ-qVlJlJQ25Hne1d0khsySbZyGtPA/edit?usp=sharing"",""ระนอง!L697"")+IMPORTRANGE(""https://docs.google.com/spreadsheets/d/"&amp;"1IbSCnFOKpZsnFogBHJnL_isstZVaOMnFiIN0fGTPZZw/edit?usp=sharing"",""สงขลา!L697"")+IMPORTRANGE(""https://docs.google.com/spreadsheets/d/1q9nWasZJ-K8bFGvbE9n0qSRuKGA4Toe3Y89cKCiVtCU/edit?usp=sharing"",""สตูล!L697"")+IMPORTRANGE(""https://docs.google.com/sprea"&amp;"dsheets/d/18T20gbkS_WBjdscyTOV05cvq_JqvqQ17C81mpxf7Ncs/edit?usp=sharing"",""สุราษฎร์ธานี!L697"")"),0)</f>
        <v>0</v>
      </c>
      <c r="M697" s="49">
        <f ca="1">IFERROR(__xludf.DUMMYFUNCTION("IMPORTRANGE(""https://docs.google.com/spreadsheets/d/1kKUcYdkIfrgTSj8iHHHB2MD2FAtwyyocFgqGQn6ADyI/edit?usp=sharing"",""กระบี่!M697"")+IMPORTRANGE(""https://docs.google.com/spreadsheets/d/1GwtLaSlNZkLk7iDqcyZz22giiy40b_usZZBXYciEN1U/edit?usp=sharing"",""ชุ"&amp;"มพร!M697"")+IMPORTRANGE(""https://docs.google.com/spreadsheets/d/16pAz3pOhQEZBhvFNMa5KGgZS6iKWpsKX0pg6tQmwFpo/edit?usp=sharing"",""ตรัง!M697"")+IMPORTRANGE(""https://docs.google.com/spreadsheets/d/1Dj4jcHCTV9JXKCaMoheSXS52JE63kDKyG7bPXnFogHk/edit?usp=shar"&amp;"ing"",""นครศรีธรรมราช!M697"")+IMPORTRANGE(""https://docs.google.com/spreadsheets/d/1iodCdmuK2GR3jzUwk8tpccY2JHQQA-87DLOtJP-ooyU/edit?usp=sharing"",""นราธิวาส!M697"")+IMPORTRANGE(""https://docs.google.com/spreadsheets/d/1SDNX3JhDdYRuIOsj0Wh2M-Qa_eaXl0NbWmh"&amp;"AOTbfQAs/edit?usp=sharing"",""ปัตตานี!M697"")+IMPORTRANGE(""https://docs.google.com/spreadsheets/d/16JDLGguT8s5DsGCND1KcwHP_AWR_zDMTqLHPLJUKhaU/edit?usp=sharing"",""พังงา!M697"")+IMPORTRANGE(""https://docs.google.com/spreadsheets/d/17ht0gPKzzT3PObBL1XJkeR"&amp;"mntBXI7wGjpLV7QorqlTk/edit?usp=sharing"",""พัทลุง!M697"")+IMPORTRANGE(""https://docs.google.com/spreadsheets/d/1rd4qoM1q_hsgaolqNGfrim9gbsoLxQsda4-vOz5x_BM/edit?usp=sharing"",""ภูเก็ต!M697"")+IMPORTRANGE(""https://docs.google.com/spreadsheets/d/1woKwKjgoL"&amp;"ssDvPcPeVyezB5izizAn4X1JDrys69n6xI/edit?usp=sharing"",""ยะลา!M697"")+IMPORTRANGE(""https://docs.google.com/spreadsheets/d/1qfrKjzMhm2HJfxQ-qVlJlJQ25Hne1d0khsySbZyGtPA/edit?usp=sharing"",""ระนอง!M697"")+IMPORTRANGE(""https://docs.google.com/spreadsheets/d/"&amp;"1IbSCnFOKpZsnFogBHJnL_isstZVaOMnFiIN0fGTPZZw/edit?usp=sharing"",""สงขลา!M697"")+IMPORTRANGE(""https://docs.google.com/spreadsheets/d/1q9nWasZJ-K8bFGvbE9n0qSRuKGA4Toe3Y89cKCiVtCU/edit?usp=sharing"",""สตูล!M697"")+IMPORTRANGE(""https://docs.google.com/sprea"&amp;"dsheets/d/18T20gbkS_WBjdscyTOV05cvq_JqvqQ17C81mpxf7Ncs/edit?usp=sharing"",""สุราษฎร์ธานี!M697"")"),0)</f>
        <v>0</v>
      </c>
      <c r="N697" s="49">
        <f ca="1">IFERROR(__xludf.DUMMYFUNCTION("IMPORTRANGE(""https://docs.google.com/spreadsheets/d/1kKUcYdkIfrgTSj8iHHHB2MD2FAtwyyocFgqGQn6ADyI/edit?usp=sharing"",""กระบี่!N697"")+IMPORTRANGE(""https://docs.google.com/spreadsheets/d/1GwtLaSlNZkLk7iDqcyZz22giiy40b_usZZBXYciEN1U/edit?usp=sharing"",""ชุ"&amp;"มพร!N697"")+IMPORTRANGE(""https://docs.google.com/spreadsheets/d/16pAz3pOhQEZBhvFNMa5KGgZS6iKWpsKX0pg6tQmwFpo/edit?usp=sharing"",""ตรัง!N697"")+IMPORTRANGE(""https://docs.google.com/spreadsheets/d/1Dj4jcHCTV9JXKCaMoheSXS52JE63kDKyG7bPXnFogHk/edit?usp=shar"&amp;"ing"",""นครศรีธรรมราช!N697"")+IMPORTRANGE(""https://docs.google.com/spreadsheets/d/1iodCdmuK2GR3jzUwk8tpccY2JHQQA-87DLOtJP-ooyU/edit?usp=sharing"",""นราธิวาส!N697"")+IMPORTRANGE(""https://docs.google.com/spreadsheets/d/1SDNX3JhDdYRuIOsj0Wh2M-Qa_eaXl0NbWmh"&amp;"AOTbfQAs/edit?usp=sharing"",""ปัตตานี!N697"")+IMPORTRANGE(""https://docs.google.com/spreadsheets/d/16JDLGguT8s5DsGCND1KcwHP_AWR_zDMTqLHPLJUKhaU/edit?usp=sharing"",""พังงา!N697"")+IMPORTRANGE(""https://docs.google.com/spreadsheets/d/17ht0gPKzzT3PObBL1XJkeR"&amp;"mntBXI7wGjpLV7QorqlTk/edit?usp=sharing"",""พัทลุง!N697"")+IMPORTRANGE(""https://docs.google.com/spreadsheets/d/1rd4qoM1q_hsgaolqNGfrim9gbsoLxQsda4-vOz5x_BM/edit?usp=sharing"",""ภูเก็ต!N697"")+IMPORTRANGE(""https://docs.google.com/spreadsheets/d/1woKwKjgoL"&amp;"ssDvPcPeVyezB5izizAn4X1JDrys69n6xI/edit?usp=sharing"",""ยะลา!N697"")+IMPORTRANGE(""https://docs.google.com/spreadsheets/d/1qfrKjzMhm2HJfxQ-qVlJlJQ25Hne1d0khsySbZyGtPA/edit?usp=sharing"",""ระนอง!N697"")+IMPORTRANGE(""https://docs.google.com/spreadsheets/d/"&amp;"1IbSCnFOKpZsnFogBHJnL_isstZVaOMnFiIN0fGTPZZw/edit?usp=sharing"",""สงขลา!N697"")+IMPORTRANGE(""https://docs.google.com/spreadsheets/d/1q9nWasZJ-K8bFGvbE9n0qSRuKGA4Toe3Y89cKCiVtCU/edit?usp=sharing"",""สตูล!N697"")+IMPORTRANGE(""https://docs.google.com/sprea"&amp;"dsheets/d/18T20gbkS_WBjdscyTOV05cvq_JqvqQ17C81mpxf7Ncs/edit?usp=sharing"",""สุราษฎร์ธานี!N697"")"),0)</f>
        <v>0</v>
      </c>
      <c r="O697" s="49">
        <f t="shared" ca="1" si="474"/>
        <v>0</v>
      </c>
      <c r="P697" s="49">
        <f t="shared" ca="1" si="475"/>
        <v>0</v>
      </c>
      <c r="Q697" s="49">
        <f ca="1">IFERROR(__xludf.DUMMYFUNCTION("IMPORTRANGE(""https://docs.google.com/spreadsheets/d/1kKUcYdkIfrgTSj8iHHHB2MD2FAtwyyocFgqGQn6ADyI/edit?usp=sharing"",""กระบี่!Q697"")+IMPORTRANGE(""https://docs.google.com/spreadsheets/d/1GwtLaSlNZkLk7iDqcyZz22giiy40b_usZZBXYciEN1U/edit?usp=sharing"",""ชุ"&amp;"มพร!Q697"")+IMPORTRANGE(""https://docs.google.com/spreadsheets/d/16pAz3pOhQEZBhvFNMa5KGgZS6iKWpsKX0pg6tQmwFpo/edit?usp=sharing"",""ตรัง!Q697"")+IMPORTRANGE(""https://docs.google.com/spreadsheets/d/1Dj4jcHCTV9JXKCaMoheSXS52JE63kDKyG7bPXnFogHk/edit?usp=shar"&amp;"ing"",""นครศรีธรรมราช!Q697"")+IMPORTRANGE(""https://docs.google.com/spreadsheets/d/1iodCdmuK2GR3jzUwk8tpccY2JHQQA-87DLOtJP-ooyU/edit?usp=sharing"",""นราธิวาส!Q697"")+IMPORTRANGE(""https://docs.google.com/spreadsheets/d/1SDNX3JhDdYRuIOsj0Wh2M-Qa_eaXl0NbWmh"&amp;"AOTbfQAs/edit?usp=sharing"",""ปัตตานี!Q697"")+IMPORTRANGE(""https://docs.google.com/spreadsheets/d/16JDLGguT8s5DsGCND1KcwHP_AWR_zDMTqLHPLJUKhaU/edit?usp=sharing"",""พังงา!Q697"")+IMPORTRANGE(""https://docs.google.com/spreadsheets/d/17ht0gPKzzT3PObBL1XJkeR"&amp;"mntBXI7wGjpLV7QorqlTk/edit?usp=sharing"",""พัทลุง!Q697"")+IMPORTRANGE(""https://docs.google.com/spreadsheets/d/1rd4qoM1q_hsgaolqNGfrim9gbsoLxQsda4-vOz5x_BM/edit?usp=sharing"",""ภูเก็ต!Q697"")+IMPORTRANGE(""https://docs.google.com/spreadsheets/d/1woKwKjgoL"&amp;"ssDvPcPeVyezB5izizAn4X1JDrys69n6xI/edit?usp=sharing"",""ยะลา!Q697"")+IMPORTRANGE(""https://docs.google.com/spreadsheets/d/1qfrKjzMhm2HJfxQ-qVlJlJQ25Hne1d0khsySbZyGtPA/edit?usp=sharing"",""ระนอง!Q697"")+IMPORTRANGE(""https://docs.google.com/spreadsheets/d/"&amp;"1IbSCnFOKpZsnFogBHJnL_isstZVaOMnFiIN0fGTPZZw/edit?usp=sharing"",""สงขลา!Q697"")+IMPORTRANGE(""https://docs.google.com/spreadsheets/d/1q9nWasZJ-K8bFGvbE9n0qSRuKGA4Toe3Y89cKCiVtCU/edit?usp=sharing"",""สตูล!Q697"")+IMPORTRANGE(""https://docs.google.com/sprea"&amp;"dsheets/d/18T20gbkS_WBjdscyTOV05cvq_JqvqQ17C81mpxf7Ncs/edit?usp=sharing"",""สุราษฎร์ธานี!Q697"")"),0)</f>
        <v>0</v>
      </c>
      <c r="R697" s="49">
        <f ca="1">IFERROR(__xludf.DUMMYFUNCTION("IMPORTRANGE(""https://docs.google.com/spreadsheets/d/1kKUcYdkIfrgTSj8iHHHB2MD2FAtwyyocFgqGQn6ADyI/edit?usp=sharing"",""กระบี่!R697"")+IMPORTRANGE(""https://docs.google.com/spreadsheets/d/1GwtLaSlNZkLk7iDqcyZz22giiy40b_usZZBXYciEN1U/edit?usp=sharing"",""ชุ"&amp;"มพร!R697"")+IMPORTRANGE(""https://docs.google.com/spreadsheets/d/16pAz3pOhQEZBhvFNMa5KGgZS6iKWpsKX0pg6tQmwFpo/edit?usp=sharing"",""ตรัง!R697"")+IMPORTRANGE(""https://docs.google.com/spreadsheets/d/1Dj4jcHCTV9JXKCaMoheSXS52JE63kDKyG7bPXnFogHk/edit?usp=shar"&amp;"ing"",""นครศรีธรรมราช!R697"")+IMPORTRANGE(""https://docs.google.com/spreadsheets/d/1iodCdmuK2GR3jzUwk8tpccY2JHQQA-87DLOtJP-ooyU/edit?usp=sharing"",""นราธิวาส!R697"")+IMPORTRANGE(""https://docs.google.com/spreadsheets/d/1SDNX3JhDdYRuIOsj0Wh2M-Qa_eaXl0NbWmh"&amp;"AOTbfQAs/edit?usp=sharing"",""ปัตตานี!R697"")+IMPORTRANGE(""https://docs.google.com/spreadsheets/d/16JDLGguT8s5DsGCND1KcwHP_AWR_zDMTqLHPLJUKhaU/edit?usp=sharing"",""พังงา!R697"")+IMPORTRANGE(""https://docs.google.com/spreadsheets/d/17ht0gPKzzT3PObBL1XJkeR"&amp;"mntBXI7wGjpLV7QorqlTk/edit?usp=sharing"",""พัทลุง!R697"")+IMPORTRANGE(""https://docs.google.com/spreadsheets/d/1rd4qoM1q_hsgaolqNGfrim9gbsoLxQsda4-vOz5x_BM/edit?usp=sharing"",""ภูเก็ต!R697"")+IMPORTRANGE(""https://docs.google.com/spreadsheets/d/1woKwKjgoL"&amp;"ssDvPcPeVyezB5izizAn4X1JDrys69n6xI/edit?usp=sharing"",""ยะลา!R697"")+IMPORTRANGE(""https://docs.google.com/spreadsheets/d/1qfrKjzMhm2HJfxQ-qVlJlJQ25Hne1d0khsySbZyGtPA/edit?usp=sharing"",""ระนอง!R697"")+IMPORTRANGE(""https://docs.google.com/spreadsheets/d/"&amp;"1IbSCnFOKpZsnFogBHJnL_isstZVaOMnFiIN0fGTPZZw/edit?usp=sharing"",""สงขลา!R697"")+IMPORTRANGE(""https://docs.google.com/spreadsheets/d/1q9nWasZJ-K8bFGvbE9n0qSRuKGA4Toe3Y89cKCiVtCU/edit?usp=sharing"",""สตูล!R697"")+IMPORTRANGE(""https://docs.google.com/sprea"&amp;"dsheets/d/18T20gbkS_WBjdscyTOV05cvq_JqvqQ17C81mpxf7Ncs/edit?usp=sharing"",""สุราษฎร์ธานี!R697"")"),0)</f>
        <v>0</v>
      </c>
      <c r="S697" s="49">
        <f ca="1">IFERROR(__xludf.DUMMYFUNCTION("IMPORTRANGE(""https://docs.google.com/spreadsheets/d/1kKUcYdkIfrgTSj8iHHHB2MD2FAtwyyocFgqGQn6ADyI/edit?usp=sharing"",""กระบี่!S697"")+IMPORTRANGE(""https://docs.google.com/spreadsheets/d/1GwtLaSlNZkLk7iDqcyZz22giiy40b_usZZBXYciEN1U/edit?usp=sharing"",""ชุ"&amp;"มพร!S697"")+IMPORTRANGE(""https://docs.google.com/spreadsheets/d/16pAz3pOhQEZBhvFNMa5KGgZS6iKWpsKX0pg6tQmwFpo/edit?usp=sharing"",""ตรัง!S697"")+IMPORTRANGE(""https://docs.google.com/spreadsheets/d/1Dj4jcHCTV9JXKCaMoheSXS52JE63kDKyG7bPXnFogHk/edit?usp=shar"&amp;"ing"",""นครศรีธรรมราช!S697"")+IMPORTRANGE(""https://docs.google.com/spreadsheets/d/1iodCdmuK2GR3jzUwk8tpccY2JHQQA-87DLOtJP-ooyU/edit?usp=sharing"",""นราธิวาส!S697"")+IMPORTRANGE(""https://docs.google.com/spreadsheets/d/1SDNX3JhDdYRuIOsj0Wh2M-Qa_eaXl0NbWmh"&amp;"AOTbfQAs/edit?usp=sharing"",""ปัตตานี!S697"")+IMPORTRANGE(""https://docs.google.com/spreadsheets/d/16JDLGguT8s5DsGCND1KcwHP_AWR_zDMTqLHPLJUKhaU/edit?usp=sharing"",""พังงา!S697"")+IMPORTRANGE(""https://docs.google.com/spreadsheets/d/17ht0gPKzzT3PObBL1XJkeR"&amp;"mntBXI7wGjpLV7QorqlTk/edit?usp=sharing"",""พัทลุง!S697"")+IMPORTRANGE(""https://docs.google.com/spreadsheets/d/1rd4qoM1q_hsgaolqNGfrim9gbsoLxQsda4-vOz5x_BM/edit?usp=sharing"",""ภูเก็ต!S697"")+IMPORTRANGE(""https://docs.google.com/spreadsheets/d/1woKwKjgoL"&amp;"ssDvPcPeVyezB5izizAn4X1JDrys69n6xI/edit?usp=sharing"",""ยะลา!S697"")+IMPORTRANGE(""https://docs.google.com/spreadsheets/d/1qfrKjzMhm2HJfxQ-qVlJlJQ25Hne1d0khsySbZyGtPA/edit?usp=sharing"",""ระนอง!S697"")+IMPORTRANGE(""https://docs.google.com/spreadsheets/d/"&amp;"1IbSCnFOKpZsnFogBHJnL_isstZVaOMnFiIN0fGTPZZw/edit?usp=sharing"",""สงขลา!S697"")+IMPORTRANGE(""https://docs.google.com/spreadsheets/d/1q9nWasZJ-K8bFGvbE9n0qSRuKGA4Toe3Y89cKCiVtCU/edit?usp=sharing"",""สตูล!S697"")+IMPORTRANGE(""https://docs.google.com/sprea"&amp;"dsheets/d/18T20gbkS_WBjdscyTOV05cvq_JqvqQ17C81mpxf7Ncs/edit?usp=sharing"",""สุราษฎร์ธานี!S697"")"),0)</f>
        <v>0</v>
      </c>
      <c r="T697" s="49">
        <f t="shared" ca="1" si="477"/>
        <v>0</v>
      </c>
      <c r="U697" s="49">
        <f t="shared" ca="1" si="478"/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7">
        <f ca="1">IFERROR(__xludf.DUMMYFUNCTION("IMPORTRANGE(""https://docs.google.com/spreadsheets/d/1kKUcYdkIfrgTSj8iHHHB2MD2FAtwyyocFgqGQn6ADyI/edit?usp=sharing"",""กระบี่!L698"")+IMPORTRANGE(""https://docs.google.com/spreadsheets/d/1GwtLaSlNZkLk7iDqcyZz22giiy40b_usZZBXYciEN1U/edit?usp=sharing"",""ชุ"&amp;"มพร!L698"")+IMPORTRANGE(""https://docs.google.com/spreadsheets/d/16pAz3pOhQEZBhvFNMa5KGgZS6iKWpsKX0pg6tQmwFpo/edit?usp=sharing"",""ตรัง!L698"")+IMPORTRANGE(""https://docs.google.com/spreadsheets/d/1Dj4jcHCTV9JXKCaMoheSXS52JE63kDKyG7bPXnFogHk/edit?usp=shar"&amp;"ing"",""นครศรีธรรมราช!L698"")+IMPORTRANGE(""https://docs.google.com/spreadsheets/d/1iodCdmuK2GR3jzUwk8tpccY2JHQQA-87DLOtJP-ooyU/edit?usp=sharing"",""นราธิวาส!L698"")+IMPORTRANGE(""https://docs.google.com/spreadsheets/d/1SDNX3JhDdYRuIOsj0Wh2M-Qa_eaXl0NbWmh"&amp;"AOTbfQAs/edit?usp=sharing"",""ปัตตานี!L698"")+IMPORTRANGE(""https://docs.google.com/spreadsheets/d/16JDLGguT8s5DsGCND1KcwHP_AWR_zDMTqLHPLJUKhaU/edit?usp=sharing"",""พังงา!L698"")+IMPORTRANGE(""https://docs.google.com/spreadsheets/d/17ht0gPKzzT3PObBL1XJkeR"&amp;"mntBXI7wGjpLV7QorqlTk/edit?usp=sharing"",""พัทลุง!L698"")+IMPORTRANGE(""https://docs.google.com/spreadsheets/d/1rd4qoM1q_hsgaolqNGfrim9gbsoLxQsda4-vOz5x_BM/edit?usp=sharing"",""ภูเก็ต!L698"")+IMPORTRANGE(""https://docs.google.com/spreadsheets/d/1woKwKjgoL"&amp;"ssDvPcPeVyezB5izizAn4X1JDrys69n6xI/edit?usp=sharing"",""ยะลา!L698"")+IMPORTRANGE(""https://docs.google.com/spreadsheets/d/1qfrKjzMhm2HJfxQ-qVlJlJQ25Hne1d0khsySbZyGtPA/edit?usp=sharing"",""ระนอง!L698"")+IMPORTRANGE(""https://docs.google.com/spreadsheets/d/"&amp;"1IbSCnFOKpZsnFogBHJnL_isstZVaOMnFiIN0fGTPZZw/edit?usp=sharing"",""สงขลา!L698"")+IMPORTRANGE(""https://docs.google.com/spreadsheets/d/1q9nWasZJ-K8bFGvbE9n0qSRuKGA4Toe3Y89cKCiVtCU/edit?usp=sharing"",""สตูล!L698"")+IMPORTRANGE(""https://docs.google.com/sprea"&amp;"dsheets/d/18T20gbkS_WBjdscyTOV05cvq_JqvqQ17C81mpxf7Ncs/edit?usp=sharing"",""สุราษฎร์ธานี!L698"")"),0)</f>
        <v>0</v>
      </c>
      <c r="M698" s="47">
        <f ca="1">IFERROR(__xludf.DUMMYFUNCTION("IMPORTRANGE(""https://docs.google.com/spreadsheets/d/1kKUcYdkIfrgTSj8iHHHB2MD2FAtwyyocFgqGQn6ADyI/edit?usp=sharing"",""กระบี่!M698"")+IMPORTRANGE(""https://docs.google.com/spreadsheets/d/1GwtLaSlNZkLk7iDqcyZz22giiy40b_usZZBXYciEN1U/edit?usp=sharing"",""ชุ"&amp;"มพร!M698"")+IMPORTRANGE(""https://docs.google.com/spreadsheets/d/16pAz3pOhQEZBhvFNMa5KGgZS6iKWpsKX0pg6tQmwFpo/edit?usp=sharing"",""ตรัง!M698"")+IMPORTRANGE(""https://docs.google.com/spreadsheets/d/1Dj4jcHCTV9JXKCaMoheSXS52JE63kDKyG7bPXnFogHk/edit?usp=shar"&amp;"ing"",""นครศรีธรรมราช!M698"")+IMPORTRANGE(""https://docs.google.com/spreadsheets/d/1iodCdmuK2GR3jzUwk8tpccY2JHQQA-87DLOtJP-ooyU/edit?usp=sharing"",""นราธิวาส!M698"")+IMPORTRANGE(""https://docs.google.com/spreadsheets/d/1SDNX3JhDdYRuIOsj0Wh2M-Qa_eaXl0NbWmh"&amp;"AOTbfQAs/edit?usp=sharing"",""ปัตตานี!M698"")+IMPORTRANGE(""https://docs.google.com/spreadsheets/d/16JDLGguT8s5DsGCND1KcwHP_AWR_zDMTqLHPLJUKhaU/edit?usp=sharing"",""พังงา!M698"")+IMPORTRANGE(""https://docs.google.com/spreadsheets/d/17ht0gPKzzT3PObBL1XJkeR"&amp;"mntBXI7wGjpLV7QorqlTk/edit?usp=sharing"",""พัทลุง!M698"")+IMPORTRANGE(""https://docs.google.com/spreadsheets/d/1rd4qoM1q_hsgaolqNGfrim9gbsoLxQsda4-vOz5x_BM/edit?usp=sharing"",""ภูเก็ต!M698"")+IMPORTRANGE(""https://docs.google.com/spreadsheets/d/1woKwKjgoL"&amp;"ssDvPcPeVyezB5izizAn4X1JDrys69n6xI/edit?usp=sharing"",""ยะลา!M698"")+IMPORTRANGE(""https://docs.google.com/spreadsheets/d/1qfrKjzMhm2HJfxQ-qVlJlJQ25Hne1d0khsySbZyGtPA/edit?usp=sharing"",""ระนอง!M698"")+IMPORTRANGE(""https://docs.google.com/spreadsheets/d/"&amp;"1IbSCnFOKpZsnFogBHJnL_isstZVaOMnFiIN0fGTPZZw/edit?usp=sharing"",""สงขลา!M698"")+IMPORTRANGE(""https://docs.google.com/spreadsheets/d/1q9nWasZJ-K8bFGvbE9n0qSRuKGA4Toe3Y89cKCiVtCU/edit?usp=sharing"",""สตูล!M698"")+IMPORTRANGE(""https://docs.google.com/sprea"&amp;"dsheets/d/18T20gbkS_WBjdscyTOV05cvq_JqvqQ17C81mpxf7Ncs/edit?usp=sharing"",""สุราษฎร์ธานี!M698"")"),0)</f>
        <v>0</v>
      </c>
      <c r="N698" s="47">
        <f ca="1">IFERROR(__xludf.DUMMYFUNCTION("IMPORTRANGE(""https://docs.google.com/spreadsheets/d/1kKUcYdkIfrgTSj8iHHHB2MD2FAtwyyocFgqGQn6ADyI/edit?usp=sharing"",""กระบี่!N698"")+IMPORTRANGE(""https://docs.google.com/spreadsheets/d/1GwtLaSlNZkLk7iDqcyZz22giiy40b_usZZBXYciEN1U/edit?usp=sharing"",""ชุ"&amp;"มพร!N698"")+IMPORTRANGE(""https://docs.google.com/spreadsheets/d/16pAz3pOhQEZBhvFNMa5KGgZS6iKWpsKX0pg6tQmwFpo/edit?usp=sharing"",""ตรัง!N698"")+IMPORTRANGE(""https://docs.google.com/spreadsheets/d/1Dj4jcHCTV9JXKCaMoheSXS52JE63kDKyG7bPXnFogHk/edit?usp=shar"&amp;"ing"",""นครศรีธรรมราช!N698"")+IMPORTRANGE(""https://docs.google.com/spreadsheets/d/1iodCdmuK2GR3jzUwk8tpccY2JHQQA-87DLOtJP-ooyU/edit?usp=sharing"",""นราธิวาส!N698"")+IMPORTRANGE(""https://docs.google.com/spreadsheets/d/1SDNX3JhDdYRuIOsj0Wh2M-Qa_eaXl0NbWmh"&amp;"AOTbfQAs/edit?usp=sharing"",""ปัตตานี!N698"")+IMPORTRANGE(""https://docs.google.com/spreadsheets/d/16JDLGguT8s5DsGCND1KcwHP_AWR_zDMTqLHPLJUKhaU/edit?usp=sharing"",""พังงา!N698"")+IMPORTRANGE(""https://docs.google.com/spreadsheets/d/17ht0gPKzzT3PObBL1XJkeR"&amp;"mntBXI7wGjpLV7QorqlTk/edit?usp=sharing"",""พัทลุง!N698"")+IMPORTRANGE(""https://docs.google.com/spreadsheets/d/1rd4qoM1q_hsgaolqNGfrim9gbsoLxQsda4-vOz5x_BM/edit?usp=sharing"",""ภูเก็ต!N698"")+IMPORTRANGE(""https://docs.google.com/spreadsheets/d/1woKwKjgoL"&amp;"ssDvPcPeVyezB5izizAn4X1JDrys69n6xI/edit?usp=sharing"",""ยะลา!N698"")+IMPORTRANGE(""https://docs.google.com/spreadsheets/d/1qfrKjzMhm2HJfxQ-qVlJlJQ25Hne1d0khsySbZyGtPA/edit?usp=sharing"",""ระนอง!N698"")+IMPORTRANGE(""https://docs.google.com/spreadsheets/d/"&amp;"1IbSCnFOKpZsnFogBHJnL_isstZVaOMnFiIN0fGTPZZw/edit?usp=sharing"",""สงขลา!N698"")+IMPORTRANGE(""https://docs.google.com/spreadsheets/d/1q9nWasZJ-K8bFGvbE9n0qSRuKGA4Toe3Y89cKCiVtCU/edit?usp=sharing"",""สตูล!N698"")+IMPORTRANGE(""https://docs.google.com/sprea"&amp;"dsheets/d/18T20gbkS_WBjdscyTOV05cvq_JqvqQ17C81mpxf7Ncs/edit?usp=sharing"",""สุราษฎร์ธานี!N698"")"),0)</f>
        <v>0</v>
      </c>
      <c r="O698" s="47">
        <f t="shared" ca="1" si="474"/>
        <v>0</v>
      </c>
      <c r="P698" s="47">
        <f t="shared" ca="1" si="475"/>
        <v>0</v>
      </c>
      <c r="Q698" s="47">
        <f ca="1">IFERROR(__xludf.DUMMYFUNCTION("IMPORTRANGE(""https://docs.google.com/spreadsheets/d/1kKUcYdkIfrgTSj8iHHHB2MD2FAtwyyocFgqGQn6ADyI/edit?usp=sharing"",""กระบี่!Q698"")+IMPORTRANGE(""https://docs.google.com/spreadsheets/d/1GwtLaSlNZkLk7iDqcyZz22giiy40b_usZZBXYciEN1U/edit?usp=sharing"",""ชุ"&amp;"มพร!Q698"")+IMPORTRANGE(""https://docs.google.com/spreadsheets/d/16pAz3pOhQEZBhvFNMa5KGgZS6iKWpsKX0pg6tQmwFpo/edit?usp=sharing"",""ตรัง!Q698"")+IMPORTRANGE(""https://docs.google.com/spreadsheets/d/1Dj4jcHCTV9JXKCaMoheSXS52JE63kDKyG7bPXnFogHk/edit?usp=shar"&amp;"ing"",""นครศรีธรรมราช!Q698"")+IMPORTRANGE(""https://docs.google.com/spreadsheets/d/1iodCdmuK2GR3jzUwk8tpccY2JHQQA-87DLOtJP-ooyU/edit?usp=sharing"",""นราธิวาส!Q698"")+IMPORTRANGE(""https://docs.google.com/spreadsheets/d/1SDNX3JhDdYRuIOsj0Wh2M-Qa_eaXl0NbWmh"&amp;"AOTbfQAs/edit?usp=sharing"",""ปัตตานี!Q698"")+IMPORTRANGE(""https://docs.google.com/spreadsheets/d/16JDLGguT8s5DsGCND1KcwHP_AWR_zDMTqLHPLJUKhaU/edit?usp=sharing"",""พังงา!Q698"")+IMPORTRANGE(""https://docs.google.com/spreadsheets/d/17ht0gPKzzT3PObBL1XJkeR"&amp;"mntBXI7wGjpLV7QorqlTk/edit?usp=sharing"",""พัทลุง!Q698"")+IMPORTRANGE(""https://docs.google.com/spreadsheets/d/1rd4qoM1q_hsgaolqNGfrim9gbsoLxQsda4-vOz5x_BM/edit?usp=sharing"",""ภูเก็ต!Q698"")+IMPORTRANGE(""https://docs.google.com/spreadsheets/d/1woKwKjgoL"&amp;"ssDvPcPeVyezB5izizAn4X1JDrys69n6xI/edit?usp=sharing"",""ยะลา!Q698"")+IMPORTRANGE(""https://docs.google.com/spreadsheets/d/1qfrKjzMhm2HJfxQ-qVlJlJQ25Hne1d0khsySbZyGtPA/edit?usp=sharing"",""ระนอง!Q698"")+IMPORTRANGE(""https://docs.google.com/spreadsheets/d/"&amp;"1IbSCnFOKpZsnFogBHJnL_isstZVaOMnFiIN0fGTPZZw/edit?usp=sharing"",""สงขลา!Q698"")+IMPORTRANGE(""https://docs.google.com/spreadsheets/d/1q9nWasZJ-K8bFGvbE9n0qSRuKGA4Toe3Y89cKCiVtCU/edit?usp=sharing"",""สตูล!Q698"")+IMPORTRANGE(""https://docs.google.com/sprea"&amp;"dsheets/d/18T20gbkS_WBjdscyTOV05cvq_JqvqQ17C81mpxf7Ncs/edit?usp=sharing"",""สุราษฎร์ธานี!Q698"")"),0)</f>
        <v>0</v>
      </c>
      <c r="R698" s="47">
        <f ca="1">IFERROR(__xludf.DUMMYFUNCTION("IMPORTRANGE(""https://docs.google.com/spreadsheets/d/1kKUcYdkIfrgTSj8iHHHB2MD2FAtwyyocFgqGQn6ADyI/edit?usp=sharing"",""กระบี่!R698"")+IMPORTRANGE(""https://docs.google.com/spreadsheets/d/1GwtLaSlNZkLk7iDqcyZz22giiy40b_usZZBXYciEN1U/edit?usp=sharing"",""ชุ"&amp;"มพร!R698"")+IMPORTRANGE(""https://docs.google.com/spreadsheets/d/16pAz3pOhQEZBhvFNMa5KGgZS6iKWpsKX0pg6tQmwFpo/edit?usp=sharing"",""ตรัง!R698"")+IMPORTRANGE(""https://docs.google.com/spreadsheets/d/1Dj4jcHCTV9JXKCaMoheSXS52JE63kDKyG7bPXnFogHk/edit?usp=shar"&amp;"ing"",""นครศรีธรรมราช!R698"")+IMPORTRANGE(""https://docs.google.com/spreadsheets/d/1iodCdmuK2GR3jzUwk8tpccY2JHQQA-87DLOtJP-ooyU/edit?usp=sharing"",""นราธิวาส!R698"")+IMPORTRANGE(""https://docs.google.com/spreadsheets/d/1SDNX3JhDdYRuIOsj0Wh2M-Qa_eaXl0NbWmh"&amp;"AOTbfQAs/edit?usp=sharing"",""ปัตตานี!R698"")+IMPORTRANGE(""https://docs.google.com/spreadsheets/d/16JDLGguT8s5DsGCND1KcwHP_AWR_zDMTqLHPLJUKhaU/edit?usp=sharing"",""พังงา!R698"")+IMPORTRANGE(""https://docs.google.com/spreadsheets/d/17ht0gPKzzT3PObBL1XJkeR"&amp;"mntBXI7wGjpLV7QorqlTk/edit?usp=sharing"",""พัทลุง!R698"")+IMPORTRANGE(""https://docs.google.com/spreadsheets/d/1rd4qoM1q_hsgaolqNGfrim9gbsoLxQsda4-vOz5x_BM/edit?usp=sharing"",""ภูเก็ต!R698"")+IMPORTRANGE(""https://docs.google.com/spreadsheets/d/1woKwKjgoL"&amp;"ssDvPcPeVyezB5izizAn4X1JDrys69n6xI/edit?usp=sharing"",""ยะลา!R698"")+IMPORTRANGE(""https://docs.google.com/spreadsheets/d/1qfrKjzMhm2HJfxQ-qVlJlJQ25Hne1d0khsySbZyGtPA/edit?usp=sharing"",""ระนอง!R698"")+IMPORTRANGE(""https://docs.google.com/spreadsheets/d/"&amp;"1IbSCnFOKpZsnFogBHJnL_isstZVaOMnFiIN0fGTPZZw/edit?usp=sharing"",""สงขลา!R698"")+IMPORTRANGE(""https://docs.google.com/spreadsheets/d/1q9nWasZJ-K8bFGvbE9n0qSRuKGA4Toe3Y89cKCiVtCU/edit?usp=sharing"",""สตูล!R698"")+IMPORTRANGE(""https://docs.google.com/sprea"&amp;"dsheets/d/18T20gbkS_WBjdscyTOV05cvq_JqvqQ17C81mpxf7Ncs/edit?usp=sharing"",""สุราษฎร์ธานี!R698"")"),0)</f>
        <v>0</v>
      </c>
      <c r="S698" s="47">
        <f ca="1">IFERROR(__xludf.DUMMYFUNCTION("IMPORTRANGE(""https://docs.google.com/spreadsheets/d/1kKUcYdkIfrgTSj8iHHHB2MD2FAtwyyocFgqGQn6ADyI/edit?usp=sharing"",""กระบี่!S698"")+IMPORTRANGE(""https://docs.google.com/spreadsheets/d/1GwtLaSlNZkLk7iDqcyZz22giiy40b_usZZBXYciEN1U/edit?usp=sharing"",""ชุ"&amp;"มพร!S698"")+IMPORTRANGE(""https://docs.google.com/spreadsheets/d/16pAz3pOhQEZBhvFNMa5KGgZS6iKWpsKX0pg6tQmwFpo/edit?usp=sharing"",""ตรัง!S698"")+IMPORTRANGE(""https://docs.google.com/spreadsheets/d/1Dj4jcHCTV9JXKCaMoheSXS52JE63kDKyG7bPXnFogHk/edit?usp=shar"&amp;"ing"",""นครศรีธรรมราช!S698"")+IMPORTRANGE(""https://docs.google.com/spreadsheets/d/1iodCdmuK2GR3jzUwk8tpccY2JHQQA-87DLOtJP-ooyU/edit?usp=sharing"",""นราธิวาส!S698"")+IMPORTRANGE(""https://docs.google.com/spreadsheets/d/1SDNX3JhDdYRuIOsj0Wh2M-Qa_eaXl0NbWmh"&amp;"AOTbfQAs/edit?usp=sharing"",""ปัตตานี!S698"")+IMPORTRANGE(""https://docs.google.com/spreadsheets/d/16JDLGguT8s5DsGCND1KcwHP_AWR_zDMTqLHPLJUKhaU/edit?usp=sharing"",""พังงา!S698"")+IMPORTRANGE(""https://docs.google.com/spreadsheets/d/17ht0gPKzzT3PObBL1XJkeR"&amp;"mntBXI7wGjpLV7QorqlTk/edit?usp=sharing"",""พัทลุง!S698"")+IMPORTRANGE(""https://docs.google.com/spreadsheets/d/1rd4qoM1q_hsgaolqNGfrim9gbsoLxQsda4-vOz5x_BM/edit?usp=sharing"",""ภูเก็ต!S698"")+IMPORTRANGE(""https://docs.google.com/spreadsheets/d/1woKwKjgoL"&amp;"ssDvPcPeVyezB5izizAn4X1JDrys69n6xI/edit?usp=sharing"",""ยะลา!S698"")+IMPORTRANGE(""https://docs.google.com/spreadsheets/d/1qfrKjzMhm2HJfxQ-qVlJlJQ25Hne1d0khsySbZyGtPA/edit?usp=sharing"",""ระนอง!S698"")+IMPORTRANGE(""https://docs.google.com/spreadsheets/d/"&amp;"1IbSCnFOKpZsnFogBHJnL_isstZVaOMnFiIN0fGTPZZw/edit?usp=sharing"",""สงขลา!S698"")+IMPORTRANGE(""https://docs.google.com/spreadsheets/d/1q9nWasZJ-K8bFGvbE9n0qSRuKGA4Toe3Y89cKCiVtCU/edit?usp=sharing"",""สตูล!S698"")+IMPORTRANGE(""https://docs.google.com/sprea"&amp;"dsheets/d/18T20gbkS_WBjdscyTOV05cvq_JqvqQ17C81mpxf7Ncs/edit?usp=sharing"",""สุราษฎร์ธานี!S698"")"),0)</f>
        <v>0</v>
      </c>
      <c r="T698" s="47">
        <f t="shared" ca="1" si="477"/>
        <v>0</v>
      </c>
      <c r="U698" s="47">
        <f t="shared" ca="1" si="478"/>
        <v>0</v>
      </c>
    </row>
    <row r="699" spans="1:21" ht="19.5" x14ac:dyDescent="0.3">
      <c r="A699" s="138"/>
      <c r="B699" s="139"/>
      <c r="C699" s="188" t="s">
        <v>18</v>
      </c>
      <c r="D699" s="140" t="s">
        <v>38</v>
      </c>
      <c r="E699" s="141"/>
      <c r="F699" s="141"/>
      <c r="G699" s="141"/>
      <c r="H699" s="189"/>
      <c r="I699" s="135"/>
      <c r="J699" s="135"/>
      <c r="K699" s="136"/>
      <c r="L699" s="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kKUcYdkIfrgTSj8iHHHB2MD2FAtwyyocFgqGQn6ADyI/edit?usp=sharing"",""กระบี่!I700"")+IMPORTRANGE(""https://docs.google.com/spreadsheets/d/1GwtLaSlNZkLk7iDqcyZz22giiy40b_usZZBXYciEN1U/edit?usp=sharing"",""ชุ"&amp;"มพร!I700"")+IMPORTRANGE(""https://docs.google.com/spreadsheets/d/16pAz3pOhQEZBhvFNMa5KGgZS6iKWpsKX0pg6tQmwFpo/edit?usp=sharing"",""ตรัง!I700"")+IMPORTRANGE(""https://docs.google.com/spreadsheets/d/1Dj4jcHCTV9JXKCaMoheSXS52JE63kDKyG7bPXnFogHk/edit?usp=shar"&amp;"ing"",""นครศรีธรรมราช!I700"")+IMPORTRANGE(""https://docs.google.com/spreadsheets/d/1iodCdmuK2GR3jzUwk8tpccY2JHQQA-87DLOtJP-ooyU/edit?usp=sharing"",""นราธิวาส!I700"")+IMPORTRANGE(""https://docs.google.com/spreadsheets/d/1SDNX3JhDdYRuIOsj0Wh2M-Qa_eaXl0NbWmh"&amp;"AOTbfQAs/edit?usp=sharing"",""ปัตตานี!I700"")+IMPORTRANGE(""https://docs.google.com/spreadsheets/d/16JDLGguT8s5DsGCND1KcwHP_AWR_zDMTqLHPLJUKhaU/edit?usp=sharing"",""พังงา!I700"")+IMPORTRANGE(""https://docs.google.com/spreadsheets/d/17ht0gPKzzT3PObBL1XJkeR"&amp;"mntBXI7wGjpLV7QorqlTk/edit?usp=sharing"",""พัทลุง!I700"")+IMPORTRANGE(""https://docs.google.com/spreadsheets/d/1rd4qoM1q_hsgaolqNGfrim9gbsoLxQsda4-vOz5x_BM/edit?usp=sharing"",""ภูเก็ต!I700"")+IMPORTRANGE(""https://docs.google.com/spreadsheets/d/1woKwKjgoL"&amp;"ssDvPcPeVyezB5izizAn4X1JDrys69n6xI/edit?usp=sharing"",""ยะลา!I700"")+IMPORTRANGE(""https://docs.google.com/spreadsheets/d/1qfrKjzMhm2HJfxQ-qVlJlJQ25Hne1d0khsySbZyGtPA/edit?usp=sharing"",""ระนอง!I700"")+IMPORTRANGE(""https://docs.google.com/spreadsheets/d/"&amp;"1IbSCnFOKpZsnFogBHJnL_isstZVaOMnFiIN0fGTPZZw/edit?usp=sharing"",""สงขลา!I700"")+IMPORTRANGE(""https://docs.google.com/spreadsheets/d/1q9nWasZJ-K8bFGvbE9n0qSRuKGA4Toe3Y89cKCiVtCU/edit?usp=sharing"",""สตูล!I700"")+IMPORTRANGE(""https://docs.google.com/sprea"&amp;"dsheets/d/18T20gbkS_WBjdscyTOV05cvq_JqvqQ17C81mpxf7Ncs/edit?usp=sharing"",""สุราษฎร์ธานี!I700"")"),0)</f>
        <v>0</v>
      </c>
      <c r="J700" s="152">
        <f ca="1">IFERROR(__xludf.DUMMYFUNCTION("IMPORTRANGE(""https://docs.google.com/spreadsheets/d/1kKUcYdkIfrgTSj8iHHHB2MD2FAtwyyocFgqGQn6ADyI/edit?usp=sharing"",""กระบี่!J700"")+IMPORTRANGE(""https://docs.google.com/spreadsheets/d/1GwtLaSlNZkLk7iDqcyZz22giiy40b_usZZBXYciEN1U/edit?usp=sharing"",""ชุ"&amp;"มพร!J700"")+IMPORTRANGE(""https://docs.google.com/spreadsheets/d/16pAz3pOhQEZBhvFNMa5KGgZS6iKWpsKX0pg6tQmwFpo/edit?usp=sharing"",""ตรัง!J700"")+IMPORTRANGE(""https://docs.google.com/spreadsheets/d/1Dj4jcHCTV9JXKCaMoheSXS52JE63kDKyG7bPXnFogHk/edit?usp=shar"&amp;"ing"",""นครศรีธรรมราช!J700"")+IMPORTRANGE(""https://docs.google.com/spreadsheets/d/1iodCdmuK2GR3jzUwk8tpccY2JHQQA-87DLOtJP-ooyU/edit?usp=sharing"",""นราธิวาส!J700"")+IMPORTRANGE(""https://docs.google.com/spreadsheets/d/1SDNX3JhDdYRuIOsj0Wh2M-Qa_eaXl0NbWmh"&amp;"AOTbfQAs/edit?usp=sharing"",""ปัตตานี!J700"")+IMPORTRANGE(""https://docs.google.com/spreadsheets/d/16JDLGguT8s5DsGCND1KcwHP_AWR_zDMTqLHPLJUKhaU/edit?usp=sharing"",""พังงา!J700"")+IMPORTRANGE(""https://docs.google.com/spreadsheets/d/17ht0gPKzzT3PObBL1XJkeR"&amp;"mntBXI7wGjpLV7QorqlTk/edit?usp=sharing"",""พัทลุง!J700"")+IMPORTRANGE(""https://docs.google.com/spreadsheets/d/1rd4qoM1q_hsgaolqNGfrim9gbsoLxQsda4-vOz5x_BM/edit?usp=sharing"",""ภูเก็ต!J700"")+IMPORTRANGE(""https://docs.google.com/spreadsheets/d/1woKwKjgoL"&amp;"ssDvPcPeVyezB5izizAn4X1JDrys69n6xI/edit?usp=sharing"",""ยะลา!J700"")+IMPORTRANGE(""https://docs.google.com/spreadsheets/d/1qfrKjzMhm2HJfxQ-qVlJlJQ25Hne1d0khsySbZyGtPA/edit?usp=sharing"",""ระนอง!J700"")+IMPORTRANGE(""https://docs.google.com/spreadsheets/d/"&amp;"1IbSCnFOKpZsnFogBHJnL_isstZVaOMnFiIN0fGTPZZw/edit?usp=sharing"",""สงขลา!J700"")+IMPORTRANGE(""https://docs.google.com/spreadsheets/d/1q9nWasZJ-K8bFGvbE9n0qSRuKGA4Toe3Y89cKCiVtCU/edit?usp=sharing"",""สตูล!J700"")+IMPORTRANGE(""https://docs.google.com/sprea"&amp;"dsheets/d/18T20gbkS_WBjdscyTOV05cvq_JqvqQ17C81mpxf7Ncs/edit?usp=sharing"",""สุราษฎร์ธานี!J700"")"),0)</f>
        <v>0</v>
      </c>
      <c r="K700" s="153">
        <f t="shared" ref="K700:K710" ca="1" si="487">IF(I700&gt;0,J700*100/I700,0)</f>
        <v>0</v>
      </c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t="shared" ref="I701:J701" ca="1" si="488">I703+I705</f>
        <v>113</v>
      </c>
      <c r="J701" s="147">
        <f t="shared" ca="1" si="488"/>
        <v>2</v>
      </c>
      <c r="K701" s="132">
        <f t="shared" ca="1" si="487"/>
        <v>1.7699115044247788</v>
      </c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0.21</v>
      </c>
      <c r="K702" s="132">
        <f t="shared" si="487"/>
        <v>0</v>
      </c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kKUcYdkIfrgTSj8iHHHB2MD2FAtwyyocFgqGQn6ADyI/edit?usp=sharing"",""กระบี่!I703"")+IMPORTRANGE(""https://docs.google.com/spreadsheets/d/1GwtLaSlNZkLk7iDqcyZz22giiy40b_usZZBXYciEN1U/edit?usp=sharing"",""ชุ"&amp;"มพร!I703"")+IMPORTRANGE(""https://docs.google.com/spreadsheets/d/16pAz3pOhQEZBhvFNMa5KGgZS6iKWpsKX0pg6tQmwFpo/edit?usp=sharing"",""ตรัง!I703"")+IMPORTRANGE(""https://docs.google.com/spreadsheets/d/1Dj4jcHCTV9JXKCaMoheSXS52JE63kDKyG7bPXnFogHk/edit?usp=shar"&amp;"ing"",""นครศรีธรรมราช!I703"")+IMPORTRANGE(""https://docs.google.com/spreadsheets/d/1iodCdmuK2GR3jzUwk8tpccY2JHQQA-87DLOtJP-ooyU/edit?usp=sharing"",""นราธิวาส!I703"")+IMPORTRANGE(""https://docs.google.com/spreadsheets/d/1SDNX3JhDdYRuIOsj0Wh2M-Qa_eaXl0NbWmh"&amp;"AOTbfQAs/edit?usp=sharing"",""ปัตตานี!I703"")+IMPORTRANGE(""https://docs.google.com/spreadsheets/d/16JDLGguT8s5DsGCND1KcwHP_AWR_zDMTqLHPLJUKhaU/edit?usp=sharing"",""พังงา!I703"")+IMPORTRANGE(""https://docs.google.com/spreadsheets/d/17ht0gPKzzT3PObBL1XJkeR"&amp;"mntBXI7wGjpLV7QorqlTk/edit?usp=sharing"",""พัทลุง!I703"")+IMPORTRANGE(""https://docs.google.com/spreadsheets/d/1rd4qoM1q_hsgaolqNGfrim9gbsoLxQsda4-vOz5x_BM/edit?usp=sharing"",""ภูเก็ต!I703"")+IMPORTRANGE(""https://docs.google.com/spreadsheets/d/1woKwKjgoL"&amp;"ssDvPcPeVyezB5izizAn4X1JDrys69n6xI/edit?usp=sharing"",""ยะลา!I703"")+IMPORTRANGE(""https://docs.google.com/spreadsheets/d/1qfrKjzMhm2HJfxQ-qVlJlJQ25Hne1d0khsySbZyGtPA/edit?usp=sharing"",""ระนอง!I703"")+IMPORTRANGE(""https://docs.google.com/spreadsheets/d/"&amp;"1IbSCnFOKpZsnFogBHJnL_isstZVaOMnFiIN0fGTPZZw/edit?usp=sharing"",""สงขลา!I703"")+IMPORTRANGE(""https://docs.google.com/spreadsheets/d/1q9nWasZJ-K8bFGvbE9n0qSRuKGA4Toe3Y89cKCiVtCU/edit?usp=sharing"",""สตูล!I703"")+IMPORTRANGE(""https://docs.google.com/sprea"&amp;"dsheets/d/18T20gbkS_WBjdscyTOV05cvq_JqvqQ17C81mpxf7Ncs/edit?usp=sharing"",""สุราษฎร์ธานี!I703"")"),76)</f>
        <v>76</v>
      </c>
      <c r="J703" s="152">
        <f ca="1">IFERROR(__xludf.DUMMYFUNCTION("IMPORTRANGE(""https://docs.google.com/spreadsheets/d/1kKUcYdkIfrgTSj8iHHHB2MD2FAtwyyocFgqGQn6ADyI/edit?usp=sharing"",""กระบี่!J703"")+IMPORTRANGE(""https://docs.google.com/spreadsheets/d/1GwtLaSlNZkLk7iDqcyZz22giiy40b_usZZBXYciEN1U/edit?usp=sharing"",""ชุ"&amp;"มพร!J703"")+IMPORTRANGE(""https://docs.google.com/spreadsheets/d/16pAz3pOhQEZBhvFNMa5KGgZS6iKWpsKX0pg6tQmwFpo/edit?usp=sharing"",""ตรัง!J703"")+IMPORTRANGE(""https://docs.google.com/spreadsheets/d/1Dj4jcHCTV9JXKCaMoheSXS52JE63kDKyG7bPXnFogHk/edit?usp=shar"&amp;"ing"",""นครศรีธรรมราช!J703"")+IMPORTRANGE(""https://docs.google.com/spreadsheets/d/1iodCdmuK2GR3jzUwk8tpccY2JHQQA-87DLOtJP-ooyU/edit?usp=sharing"",""นราธิวาส!J703"")+IMPORTRANGE(""https://docs.google.com/spreadsheets/d/1SDNX3JhDdYRuIOsj0Wh2M-Qa_eaXl0NbWmh"&amp;"AOTbfQAs/edit?usp=sharing"",""ปัตตานี!J703"")+IMPORTRANGE(""https://docs.google.com/spreadsheets/d/16JDLGguT8s5DsGCND1KcwHP_AWR_zDMTqLHPLJUKhaU/edit?usp=sharing"",""พังงา!J703"")+IMPORTRANGE(""https://docs.google.com/spreadsheets/d/17ht0gPKzzT3PObBL1XJkeR"&amp;"mntBXI7wGjpLV7QorqlTk/edit?usp=sharing"",""พัทลุง!J703"")+IMPORTRANGE(""https://docs.google.com/spreadsheets/d/1rd4qoM1q_hsgaolqNGfrim9gbsoLxQsda4-vOz5x_BM/edit?usp=sharing"",""ภูเก็ต!J703"")+IMPORTRANGE(""https://docs.google.com/spreadsheets/d/1woKwKjgoL"&amp;"ssDvPcPeVyezB5izizAn4X1JDrys69n6xI/edit?usp=sharing"",""ยะลา!J703"")+IMPORTRANGE(""https://docs.google.com/spreadsheets/d/1qfrKjzMhm2HJfxQ-qVlJlJQ25Hne1d0khsySbZyGtPA/edit?usp=sharing"",""ระนอง!J703"")+IMPORTRANGE(""https://docs.google.com/spreadsheets/d/"&amp;"1IbSCnFOKpZsnFogBHJnL_isstZVaOMnFiIN0fGTPZZw/edit?usp=sharing"",""สงขลา!J703"")+IMPORTRANGE(""https://docs.google.com/spreadsheets/d/1q9nWasZJ-K8bFGvbE9n0qSRuKGA4Toe3Y89cKCiVtCU/edit?usp=sharing"",""สตูล!J703"")+IMPORTRANGE(""https://docs.google.com/sprea"&amp;"dsheets/d/18T20gbkS_WBjdscyTOV05cvq_JqvqQ17C81mpxf7Ncs/edit?usp=sharing"",""สุราษฎร์ธานี!J703"")"),2)</f>
        <v>2</v>
      </c>
      <c r="K703" s="47">
        <f t="shared" ca="1" si="487"/>
        <v>2.6315789473684212</v>
      </c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kKUcYdkIfrgTSj8iHHHB2MD2FAtwyyocFgqGQn6ADyI/edit?usp=sharing"",""กระบี่!J704"")+IMPORTRANGE(""https://docs.google.com/spreadsheets/d/1GwtLaSlNZkLk7iDqcyZz22giiy40b_usZZBXYciEN1U/edit?usp=sharing"",""ชุ"&amp;"มพร!J704"")+IMPORTRANGE(""https://docs.google.com/spreadsheets/d/16pAz3pOhQEZBhvFNMa5KGgZS6iKWpsKX0pg6tQmwFpo/edit?usp=sharing"",""ตรัง!J704"")+IMPORTRANGE(""https://docs.google.com/spreadsheets/d/1Dj4jcHCTV9JXKCaMoheSXS52JE63kDKyG7bPXnFogHk/edit?usp=shar"&amp;"ing"",""นครศรีธรรมราช!J704"")+IMPORTRANGE(""https://docs.google.com/spreadsheets/d/1iodCdmuK2GR3jzUwk8tpccY2JHQQA-87DLOtJP-ooyU/edit?usp=sharing"",""นราธิวาส!J704"")+IMPORTRANGE(""https://docs.google.com/spreadsheets/d/1SDNX3JhDdYRuIOsj0Wh2M-Qa_eaXl0NbWmh"&amp;"AOTbfQAs/edit?usp=sharing"",""ปัตตานี!J704"")+IMPORTRANGE(""https://docs.google.com/spreadsheets/d/16JDLGguT8s5DsGCND1KcwHP_AWR_zDMTqLHPLJUKhaU/edit?usp=sharing"",""พังงา!J704"")+IMPORTRANGE(""https://docs.google.com/spreadsheets/d/17ht0gPKzzT3PObBL1XJkeR"&amp;"mntBXI7wGjpLV7QorqlTk/edit?usp=sharing"",""พัทลุง!J704"")+IMPORTRANGE(""https://docs.google.com/spreadsheets/d/1rd4qoM1q_hsgaolqNGfrim9gbsoLxQsda4-vOz5x_BM/edit?usp=sharing"",""ภูเก็ต!J704"")+IMPORTRANGE(""https://docs.google.com/spreadsheets/d/1woKwKjgoL"&amp;"ssDvPcPeVyezB5izizAn4X1JDrys69n6xI/edit?usp=sharing"",""ยะลา!J704"")+IMPORTRANGE(""https://docs.google.com/spreadsheets/d/1qfrKjzMhm2HJfxQ-qVlJlJQ25Hne1d0khsySbZyGtPA/edit?usp=sharing"",""ระนอง!J704"")+IMPORTRANGE(""https://docs.google.com/spreadsheets/d/"&amp;"1IbSCnFOKpZsnFogBHJnL_isstZVaOMnFiIN0fGTPZZw/edit?usp=sharing"",""สงขลา!J704"")+IMPORTRANGE(""https://docs.google.com/spreadsheets/d/1q9nWasZJ-K8bFGvbE9n0qSRuKGA4Toe3Y89cKCiVtCU/edit?usp=sharing"",""สตูล!J704"")+IMPORTRANGE(""https://docs.google.com/sprea"&amp;"dsheets/d/18T20gbkS_WBjdscyTOV05cvq_JqvqQ17C81mpxf7Ncs/edit?usp=sharing"",""สุราษฎร์ธานี!J704"")"),0.21)</f>
        <v>0.21</v>
      </c>
      <c r="K704" s="47">
        <f t="shared" si="487"/>
        <v>0</v>
      </c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kKUcYdkIfrgTSj8iHHHB2MD2FAtwyyocFgqGQn6ADyI/edit?usp=sharing"",""กระบี่!I705"")+IMPORTRANGE(""https://docs.google.com/spreadsheets/d/1GwtLaSlNZkLk7iDqcyZz22giiy40b_usZZBXYciEN1U/edit?usp=sharing"",""ชุ"&amp;"มพร!I705"")+IMPORTRANGE(""https://docs.google.com/spreadsheets/d/16pAz3pOhQEZBhvFNMa5KGgZS6iKWpsKX0pg6tQmwFpo/edit?usp=sharing"",""ตรัง!I705"")+IMPORTRANGE(""https://docs.google.com/spreadsheets/d/1Dj4jcHCTV9JXKCaMoheSXS52JE63kDKyG7bPXnFogHk/edit?usp=shar"&amp;"ing"",""นครศรีธรรมราช!I705"")+IMPORTRANGE(""https://docs.google.com/spreadsheets/d/1iodCdmuK2GR3jzUwk8tpccY2JHQQA-87DLOtJP-ooyU/edit?usp=sharing"",""นราธิวาส!I705"")+IMPORTRANGE(""https://docs.google.com/spreadsheets/d/1SDNX3JhDdYRuIOsj0Wh2M-Qa_eaXl0NbWmh"&amp;"AOTbfQAs/edit?usp=sharing"",""ปัตตานี!I705"")+IMPORTRANGE(""https://docs.google.com/spreadsheets/d/16JDLGguT8s5DsGCND1KcwHP_AWR_zDMTqLHPLJUKhaU/edit?usp=sharing"",""พังงา!I705"")+IMPORTRANGE(""https://docs.google.com/spreadsheets/d/17ht0gPKzzT3PObBL1XJkeR"&amp;"mntBXI7wGjpLV7QorqlTk/edit?usp=sharing"",""พัทลุง!I705"")+IMPORTRANGE(""https://docs.google.com/spreadsheets/d/1rd4qoM1q_hsgaolqNGfrim9gbsoLxQsda4-vOz5x_BM/edit?usp=sharing"",""ภูเก็ต!I705"")+IMPORTRANGE(""https://docs.google.com/spreadsheets/d/1woKwKjgoL"&amp;"ssDvPcPeVyezB5izizAn4X1JDrys69n6xI/edit?usp=sharing"",""ยะลา!I705"")+IMPORTRANGE(""https://docs.google.com/spreadsheets/d/1qfrKjzMhm2HJfxQ-qVlJlJQ25Hne1d0khsySbZyGtPA/edit?usp=sharing"",""ระนอง!I705"")+IMPORTRANGE(""https://docs.google.com/spreadsheets/d/"&amp;"1IbSCnFOKpZsnFogBHJnL_isstZVaOMnFiIN0fGTPZZw/edit?usp=sharing"",""สงขลา!I705"")+IMPORTRANGE(""https://docs.google.com/spreadsheets/d/1q9nWasZJ-K8bFGvbE9n0qSRuKGA4Toe3Y89cKCiVtCU/edit?usp=sharing"",""สตูล!I705"")+IMPORTRANGE(""https://docs.google.com/sprea"&amp;"dsheets/d/18T20gbkS_WBjdscyTOV05cvq_JqvqQ17C81mpxf7Ncs/edit?usp=sharing"",""สุราษฎร์ธานี!I705"")"),37)</f>
        <v>37</v>
      </c>
      <c r="J705" s="152">
        <f ca="1">IFERROR(__xludf.DUMMYFUNCTION("IMPORTRANGE(""https://docs.google.com/spreadsheets/d/1kKUcYdkIfrgTSj8iHHHB2MD2FAtwyyocFgqGQn6ADyI/edit?usp=sharing"",""กระบี่!J705"")+IMPORTRANGE(""https://docs.google.com/spreadsheets/d/1GwtLaSlNZkLk7iDqcyZz22giiy40b_usZZBXYciEN1U/edit?usp=sharing"",""ชุ"&amp;"มพร!J705"")+IMPORTRANGE(""https://docs.google.com/spreadsheets/d/16pAz3pOhQEZBhvFNMa5KGgZS6iKWpsKX0pg6tQmwFpo/edit?usp=sharing"",""ตรัง!J705"")+IMPORTRANGE(""https://docs.google.com/spreadsheets/d/1Dj4jcHCTV9JXKCaMoheSXS52JE63kDKyG7bPXnFogHk/edit?usp=shar"&amp;"ing"",""นครศรีธรรมราช!J705"")+IMPORTRANGE(""https://docs.google.com/spreadsheets/d/1iodCdmuK2GR3jzUwk8tpccY2JHQQA-87DLOtJP-ooyU/edit?usp=sharing"",""นราธิวาส!J705"")+IMPORTRANGE(""https://docs.google.com/spreadsheets/d/1SDNX3JhDdYRuIOsj0Wh2M-Qa_eaXl0NbWmh"&amp;"AOTbfQAs/edit?usp=sharing"",""ปัตตานี!J705"")+IMPORTRANGE(""https://docs.google.com/spreadsheets/d/16JDLGguT8s5DsGCND1KcwHP_AWR_zDMTqLHPLJUKhaU/edit?usp=sharing"",""พังงา!J705"")+IMPORTRANGE(""https://docs.google.com/spreadsheets/d/17ht0gPKzzT3PObBL1XJkeR"&amp;"mntBXI7wGjpLV7QorqlTk/edit?usp=sharing"",""พัทลุง!J705"")+IMPORTRANGE(""https://docs.google.com/spreadsheets/d/1rd4qoM1q_hsgaolqNGfrim9gbsoLxQsda4-vOz5x_BM/edit?usp=sharing"",""ภูเก็ต!J705"")+IMPORTRANGE(""https://docs.google.com/spreadsheets/d/1woKwKjgoL"&amp;"ssDvPcPeVyezB5izizAn4X1JDrys69n6xI/edit?usp=sharing"",""ยะลา!J705"")+IMPORTRANGE(""https://docs.google.com/spreadsheets/d/1qfrKjzMhm2HJfxQ-qVlJlJQ25Hne1d0khsySbZyGtPA/edit?usp=sharing"",""ระนอง!J705"")+IMPORTRANGE(""https://docs.google.com/spreadsheets/d/"&amp;"1IbSCnFOKpZsnFogBHJnL_isstZVaOMnFiIN0fGTPZZw/edit?usp=sharing"",""สงขลา!J705"")+IMPORTRANGE(""https://docs.google.com/spreadsheets/d/1q9nWasZJ-K8bFGvbE9n0qSRuKGA4Toe3Y89cKCiVtCU/edit?usp=sharing"",""สตูล!J705"")+IMPORTRANGE(""https://docs.google.com/sprea"&amp;"dsheets/d/18T20gbkS_WBjdscyTOV05cvq_JqvqQ17C81mpxf7Ncs/edit?usp=sharing"",""สุราษฎร์ธานี!J705"")"),0)</f>
        <v>0</v>
      </c>
      <c r="K705" s="153">
        <f t="shared" ca="1" si="487"/>
        <v>0</v>
      </c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kKUcYdkIfrgTSj8iHHHB2MD2FAtwyyocFgqGQn6ADyI/edit?usp=sharing"",""กระบี่!J706"")+IMPORTRANGE(""https://docs.google.com/spreadsheets/d/1GwtLaSlNZkLk7iDqcyZz22giiy40b_usZZBXYciEN1U/edit?usp=sharing"",""ชุ"&amp;"มพร!J706"")+IMPORTRANGE(""https://docs.google.com/spreadsheets/d/16pAz3pOhQEZBhvFNMa5KGgZS6iKWpsKX0pg6tQmwFpo/edit?usp=sharing"",""ตรัง!J706"")+IMPORTRANGE(""https://docs.google.com/spreadsheets/d/1Dj4jcHCTV9JXKCaMoheSXS52JE63kDKyG7bPXnFogHk/edit?usp=shar"&amp;"ing"",""นครศรีธรรมราช!J706"")+IMPORTRANGE(""https://docs.google.com/spreadsheets/d/1iodCdmuK2GR3jzUwk8tpccY2JHQQA-87DLOtJP-ooyU/edit?usp=sharing"",""นราธิวาส!J706"")+IMPORTRANGE(""https://docs.google.com/spreadsheets/d/1SDNX3JhDdYRuIOsj0Wh2M-Qa_eaXl0NbWmh"&amp;"AOTbfQAs/edit?usp=sharing"",""ปัตตานี!J706"")+IMPORTRANGE(""https://docs.google.com/spreadsheets/d/16JDLGguT8s5DsGCND1KcwHP_AWR_zDMTqLHPLJUKhaU/edit?usp=sharing"",""พังงา!J706"")+IMPORTRANGE(""https://docs.google.com/spreadsheets/d/17ht0gPKzzT3PObBL1XJkeR"&amp;"mntBXI7wGjpLV7QorqlTk/edit?usp=sharing"",""พัทลุง!J706"")+IMPORTRANGE(""https://docs.google.com/spreadsheets/d/1rd4qoM1q_hsgaolqNGfrim9gbsoLxQsda4-vOz5x_BM/edit?usp=sharing"",""ภูเก็ต!J706"")+IMPORTRANGE(""https://docs.google.com/spreadsheets/d/1woKwKjgoL"&amp;"ssDvPcPeVyezB5izizAn4X1JDrys69n6xI/edit?usp=sharing"",""ยะลา!J706"")+IMPORTRANGE(""https://docs.google.com/spreadsheets/d/1qfrKjzMhm2HJfxQ-qVlJlJQ25Hne1d0khsySbZyGtPA/edit?usp=sharing"",""ระนอง!J706"")+IMPORTRANGE(""https://docs.google.com/spreadsheets/d/"&amp;"1IbSCnFOKpZsnFogBHJnL_isstZVaOMnFiIN0fGTPZZw/edit?usp=sharing"",""สงขลา!J706"")+IMPORTRANGE(""https://docs.google.com/spreadsheets/d/1q9nWasZJ-K8bFGvbE9n0qSRuKGA4Toe3Y89cKCiVtCU/edit?usp=sharing"",""สตูล!J706"")+IMPORTRANGE(""https://docs.google.com/sprea"&amp;"dsheets/d/18T20gbkS_WBjdscyTOV05cvq_JqvqQ17C81mpxf7Ncs/edit?usp=sharing"",""สุราษฎร์ธานี!J706"")"),0)</f>
        <v>0</v>
      </c>
      <c r="K706" s="47">
        <f t="shared" si="487"/>
        <v>0</v>
      </c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kKUcYdkIfrgTSj8iHHHB2MD2FAtwyyocFgqGQn6ADyI/edit?usp=sharing"",""กระบี่!I707"")+IMPORTRANGE(""https://docs.google.com/spreadsheets/d/1GwtLaSlNZkLk7iDqcyZz22giiy40b_usZZBXYciEN1U/edit?usp=sharing"",""ชุ"&amp;"มพร!I707"")+IMPORTRANGE(""https://docs.google.com/spreadsheets/d/16pAz3pOhQEZBhvFNMa5KGgZS6iKWpsKX0pg6tQmwFpo/edit?usp=sharing"",""ตรัง!I707"")+IMPORTRANGE(""https://docs.google.com/spreadsheets/d/1Dj4jcHCTV9JXKCaMoheSXS52JE63kDKyG7bPXnFogHk/edit?usp=shar"&amp;"ing"",""นครศรีธรรมราช!I707"")+IMPORTRANGE(""https://docs.google.com/spreadsheets/d/1iodCdmuK2GR3jzUwk8tpccY2JHQQA-87DLOtJP-ooyU/edit?usp=sharing"",""นราธิวาส!I707"")+IMPORTRANGE(""https://docs.google.com/spreadsheets/d/1SDNX3JhDdYRuIOsj0Wh2M-Qa_eaXl0NbWmh"&amp;"AOTbfQAs/edit?usp=sharing"",""ปัตตานี!I707"")+IMPORTRANGE(""https://docs.google.com/spreadsheets/d/16JDLGguT8s5DsGCND1KcwHP_AWR_zDMTqLHPLJUKhaU/edit?usp=sharing"",""พังงา!I707"")+IMPORTRANGE(""https://docs.google.com/spreadsheets/d/17ht0gPKzzT3PObBL1XJkeR"&amp;"mntBXI7wGjpLV7QorqlTk/edit?usp=sharing"",""พัทลุง!I707"")+IMPORTRANGE(""https://docs.google.com/spreadsheets/d/1rd4qoM1q_hsgaolqNGfrim9gbsoLxQsda4-vOz5x_BM/edit?usp=sharing"",""ภูเก็ต!I707"")+IMPORTRANGE(""https://docs.google.com/spreadsheets/d/1woKwKjgoL"&amp;"ssDvPcPeVyezB5izizAn4X1JDrys69n6xI/edit?usp=sharing"",""ยะลา!I707"")+IMPORTRANGE(""https://docs.google.com/spreadsheets/d/1qfrKjzMhm2HJfxQ-qVlJlJQ25Hne1d0khsySbZyGtPA/edit?usp=sharing"",""ระนอง!I707"")+IMPORTRANGE(""https://docs.google.com/spreadsheets/d/"&amp;"1IbSCnFOKpZsnFogBHJnL_isstZVaOMnFiIN0fGTPZZw/edit?usp=sharing"",""สงขลา!I707"")+IMPORTRANGE(""https://docs.google.com/spreadsheets/d/1q9nWasZJ-K8bFGvbE9n0qSRuKGA4Toe3Y89cKCiVtCU/edit?usp=sharing"",""สตูล!I707"")+IMPORTRANGE(""https://docs.google.com/sprea"&amp;"dsheets/d/18T20gbkS_WBjdscyTOV05cvq_JqvqQ17C81mpxf7Ncs/edit?usp=sharing"",""สุราษฎร์ธานี!I707"")"),76)</f>
        <v>76</v>
      </c>
      <c r="J707" s="152">
        <f ca="1">IFERROR(__xludf.DUMMYFUNCTION("IMPORTRANGE(""https://docs.google.com/spreadsheets/d/1kKUcYdkIfrgTSj8iHHHB2MD2FAtwyyocFgqGQn6ADyI/edit?usp=sharing"",""กระบี่!J707"")+IMPORTRANGE(""https://docs.google.com/spreadsheets/d/1GwtLaSlNZkLk7iDqcyZz22giiy40b_usZZBXYciEN1U/edit?usp=sharing"",""ชุ"&amp;"มพร!J707"")+IMPORTRANGE(""https://docs.google.com/spreadsheets/d/16pAz3pOhQEZBhvFNMa5KGgZS6iKWpsKX0pg6tQmwFpo/edit?usp=sharing"",""ตรัง!J707"")+IMPORTRANGE(""https://docs.google.com/spreadsheets/d/1Dj4jcHCTV9JXKCaMoheSXS52JE63kDKyG7bPXnFogHk/edit?usp=shar"&amp;"ing"",""นครศรีธรรมราช!J707"")+IMPORTRANGE(""https://docs.google.com/spreadsheets/d/1iodCdmuK2GR3jzUwk8tpccY2JHQQA-87DLOtJP-ooyU/edit?usp=sharing"",""นราธิวาส!J707"")+IMPORTRANGE(""https://docs.google.com/spreadsheets/d/1SDNX3JhDdYRuIOsj0Wh2M-Qa_eaXl0NbWmh"&amp;"AOTbfQAs/edit?usp=sharing"",""ปัตตานี!J707"")+IMPORTRANGE(""https://docs.google.com/spreadsheets/d/16JDLGguT8s5DsGCND1KcwHP_AWR_zDMTqLHPLJUKhaU/edit?usp=sharing"",""พังงา!J707"")+IMPORTRANGE(""https://docs.google.com/spreadsheets/d/17ht0gPKzzT3PObBL1XJkeR"&amp;"mntBXI7wGjpLV7QorqlTk/edit?usp=sharing"",""พัทลุง!J707"")+IMPORTRANGE(""https://docs.google.com/spreadsheets/d/1rd4qoM1q_hsgaolqNGfrim9gbsoLxQsda4-vOz5x_BM/edit?usp=sharing"",""ภูเก็ต!J707"")+IMPORTRANGE(""https://docs.google.com/spreadsheets/d/1woKwKjgoL"&amp;"ssDvPcPeVyezB5izizAn4X1JDrys69n6xI/edit?usp=sharing"",""ยะลา!J707"")+IMPORTRANGE(""https://docs.google.com/spreadsheets/d/1qfrKjzMhm2HJfxQ-qVlJlJQ25Hne1d0khsySbZyGtPA/edit?usp=sharing"",""ระนอง!J707"")+IMPORTRANGE(""https://docs.google.com/spreadsheets/d/"&amp;"1IbSCnFOKpZsnFogBHJnL_isstZVaOMnFiIN0fGTPZZw/edit?usp=sharing"",""สงขลา!J707"")+IMPORTRANGE(""https://docs.google.com/spreadsheets/d/1q9nWasZJ-K8bFGvbE9n0qSRuKGA4Toe3Y89cKCiVtCU/edit?usp=sharing"",""สตูล!J707"")+IMPORTRANGE(""https://docs.google.com/sprea"&amp;"dsheets/d/18T20gbkS_WBjdscyTOV05cvq_JqvqQ17C81mpxf7Ncs/edit?usp=sharing"",""สุราษฎร์ธานี!J707"")"),2)</f>
        <v>2</v>
      </c>
      <c r="K707" s="47">
        <f t="shared" ca="1" si="487"/>
        <v>2.6315789473684212</v>
      </c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kKUcYdkIfrgTSj8iHHHB2MD2FAtwyyocFgqGQn6ADyI/edit?usp=sharing"",""กระบี่!J708"")+IMPORTRANGE(""https://docs.google.com/spreadsheets/d/1GwtLaSlNZkLk7iDqcyZz22giiy40b_usZZBXYciEN1U/edit?usp=sharing"",""ชุ"&amp;"มพร!J708"")+IMPORTRANGE(""https://docs.google.com/spreadsheets/d/16pAz3pOhQEZBhvFNMa5KGgZS6iKWpsKX0pg6tQmwFpo/edit?usp=sharing"",""ตรัง!J708"")+IMPORTRANGE(""https://docs.google.com/spreadsheets/d/1Dj4jcHCTV9JXKCaMoheSXS52JE63kDKyG7bPXnFogHk/edit?usp=shar"&amp;"ing"",""นครศรีธรรมราช!J708"")+IMPORTRANGE(""https://docs.google.com/spreadsheets/d/1iodCdmuK2GR3jzUwk8tpccY2JHQQA-87DLOtJP-ooyU/edit?usp=sharing"",""นราธิวาส!J708"")+IMPORTRANGE(""https://docs.google.com/spreadsheets/d/1SDNX3JhDdYRuIOsj0Wh2M-Qa_eaXl0NbWmh"&amp;"AOTbfQAs/edit?usp=sharing"",""ปัตตานี!J708"")+IMPORTRANGE(""https://docs.google.com/spreadsheets/d/16JDLGguT8s5DsGCND1KcwHP_AWR_zDMTqLHPLJUKhaU/edit?usp=sharing"",""พังงา!J708"")+IMPORTRANGE(""https://docs.google.com/spreadsheets/d/17ht0gPKzzT3PObBL1XJkeR"&amp;"mntBXI7wGjpLV7QorqlTk/edit?usp=sharing"",""พัทลุง!J708"")+IMPORTRANGE(""https://docs.google.com/spreadsheets/d/1rd4qoM1q_hsgaolqNGfrim9gbsoLxQsda4-vOz5x_BM/edit?usp=sharing"",""ภูเก็ต!J708"")+IMPORTRANGE(""https://docs.google.com/spreadsheets/d/1woKwKjgoL"&amp;"ssDvPcPeVyezB5izizAn4X1JDrys69n6xI/edit?usp=sharing"",""ยะลา!J708"")+IMPORTRANGE(""https://docs.google.com/spreadsheets/d/1qfrKjzMhm2HJfxQ-qVlJlJQ25Hne1d0khsySbZyGtPA/edit?usp=sharing"",""ระนอง!J708"")+IMPORTRANGE(""https://docs.google.com/spreadsheets/d/"&amp;"1IbSCnFOKpZsnFogBHJnL_isstZVaOMnFiIN0fGTPZZw/edit?usp=sharing"",""สงขลา!J708"")+IMPORTRANGE(""https://docs.google.com/spreadsheets/d/1q9nWasZJ-K8bFGvbE9n0qSRuKGA4Toe3Y89cKCiVtCU/edit?usp=sharing"",""สตูล!J708"")+IMPORTRANGE(""https://docs.google.com/sprea"&amp;"dsheets/d/18T20gbkS_WBjdscyTOV05cvq_JqvqQ17C81mpxf7Ncs/edit?usp=sharing"",""สุราษฎร์ธานี!J708"")"),0.21)</f>
        <v>0.21</v>
      </c>
      <c r="K708" s="47">
        <f t="shared" si="487"/>
        <v>0</v>
      </c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kKUcYdkIfrgTSj8iHHHB2MD2FAtwyyocFgqGQn6ADyI/edit?usp=sharing"",""กระบี่!I709"")+IMPORTRANGE(""https://docs.google.com/spreadsheets/d/1GwtLaSlNZkLk7iDqcyZz22giiy40b_usZZBXYciEN1U/edit?usp=sharing"",""ชุ"&amp;"มพร!I709"")+IMPORTRANGE(""https://docs.google.com/spreadsheets/d/16pAz3pOhQEZBhvFNMa5KGgZS6iKWpsKX0pg6tQmwFpo/edit?usp=sharing"",""ตรัง!I709"")+IMPORTRANGE(""https://docs.google.com/spreadsheets/d/1Dj4jcHCTV9JXKCaMoheSXS52JE63kDKyG7bPXnFogHk/edit?usp=shar"&amp;"ing"",""นครศรีธรรมราช!I709"")+IMPORTRANGE(""https://docs.google.com/spreadsheets/d/1iodCdmuK2GR3jzUwk8tpccY2JHQQA-87DLOtJP-ooyU/edit?usp=sharing"",""นราธิวาส!I709"")+IMPORTRANGE(""https://docs.google.com/spreadsheets/d/1SDNX3JhDdYRuIOsj0Wh2M-Qa_eaXl0NbWmh"&amp;"AOTbfQAs/edit?usp=sharing"",""ปัตตานี!I709"")+IMPORTRANGE(""https://docs.google.com/spreadsheets/d/16JDLGguT8s5DsGCND1KcwHP_AWR_zDMTqLHPLJUKhaU/edit?usp=sharing"",""พังงา!I709"")+IMPORTRANGE(""https://docs.google.com/spreadsheets/d/17ht0gPKzzT3PObBL1XJkeR"&amp;"mntBXI7wGjpLV7QorqlTk/edit?usp=sharing"",""พัทลุง!I709"")+IMPORTRANGE(""https://docs.google.com/spreadsheets/d/1rd4qoM1q_hsgaolqNGfrim9gbsoLxQsda4-vOz5x_BM/edit?usp=sharing"",""ภูเก็ต!I709"")+IMPORTRANGE(""https://docs.google.com/spreadsheets/d/1woKwKjgoL"&amp;"ssDvPcPeVyezB5izizAn4X1JDrys69n6xI/edit?usp=sharing"",""ยะลา!I709"")+IMPORTRANGE(""https://docs.google.com/spreadsheets/d/1qfrKjzMhm2HJfxQ-qVlJlJQ25Hne1d0khsySbZyGtPA/edit?usp=sharing"",""ระนอง!I709"")+IMPORTRANGE(""https://docs.google.com/spreadsheets/d/"&amp;"1IbSCnFOKpZsnFogBHJnL_isstZVaOMnFiIN0fGTPZZw/edit?usp=sharing"",""สงขลา!I709"")+IMPORTRANGE(""https://docs.google.com/spreadsheets/d/1q9nWasZJ-K8bFGvbE9n0qSRuKGA4Toe3Y89cKCiVtCU/edit?usp=sharing"",""สตูล!I709"")+IMPORTRANGE(""https://docs.google.com/sprea"&amp;"dsheets/d/18T20gbkS_WBjdscyTOV05cvq_JqvqQ17C81mpxf7Ncs/edit?usp=sharing"",""สุราษฎร์ธานี!I709"")"),37)</f>
        <v>37</v>
      </c>
      <c r="J709" s="152">
        <f ca="1">IFERROR(__xludf.DUMMYFUNCTION("IMPORTRANGE(""https://docs.google.com/spreadsheets/d/1kKUcYdkIfrgTSj8iHHHB2MD2FAtwyyocFgqGQn6ADyI/edit?usp=sharing"",""กระบี่!J709"")+IMPORTRANGE(""https://docs.google.com/spreadsheets/d/1GwtLaSlNZkLk7iDqcyZz22giiy40b_usZZBXYciEN1U/edit?usp=sharing"",""ชุ"&amp;"มพร!J709"")+IMPORTRANGE(""https://docs.google.com/spreadsheets/d/16pAz3pOhQEZBhvFNMa5KGgZS6iKWpsKX0pg6tQmwFpo/edit?usp=sharing"",""ตรัง!J709"")+IMPORTRANGE(""https://docs.google.com/spreadsheets/d/1Dj4jcHCTV9JXKCaMoheSXS52JE63kDKyG7bPXnFogHk/edit?usp=shar"&amp;"ing"",""นครศรีธรรมราช!J709"")+IMPORTRANGE(""https://docs.google.com/spreadsheets/d/1iodCdmuK2GR3jzUwk8tpccY2JHQQA-87DLOtJP-ooyU/edit?usp=sharing"",""นราธิวาส!J709"")+IMPORTRANGE(""https://docs.google.com/spreadsheets/d/1SDNX3JhDdYRuIOsj0Wh2M-Qa_eaXl0NbWmh"&amp;"AOTbfQAs/edit?usp=sharing"",""ปัตตานี!J709"")+IMPORTRANGE(""https://docs.google.com/spreadsheets/d/16JDLGguT8s5DsGCND1KcwHP_AWR_zDMTqLHPLJUKhaU/edit?usp=sharing"",""พังงา!J709"")+IMPORTRANGE(""https://docs.google.com/spreadsheets/d/17ht0gPKzzT3PObBL1XJkeR"&amp;"mntBXI7wGjpLV7QorqlTk/edit?usp=sharing"",""พัทลุง!J709"")+IMPORTRANGE(""https://docs.google.com/spreadsheets/d/1rd4qoM1q_hsgaolqNGfrim9gbsoLxQsda4-vOz5x_BM/edit?usp=sharing"",""ภูเก็ต!J709"")+IMPORTRANGE(""https://docs.google.com/spreadsheets/d/1woKwKjgoL"&amp;"ssDvPcPeVyezB5izizAn4X1JDrys69n6xI/edit?usp=sharing"",""ยะลา!J709"")+IMPORTRANGE(""https://docs.google.com/spreadsheets/d/1qfrKjzMhm2HJfxQ-qVlJlJQ25Hne1d0khsySbZyGtPA/edit?usp=sharing"",""ระนอง!J709"")+IMPORTRANGE(""https://docs.google.com/spreadsheets/d/"&amp;"1IbSCnFOKpZsnFogBHJnL_isstZVaOMnFiIN0fGTPZZw/edit?usp=sharing"",""สงขลา!J709"")+IMPORTRANGE(""https://docs.google.com/spreadsheets/d/1q9nWasZJ-K8bFGvbE9n0qSRuKGA4Toe3Y89cKCiVtCU/edit?usp=sharing"",""สตูล!J709"")+IMPORTRANGE(""https://docs.google.com/sprea"&amp;"dsheets/d/18T20gbkS_WBjdscyTOV05cvq_JqvqQ17C81mpxf7Ncs/edit?usp=sharing"",""สุราษฎร์ธานี!J709"")"),33)</f>
        <v>33</v>
      </c>
      <c r="K709" s="47">
        <f t="shared" ca="1" si="487"/>
        <v>89.189189189189193</v>
      </c>
      <c r="L709" s="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kKUcYdkIfrgTSj8iHHHB2MD2FAtwyyocFgqGQn6ADyI/edit?usp=sharing"",""กระบี่!J710"")+IMPORTRANGE(""https://docs.google.com/spreadsheets/d/1GwtLaSlNZkLk7iDqcyZz22giiy40b_usZZBXYciEN1U/edit?usp=sharing"",""ชุ"&amp;"มพร!J710"")+IMPORTRANGE(""https://docs.google.com/spreadsheets/d/16pAz3pOhQEZBhvFNMa5KGgZS6iKWpsKX0pg6tQmwFpo/edit?usp=sharing"",""ตรัง!J710"")+IMPORTRANGE(""https://docs.google.com/spreadsheets/d/1Dj4jcHCTV9JXKCaMoheSXS52JE63kDKyG7bPXnFogHk/edit?usp=shar"&amp;"ing"",""นครศรีธรรมราช!J710"")+IMPORTRANGE(""https://docs.google.com/spreadsheets/d/1iodCdmuK2GR3jzUwk8tpccY2JHQQA-87DLOtJP-ooyU/edit?usp=sharing"",""นราธิวาส!J710"")+IMPORTRANGE(""https://docs.google.com/spreadsheets/d/1SDNX3JhDdYRuIOsj0Wh2M-Qa_eaXl0NbWmh"&amp;"AOTbfQAs/edit?usp=sharing"",""ปัตตานี!J710"")+IMPORTRANGE(""https://docs.google.com/spreadsheets/d/16JDLGguT8s5DsGCND1KcwHP_AWR_zDMTqLHPLJUKhaU/edit?usp=sharing"",""พังงา!J710"")+IMPORTRANGE(""https://docs.google.com/spreadsheets/d/17ht0gPKzzT3PObBL1XJkeR"&amp;"mntBXI7wGjpLV7QorqlTk/edit?usp=sharing"",""พัทลุง!J710"")+IMPORTRANGE(""https://docs.google.com/spreadsheets/d/1rd4qoM1q_hsgaolqNGfrim9gbsoLxQsda4-vOz5x_BM/edit?usp=sharing"",""ภูเก็ต!J710"")+IMPORTRANGE(""https://docs.google.com/spreadsheets/d/1woKwKjgoL"&amp;"ssDvPcPeVyezB5izizAn4X1JDrys69n6xI/edit?usp=sharing"",""ยะลา!J710"")+IMPORTRANGE(""https://docs.google.com/spreadsheets/d/1qfrKjzMhm2HJfxQ-qVlJlJQ25Hne1d0khsySbZyGtPA/edit?usp=sharing"",""ระนอง!J710"")+IMPORTRANGE(""https://docs.google.com/spreadsheets/d/"&amp;"1IbSCnFOKpZsnFogBHJnL_isstZVaOMnFiIN0fGTPZZw/edit?usp=sharing"",""สงขลา!J710"")+IMPORTRANGE(""https://docs.google.com/spreadsheets/d/1q9nWasZJ-K8bFGvbE9n0qSRuKGA4Toe3Y89cKCiVtCU/edit?usp=sharing"",""สตูล!J710"")+IMPORTRANGE(""https://docs.google.com/sprea"&amp;"dsheets/d/18T20gbkS_WBjdscyTOV05cvq_JqvqQ17C81mpxf7Ncs/edit?usp=sharing"",""สุราษฎร์ธานี!J710"")"),0)</f>
        <v>0</v>
      </c>
      <c r="K710" s="47">
        <f t="shared" si="487"/>
        <v>0</v>
      </c>
      <c r="L710" s="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336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56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46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56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46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33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132">
        <f t="shared" ref="L714:N714" ca="1" si="489">L715+L716</f>
        <v>0</v>
      </c>
      <c r="M714" s="132">
        <f t="shared" ca="1" si="489"/>
        <v>0</v>
      </c>
      <c r="N714" s="132">
        <f t="shared" ca="1" si="489"/>
        <v>0</v>
      </c>
      <c r="O714" s="132">
        <f t="shared" ref="O714:O722" ca="1" si="490">IF(L714&gt;0,N714*100/L714,0)</f>
        <v>0</v>
      </c>
      <c r="P714" s="132">
        <f t="shared" ref="P714:P722" ca="1" si="491">IF(M714&gt;0,N714*100/M714,0)</f>
        <v>0</v>
      </c>
      <c r="Q714" s="132">
        <f t="shared" ref="Q714:S714" ca="1" si="492">Q715+Q716</f>
        <v>0</v>
      </c>
      <c r="R714" s="132">
        <f t="shared" ca="1" si="492"/>
        <v>0</v>
      </c>
      <c r="S714" s="132">
        <f t="shared" ca="1" si="492"/>
        <v>0</v>
      </c>
      <c r="T714" s="132">
        <f t="shared" ref="T714:T722" ca="1" si="493">IF(Q714&gt;0,S714*100/Q714,0)</f>
        <v>0</v>
      </c>
      <c r="U714" s="132">
        <f t="shared" ref="U714:U722" ca="1" si="494"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9">
        <f t="shared" ref="L715:N715" ca="1" si="495">L718+L721</f>
        <v>0</v>
      </c>
      <c r="M715" s="49">
        <f t="shared" ca="1" si="495"/>
        <v>0</v>
      </c>
      <c r="N715" s="49">
        <f t="shared" ca="1" si="495"/>
        <v>0</v>
      </c>
      <c r="O715" s="49">
        <f t="shared" ca="1" si="490"/>
        <v>0</v>
      </c>
      <c r="P715" s="49">
        <f t="shared" ca="1" si="491"/>
        <v>0</v>
      </c>
      <c r="Q715" s="49">
        <f t="shared" ref="Q715:S715" ca="1" si="496">Q718+Q721</f>
        <v>0</v>
      </c>
      <c r="R715" s="49">
        <f t="shared" ca="1" si="496"/>
        <v>0</v>
      </c>
      <c r="S715" s="49">
        <f t="shared" ca="1" si="496"/>
        <v>0</v>
      </c>
      <c r="T715" s="49">
        <f t="shared" ca="1" si="493"/>
        <v>0</v>
      </c>
      <c r="U715" s="49">
        <f t="shared" ca="1" si="494"/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7">
        <f t="shared" ref="L716:N716" ca="1" si="497">L719+L722</f>
        <v>0</v>
      </c>
      <c r="M716" s="47">
        <f t="shared" ca="1" si="497"/>
        <v>0</v>
      </c>
      <c r="N716" s="47">
        <f t="shared" ca="1" si="497"/>
        <v>0</v>
      </c>
      <c r="O716" s="47">
        <f t="shared" ca="1" si="490"/>
        <v>0</v>
      </c>
      <c r="P716" s="47">
        <f t="shared" ca="1" si="491"/>
        <v>0</v>
      </c>
      <c r="Q716" s="47">
        <f t="shared" ref="Q716:S716" ca="1" si="498">Q719+Q722</f>
        <v>0</v>
      </c>
      <c r="R716" s="47">
        <f t="shared" ca="1" si="498"/>
        <v>0</v>
      </c>
      <c r="S716" s="47">
        <f t="shared" ca="1" si="498"/>
        <v>0</v>
      </c>
      <c r="T716" s="47">
        <f t="shared" ca="1" si="493"/>
        <v>0</v>
      </c>
      <c r="U716" s="47">
        <f t="shared" ca="1" si="494"/>
        <v>0</v>
      </c>
    </row>
    <row r="717" spans="1:21" ht="19.5" hidden="1" x14ac:dyDescent="0.3">
      <c r="A717" s="128"/>
      <c r="B717" s="159"/>
      <c r="C717" s="159"/>
      <c r="D717" s="491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47">
        <f t="shared" ref="L717:N717" ca="1" si="499">L718+L719</f>
        <v>0</v>
      </c>
      <c r="M717" s="47">
        <f t="shared" ca="1" si="499"/>
        <v>0</v>
      </c>
      <c r="N717" s="47">
        <f t="shared" ca="1" si="499"/>
        <v>0</v>
      </c>
      <c r="O717" s="47">
        <f t="shared" ca="1" si="490"/>
        <v>0</v>
      </c>
      <c r="P717" s="47">
        <f t="shared" ca="1" si="491"/>
        <v>0</v>
      </c>
      <c r="Q717" s="47">
        <f t="shared" ref="Q717:S717" ca="1" si="500">Q718+Q719</f>
        <v>0</v>
      </c>
      <c r="R717" s="47">
        <f t="shared" ca="1" si="500"/>
        <v>0</v>
      </c>
      <c r="S717" s="47">
        <f t="shared" ca="1" si="500"/>
        <v>0</v>
      </c>
      <c r="T717" s="47">
        <f t="shared" ca="1" si="493"/>
        <v>0</v>
      </c>
      <c r="U717" s="47">
        <f t="shared" ca="1" si="494"/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9">
        <f ca="1">IFERROR(__xludf.DUMMYFUNCTION("IMPORTRANGE(""https://docs.google.com/spreadsheets/d/1kKUcYdkIfrgTSj8iHHHB2MD2FAtwyyocFgqGQn6ADyI/edit?usp=sharing"",""กระบี่!L718"")+IMPORTRANGE(""https://docs.google.com/spreadsheets/d/1GwtLaSlNZkLk7iDqcyZz22giiy40b_usZZBXYciEN1U/edit?usp=sharing"",""ชุ"&amp;"มพร!L718"")+IMPORTRANGE(""https://docs.google.com/spreadsheets/d/16pAz3pOhQEZBhvFNMa5KGgZS6iKWpsKX0pg6tQmwFpo/edit?usp=sharing"",""ตรัง!L718"")+IMPORTRANGE(""https://docs.google.com/spreadsheets/d/1Dj4jcHCTV9JXKCaMoheSXS52JE63kDKyG7bPXnFogHk/edit?usp=shar"&amp;"ing"",""นครศรีธรรมราช!L718"")+IMPORTRANGE(""https://docs.google.com/spreadsheets/d/1iodCdmuK2GR3jzUwk8tpccY2JHQQA-87DLOtJP-ooyU/edit?usp=sharing"",""นราธิวาส!L718"")+IMPORTRANGE(""https://docs.google.com/spreadsheets/d/1SDNX3JhDdYRuIOsj0Wh2M-Qa_eaXl0NbWmh"&amp;"AOTbfQAs/edit?usp=sharing"",""ปัตตานี!L718"")+IMPORTRANGE(""https://docs.google.com/spreadsheets/d/16JDLGguT8s5DsGCND1KcwHP_AWR_zDMTqLHPLJUKhaU/edit?usp=sharing"",""พังงา!L718"")+IMPORTRANGE(""https://docs.google.com/spreadsheets/d/17ht0gPKzzT3PObBL1XJkeR"&amp;"mntBXI7wGjpLV7QorqlTk/edit?usp=sharing"",""พัทลุง!L718"")+IMPORTRANGE(""https://docs.google.com/spreadsheets/d/1rd4qoM1q_hsgaolqNGfrim9gbsoLxQsda4-vOz5x_BM/edit?usp=sharing"",""ภูเก็ต!L718"")+IMPORTRANGE(""https://docs.google.com/spreadsheets/d/1woKwKjgoL"&amp;"ssDvPcPeVyezB5izizAn4X1JDrys69n6xI/edit?usp=sharing"",""ยะลา!L718"")+IMPORTRANGE(""https://docs.google.com/spreadsheets/d/1qfrKjzMhm2HJfxQ-qVlJlJQ25Hne1d0khsySbZyGtPA/edit?usp=sharing"",""ระนอง!L718"")+IMPORTRANGE(""https://docs.google.com/spreadsheets/d/"&amp;"1IbSCnFOKpZsnFogBHJnL_isstZVaOMnFiIN0fGTPZZw/edit?usp=sharing"",""สงขลา!L718"")+IMPORTRANGE(""https://docs.google.com/spreadsheets/d/1q9nWasZJ-K8bFGvbE9n0qSRuKGA4Toe3Y89cKCiVtCU/edit?usp=sharing"",""สตูล!L718"")+IMPORTRANGE(""https://docs.google.com/sprea"&amp;"dsheets/d/18T20gbkS_WBjdscyTOV05cvq_JqvqQ17C81mpxf7Ncs/edit?usp=sharing"",""สุราษฎร์ธานี!L718"")"),0)</f>
        <v>0</v>
      </c>
      <c r="M718" s="49">
        <f ca="1">IFERROR(__xludf.DUMMYFUNCTION("IMPORTRANGE(""https://docs.google.com/spreadsheets/d/1kKUcYdkIfrgTSj8iHHHB2MD2FAtwyyocFgqGQn6ADyI/edit?usp=sharing"",""กระบี่!M718"")+IMPORTRANGE(""https://docs.google.com/spreadsheets/d/1GwtLaSlNZkLk7iDqcyZz22giiy40b_usZZBXYciEN1U/edit?usp=sharing"",""ชุ"&amp;"มพร!M718"")+IMPORTRANGE(""https://docs.google.com/spreadsheets/d/16pAz3pOhQEZBhvFNMa5KGgZS6iKWpsKX0pg6tQmwFpo/edit?usp=sharing"",""ตรัง!M718"")+IMPORTRANGE(""https://docs.google.com/spreadsheets/d/1Dj4jcHCTV9JXKCaMoheSXS52JE63kDKyG7bPXnFogHk/edit?usp=shar"&amp;"ing"",""นครศรีธรรมราช!M718"")+IMPORTRANGE(""https://docs.google.com/spreadsheets/d/1iodCdmuK2GR3jzUwk8tpccY2JHQQA-87DLOtJP-ooyU/edit?usp=sharing"",""นราธิวาส!M718"")+IMPORTRANGE(""https://docs.google.com/spreadsheets/d/1SDNX3JhDdYRuIOsj0Wh2M-Qa_eaXl0NbWmh"&amp;"AOTbfQAs/edit?usp=sharing"",""ปัตตานี!M718"")+IMPORTRANGE(""https://docs.google.com/spreadsheets/d/16JDLGguT8s5DsGCND1KcwHP_AWR_zDMTqLHPLJUKhaU/edit?usp=sharing"",""พังงา!M718"")+IMPORTRANGE(""https://docs.google.com/spreadsheets/d/17ht0gPKzzT3PObBL1XJkeR"&amp;"mntBXI7wGjpLV7QorqlTk/edit?usp=sharing"",""พัทลุง!M718"")+IMPORTRANGE(""https://docs.google.com/spreadsheets/d/1rd4qoM1q_hsgaolqNGfrim9gbsoLxQsda4-vOz5x_BM/edit?usp=sharing"",""ภูเก็ต!M718"")+IMPORTRANGE(""https://docs.google.com/spreadsheets/d/1woKwKjgoL"&amp;"ssDvPcPeVyezB5izizAn4X1JDrys69n6xI/edit?usp=sharing"",""ยะลา!M718"")+IMPORTRANGE(""https://docs.google.com/spreadsheets/d/1qfrKjzMhm2HJfxQ-qVlJlJQ25Hne1d0khsySbZyGtPA/edit?usp=sharing"",""ระนอง!M718"")+IMPORTRANGE(""https://docs.google.com/spreadsheets/d/"&amp;"1IbSCnFOKpZsnFogBHJnL_isstZVaOMnFiIN0fGTPZZw/edit?usp=sharing"",""สงขลา!M718"")+IMPORTRANGE(""https://docs.google.com/spreadsheets/d/1q9nWasZJ-K8bFGvbE9n0qSRuKGA4Toe3Y89cKCiVtCU/edit?usp=sharing"",""สตูล!M718"")+IMPORTRANGE(""https://docs.google.com/sprea"&amp;"dsheets/d/18T20gbkS_WBjdscyTOV05cvq_JqvqQ17C81mpxf7Ncs/edit?usp=sharing"",""สุราษฎร์ธานี!M718"")"),0)</f>
        <v>0</v>
      </c>
      <c r="N718" s="49">
        <f ca="1">IFERROR(__xludf.DUMMYFUNCTION("IMPORTRANGE(""https://docs.google.com/spreadsheets/d/1kKUcYdkIfrgTSj8iHHHB2MD2FAtwyyocFgqGQn6ADyI/edit?usp=sharing"",""กระบี่!N718"")+IMPORTRANGE(""https://docs.google.com/spreadsheets/d/1GwtLaSlNZkLk7iDqcyZz22giiy40b_usZZBXYciEN1U/edit?usp=sharing"",""ชุ"&amp;"มพร!N718"")+IMPORTRANGE(""https://docs.google.com/spreadsheets/d/16pAz3pOhQEZBhvFNMa5KGgZS6iKWpsKX0pg6tQmwFpo/edit?usp=sharing"",""ตรัง!N718"")+IMPORTRANGE(""https://docs.google.com/spreadsheets/d/1Dj4jcHCTV9JXKCaMoheSXS52JE63kDKyG7bPXnFogHk/edit?usp=shar"&amp;"ing"",""นครศรีธรรมราช!N718"")+IMPORTRANGE(""https://docs.google.com/spreadsheets/d/1iodCdmuK2GR3jzUwk8tpccY2JHQQA-87DLOtJP-ooyU/edit?usp=sharing"",""นราธิวาส!N718"")+IMPORTRANGE(""https://docs.google.com/spreadsheets/d/1SDNX3JhDdYRuIOsj0Wh2M-Qa_eaXl0NbWmh"&amp;"AOTbfQAs/edit?usp=sharing"",""ปัตตานี!N718"")+IMPORTRANGE(""https://docs.google.com/spreadsheets/d/16JDLGguT8s5DsGCND1KcwHP_AWR_zDMTqLHPLJUKhaU/edit?usp=sharing"",""พังงา!N718"")+IMPORTRANGE(""https://docs.google.com/spreadsheets/d/17ht0gPKzzT3PObBL1XJkeR"&amp;"mntBXI7wGjpLV7QorqlTk/edit?usp=sharing"",""พัทลุง!N718"")+IMPORTRANGE(""https://docs.google.com/spreadsheets/d/1rd4qoM1q_hsgaolqNGfrim9gbsoLxQsda4-vOz5x_BM/edit?usp=sharing"",""ภูเก็ต!N718"")+IMPORTRANGE(""https://docs.google.com/spreadsheets/d/1woKwKjgoL"&amp;"ssDvPcPeVyezB5izizAn4X1JDrys69n6xI/edit?usp=sharing"",""ยะลา!N718"")+IMPORTRANGE(""https://docs.google.com/spreadsheets/d/1qfrKjzMhm2HJfxQ-qVlJlJQ25Hne1d0khsySbZyGtPA/edit?usp=sharing"",""ระนอง!N718"")+IMPORTRANGE(""https://docs.google.com/spreadsheets/d/"&amp;"1IbSCnFOKpZsnFogBHJnL_isstZVaOMnFiIN0fGTPZZw/edit?usp=sharing"",""สงขลา!N718"")+IMPORTRANGE(""https://docs.google.com/spreadsheets/d/1q9nWasZJ-K8bFGvbE9n0qSRuKGA4Toe3Y89cKCiVtCU/edit?usp=sharing"",""สตูล!N718"")+IMPORTRANGE(""https://docs.google.com/sprea"&amp;"dsheets/d/18T20gbkS_WBjdscyTOV05cvq_JqvqQ17C81mpxf7Ncs/edit?usp=sharing"",""สุราษฎร์ธานี!N718"")"),0)</f>
        <v>0</v>
      </c>
      <c r="O718" s="49">
        <f t="shared" ca="1" si="490"/>
        <v>0</v>
      </c>
      <c r="P718" s="49">
        <f t="shared" ca="1" si="491"/>
        <v>0</v>
      </c>
      <c r="Q718" s="49">
        <f ca="1">IFERROR(__xludf.DUMMYFUNCTION("IMPORTRANGE(""https://docs.google.com/spreadsheets/d/1kKUcYdkIfrgTSj8iHHHB2MD2FAtwyyocFgqGQn6ADyI/edit?usp=sharing"",""กระบี่!Q718"")+IMPORTRANGE(""https://docs.google.com/spreadsheets/d/1GwtLaSlNZkLk7iDqcyZz22giiy40b_usZZBXYciEN1U/edit?usp=sharing"",""ชุ"&amp;"มพร!Q718"")+IMPORTRANGE(""https://docs.google.com/spreadsheets/d/16pAz3pOhQEZBhvFNMa5KGgZS6iKWpsKX0pg6tQmwFpo/edit?usp=sharing"",""ตรัง!Q718"")+IMPORTRANGE(""https://docs.google.com/spreadsheets/d/1Dj4jcHCTV9JXKCaMoheSXS52JE63kDKyG7bPXnFogHk/edit?usp=shar"&amp;"ing"",""นครศรีธรรมราช!Q718"")+IMPORTRANGE(""https://docs.google.com/spreadsheets/d/1iodCdmuK2GR3jzUwk8tpccY2JHQQA-87DLOtJP-ooyU/edit?usp=sharing"",""นราธิวาส!Q718"")+IMPORTRANGE(""https://docs.google.com/spreadsheets/d/1SDNX3JhDdYRuIOsj0Wh2M-Qa_eaXl0NbWmh"&amp;"AOTbfQAs/edit?usp=sharing"",""ปัตตานี!Q718"")+IMPORTRANGE(""https://docs.google.com/spreadsheets/d/16JDLGguT8s5DsGCND1KcwHP_AWR_zDMTqLHPLJUKhaU/edit?usp=sharing"",""พังงา!Q718"")+IMPORTRANGE(""https://docs.google.com/spreadsheets/d/17ht0gPKzzT3PObBL1XJkeR"&amp;"mntBXI7wGjpLV7QorqlTk/edit?usp=sharing"",""พัทลุง!Q718"")+IMPORTRANGE(""https://docs.google.com/spreadsheets/d/1rd4qoM1q_hsgaolqNGfrim9gbsoLxQsda4-vOz5x_BM/edit?usp=sharing"",""ภูเก็ต!Q718"")+IMPORTRANGE(""https://docs.google.com/spreadsheets/d/1woKwKjgoL"&amp;"ssDvPcPeVyezB5izizAn4X1JDrys69n6xI/edit?usp=sharing"",""ยะลา!Q718"")+IMPORTRANGE(""https://docs.google.com/spreadsheets/d/1qfrKjzMhm2HJfxQ-qVlJlJQ25Hne1d0khsySbZyGtPA/edit?usp=sharing"",""ระนอง!Q718"")+IMPORTRANGE(""https://docs.google.com/spreadsheets/d/"&amp;"1IbSCnFOKpZsnFogBHJnL_isstZVaOMnFiIN0fGTPZZw/edit?usp=sharing"",""สงขลา!Q718"")+IMPORTRANGE(""https://docs.google.com/spreadsheets/d/1q9nWasZJ-K8bFGvbE9n0qSRuKGA4Toe3Y89cKCiVtCU/edit?usp=sharing"",""สตูล!Q718"")+IMPORTRANGE(""https://docs.google.com/sprea"&amp;"dsheets/d/18T20gbkS_WBjdscyTOV05cvq_JqvqQ17C81mpxf7Ncs/edit?usp=sharing"",""สุราษฎร์ธานี!Q718"")"),0)</f>
        <v>0</v>
      </c>
      <c r="R718" s="49">
        <f ca="1">IFERROR(__xludf.DUMMYFUNCTION("IMPORTRANGE(""https://docs.google.com/spreadsheets/d/1kKUcYdkIfrgTSj8iHHHB2MD2FAtwyyocFgqGQn6ADyI/edit?usp=sharing"",""กระบี่!R718"")+IMPORTRANGE(""https://docs.google.com/spreadsheets/d/1GwtLaSlNZkLk7iDqcyZz22giiy40b_usZZBXYciEN1U/edit?usp=sharing"",""ชุ"&amp;"มพร!R718"")+IMPORTRANGE(""https://docs.google.com/spreadsheets/d/16pAz3pOhQEZBhvFNMa5KGgZS6iKWpsKX0pg6tQmwFpo/edit?usp=sharing"",""ตรัง!R718"")+IMPORTRANGE(""https://docs.google.com/spreadsheets/d/1Dj4jcHCTV9JXKCaMoheSXS52JE63kDKyG7bPXnFogHk/edit?usp=shar"&amp;"ing"",""นครศรีธรรมราช!R718"")+IMPORTRANGE(""https://docs.google.com/spreadsheets/d/1iodCdmuK2GR3jzUwk8tpccY2JHQQA-87DLOtJP-ooyU/edit?usp=sharing"",""นราธิวาส!R718"")+IMPORTRANGE(""https://docs.google.com/spreadsheets/d/1SDNX3JhDdYRuIOsj0Wh2M-Qa_eaXl0NbWmh"&amp;"AOTbfQAs/edit?usp=sharing"",""ปัตตานี!R718"")+IMPORTRANGE(""https://docs.google.com/spreadsheets/d/16JDLGguT8s5DsGCND1KcwHP_AWR_zDMTqLHPLJUKhaU/edit?usp=sharing"",""พังงา!R718"")+IMPORTRANGE(""https://docs.google.com/spreadsheets/d/17ht0gPKzzT3PObBL1XJkeR"&amp;"mntBXI7wGjpLV7QorqlTk/edit?usp=sharing"",""พัทลุง!R718"")+IMPORTRANGE(""https://docs.google.com/spreadsheets/d/1rd4qoM1q_hsgaolqNGfrim9gbsoLxQsda4-vOz5x_BM/edit?usp=sharing"",""ภูเก็ต!R718"")+IMPORTRANGE(""https://docs.google.com/spreadsheets/d/1woKwKjgoL"&amp;"ssDvPcPeVyezB5izizAn4X1JDrys69n6xI/edit?usp=sharing"",""ยะลา!R718"")+IMPORTRANGE(""https://docs.google.com/spreadsheets/d/1qfrKjzMhm2HJfxQ-qVlJlJQ25Hne1d0khsySbZyGtPA/edit?usp=sharing"",""ระนอง!R718"")+IMPORTRANGE(""https://docs.google.com/spreadsheets/d/"&amp;"1IbSCnFOKpZsnFogBHJnL_isstZVaOMnFiIN0fGTPZZw/edit?usp=sharing"",""สงขลา!R718"")+IMPORTRANGE(""https://docs.google.com/spreadsheets/d/1q9nWasZJ-K8bFGvbE9n0qSRuKGA4Toe3Y89cKCiVtCU/edit?usp=sharing"",""สตูล!R718"")+IMPORTRANGE(""https://docs.google.com/sprea"&amp;"dsheets/d/18T20gbkS_WBjdscyTOV05cvq_JqvqQ17C81mpxf7Ncs/edit?usp=sharing"",""สุราษฎร์ธานี!R718"")"),0)</f>
        <v>0</v>
      </c>
      <c r="S718" s="49">
        <f ca="1">IFERROR(__xludf.DUMMYFUNCTION("IMPORTRANGE(""https://docs.google.com/spreadsheets/d/1kKUcYdkIfrgTSj8iHHHB2MD2FAtwyyocFgqGQn6ADyI/edit?usp=sharing"",""กระบี่!S718"")+IMPORTRANGE(""https://docs.google.com/spreadsheets/d/1GwtLaSlNZkLk7iDqcyZz22giiy40b_usZZBXYciEN1U/edit?usp=sharing"",""ชุ"&amp;"มพร!S718"")+IMPORTRANGE(""https://docs.google.com/spreadsheets/d/16pAz3pOhQEZBhvFNMa5KGgZS6iKWpsKX0pg6tQmwFpo/edit?usp=sharing"",""ตรัง!S718"")+IMPORTRANGE(""https://docs.google.com/spreadsheets/d/1Dj4jcHCTV9JXKCaMoheSXS52JE63kDKyG7bPXnFogHk/edit?usp=shar"&amp;"ing"",""นครศรีธรรมราช!S718"")+IMPORTRANGE(""https://docs.google.com/spreadsheets/d/1iodCdmuK2GR3jzUwk8tpccY2JHQQA-87DLOtJP-ooyU/edit?usp=sharing"",""นราธิวาส!S718"")+IMPORTRANGE(""https://docs.google.com/spreadsheets/d/1SDNX3JhDdYRuIOsj0Wh2M-Qa_eaXl0NbWmh"&amp;"AOTbfQAs/edit?usp=sharing"",""ปัตตานี!S718"")+IMPORTRANGE(""https://docs.google.com/spreadsheets/d/16JDLGguT8s5DsGCND1KcwHP_AWR_zDMTqLHPLJUKhaU/edit?usp=sharing"",""พังงา!S718"")+IMPORTRANGE(""https://docs.google.com/spreadsheets/d/17ht0gPKzzT3PObBL1XJkeR"&amp;"mntBXI7wGjpLV7QorqlTk/edit?usp=sharing"",""พัทลุง!S718"")+IMPORTRANGE(""https://docs.google.com/spreadsheets/d/1rd4qoM1q_hsgaolqNGfrim9gbsoLxQsda4-vOz5x_BM/edit?usp=sharing"",""ภูเก็ต!S718"")+IMPORTRANGE(""https://docs.google.com/spreadsheets/d/1woKwKjgoL"&amp;"ssDvPcPeVyezB5izizAn4X1JDrys69n6xI/edit?usp=sharing"",""ยะลา!S718"")+IMPORTRANGE(""https://docs.google.com/spreadsheets/d/1qfrKjzMhm2HJfxQ-qVlJlJQ25Hne1d0khsySbZyGtPA/edit?usp=sharing"",""ระนอง!S718"")+IMPORTRANGE(""https://docs.google.com/spreadsheets/d/"&amp;"1IbSCnFOKpZsnFogBHJnL_isstZVaOMnFiIN0fGTPZZw/edit?usp=sharing"",""สงขลา!S718"")+IMPORTRANGE(""https://docs.google.com/spreadsheets/d/1q9nWasZJ-K8bFGvbE9n0qSRuKGA4Toe3Y89cKCiVtCU/edit?usp=sharing"",""สตูล!S718"")+IMPORTRANGE(""https://docs.google.com/sprea"&amp;"dsheets/d/18T20gbkS_WBjdscyTOV05cvq_JqvqQ17C81mpxf7Ncs/edit?usp=sharing"",""สุราษฎร์ธานี!S718"")"),0)</f>
        <v>0</v>
      </c>
      <c r="T718" s="49">
        <f t="shared" ca="1" si="493"/>
        <v>0</v>
      </c>
      <c r="U718" s="49">
        <f t="shared" ca="1" si="494"/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7">
        <f ca="1">IFERROR(__xludf.DUMMYFUNCTION("IMPORTRANGE(""https://docs.google.com/spreadsheets/d/1kKUcYdkIfrgTSj8iHHHB2MD2FAtwyyocFgqGQn6ADyI/edit?usp=sharing"",""กระบี่!L719"")+IMPORTRANGE(""https://docs.google.com/spreadsheets/d/1GwtLaSlNZkLk7iDqcyZz22giiy40b_usZZBXYciEN1U/edit?usp=sharing"",""ชุ"&amp;"มพร!L719"")+IMPORTRANGE(""https://docs.google.com/spreadsheets/d/16pAz3pOhQEZBhvFNMa5KGgZS6iKWpsKX0pg6tQmwFpo/edit?usp=sharing"",""ตรัง!L719"")+IMPORTRANGE(""https://docs.google.com/spreadsheets/d/1Dj4jcHCTV9JXKCaMoheSXS52JE63kDKyG7bPXnFogHk/edit?usp=shar"&amp;"ing"",""นครศรีธรรมราช!L719"")+IMPORTRANGE(""https://docs.google.com/spreadsheets/d/1iodCdmuK2GR3jzUwk8tpccY2JHQQA-87DLOtJP-ooyU/edit?usp=sharing"",""นราธิวาส!L719"")+IMPORTRANGE(""https://docs.google.com/spreadsheets/d/1SDNX3JhDdYRuIOsj0Wh2M-Qa_eaXl0NbWmh"&amp;"AOTbfQAs/edit?usp=sharing"",""ปัตตานี!L719"")+IMPORTRANGE(""https://docs.google.com/spreadsheets/d/16JDLGguT8s5DsGCND1KcwHP_AWR_zDMTqLHPLJUKhaU/edit?usp=sharing"",""พังงา!L719"")+IMPORTRANGE(""https://docs.google.com/spreadsheets/d/17ht0gPKzzT3PObBL1XJkeR"&amp;"mntBXI7wGjpLV7QorqlTk/edit?usp=sharing"",""พัทลุง!L719"")+IMPORTRANGE(""https://docs.google.com/spreadsheets/d/1rd4qoM1q_hsgaolqNGfrim9gbsoLxQsda4-vOz5x_BM/edit?usp=sharing"",""ภูเก็ต!L719"")+IMPORTRANGE(""https://docs.google.com/spreadsheets/d/1woKwKjgoL"&amp;"ssDvPcPeVyezB5izizAn4X1JDrys69n6xI/edit?usp=sharing"",""ยะลา!L719"")+IMPORTRANGE(""https://docs.google.com/spreadsheets/d/1qfrKjzMhm2HJfxQ-qVlJlJQ25Hne1d0khsySbZyGtPA/edit?usp=sharing"",""ระนอง!L719"")+IMPORTRANGE(""https://docs.google.com/spreadsheets/d/"&amp;"1IbSCnFOKpZsnFogBHJnL_isstZVaOMnFiIN0fGTPZZw/edit?usp=sharing"",""สงขลา!L719"")+IMPORTRANGE(""https://docs.google.com/spreadsheets/d/1q9nWasZJ-K8bFGvbE9n0qSRuKGA4Toe3Y89cKCiVtCU/edit?usp=sharing"",""สตูล!L719"")+IMPORTRANGE(""https://docs.google.com/sprea"&amp;"dsheets/d/18T20gbkS_WBjdscyTOV05cvq_JqvqQ17C81mpxf7Ncs/edit?usp=sharing"",""สุราษฎร์ธานี!L719"")"),0)</f>
        <v>0</v>
      </c>
      <c r="M719" s="47">
        <f ca="1">IFERROR(__xludf.DUMMYFUNCTION("IMPORTRANGE(""https://docs.google.com/spreadsheets/d/1kKUcYdkIfrgTSj8iHHHB2MD2FAtwyyocFgqGQn6ADyI/edit?usp=sharing"",""กระบี่!M719"")+IMPORTRANGE(""https://docs.google.com/spreadsheets/d/1GwtLaSlNZkLk7iDqcyZz22giiy40b_usZZBXYciEN1U/edit?usp=sharing"",""ชุ"&amp;"มพร!M719"")+IMPORTRANGE(""https://docs.google.com/spreadsheets/d/16pAz3pOhQEZBhvFNMa5KGgZS6iKWpsKX0pg6tQmwFpo/edit?usp=sharing"",""ตรัง!M719"")+IMPORTRANGE(""https://docs.google.com/spreadsheets/d/1Dj4jcHCTV9JXKCaMoheSXS52JE63kDKyG7bPXnFogHk/edit?usp=shar"&amp;"ing"",""นครศรีธรรมราช!M719"")+IMPORTRANGE(""https://docs.google.com/spreadsheets/d/1iodCdmuK2GR3jzUwk8tpccY2JHQQA-87DLOtJP-ooyU/edit?usp=sharing"",""นราธิวาส!M719"")+IMPORTRANGE(""https://docs.google.com/spreadsheets/d/1SDNX3JhDdYRuIOsj0Wh2M-Qa_eaXl0NbWmh"&amp;"AOTbfQAs/edit?usp=sharing"",""ปัตตานี!M719"")+IMPORTRANGE(""https://docs.google.com/spreadsheets/d/16JDLGguT8s5DsGCND1KcwHP_AWR_zDMTqLHPLJUKhaU/edit?usp=sharing"",""พังงา!M719"")+IMPORTRANGE(""https://docs.google.com/spreadsheets/d/17ht0gPKzzT3PObBL1XJkeR"&amp;"mntBXI7wGjpLV7QorqlTk/edit?usp=sharing"",""พัทลุง!M719"")+IMPORTRANGE(""https://docs.google.com/spreadsheets/d/1rd4qoM1q_hsgaolqNGfrim9gbsoLxQsda4-vOz5x_BM/edit?usp=sharing"",""ภูเก็ต!M719"")+IMPORTRANGE(""https://docs.google.com/spreadsheets/d/1woKwKjgoL"&amp;"ssDvPcPeVyezB5izizAn4X1JDrys69n6xI/edit?usp=sharing"",""ยะลา!M719"")+IMPORTRANGE(""https://docs.google.com/spreadsheets/d/1qfrKjzMhm2HJfxQ-qVlJlJQ25Hne1d0khsySbZyGtPA/edit?usp=sharing"",""ระนอง!M719"")+IMPORTRANGE(""https://docs.google.com/spreadsheets/d/"&amp;"1IbSCnFOKpZsnFogBHJnL_isstZVaOMnFiIN0fGTPZZw/edit?usp=sharing"",""สงขลา!M719"")+IMPORTRANGE(""https://docs.google.com/spreadsheets/d/1q9nWasZJ-K8bFGvbE9n0qSRuKGA4Toe3Y89cKCiVtCU/edit?usp=sharing"",""สตูล!M719"")+IMPORTRANGE(""https://docs.google.com/sprea"&amp;"dsheets/d/18T20gbkS_WBjdscyTOV05cvq_JqvqQ17C81mpxf7Ncs/edit?usp=sharing"",""สุราษฎร์ธานี!M719"")"),0)</f>
        <v>0</v>
      </c>
      <c r="N719" s="47">
        <f ca="1">IFERROR(__xludf.DUMMYFUNCTION("IMPORTRANGE(""https://docs.google.com/spreadsheets/d/1kKUcYdkIfrgTSj8iHHHB2MD2FAtwyyocFgqGQn6ADyI/edit?usp=sharing"",""กระบี่!N719"")+IMPORTRANGE(""https://docs.google.com/spreadsheets/d/1GwtLaSlNZkLk7iDqcyZz22giiy40b_usZZBXYciEN1U/edit?usp=sharing"",""ชุ"&amp;"มพร!N719"")+IMPORTRANGE(""https://docs.google.com/spreadsheets/d/16pAz3pOhQEZBhvFNMa5KGgZS6iKWpsKX0pg6tQmwFpo/edit?usp=sharing"",""ตรัง!N719"")+IMPORTRANGE(""https://docs.google.com/spreadsheets/d/1Dj4jcHCTV9JXKCaMoheSXS52JE63kDKyG7bPXnFogHk/edit?usp=shar"&amp;"ing"",""นครศรีธรรมราช!N719"")+IMPORTRANGE(""https://docs.google.com/spreadsheets/d/1iodCdmuK2GR3jzUwk8tpccY2JHQQA-87DLOtJP-ooyU/edit?usp=sharing"",""นราธิวาส!N719"")+IMPORTRANGE(""https://docs.google.com/spreadsheets/d/1SDNX3JhDdYRuIOsj0Wh2M-Qa_eaXl0NbWmh"&amp;"AOTbfQAs/edit?usp=sharing"",""ปัตตานี!N719"")+IMPORTRANGE(""https://docs.google.com/spreadsheets/d/16JDLGguT8s5DsGCND1KcwHP_AWR_zDMTqLHPLJUKhaU/edit?usp=sharing"",""พังงา!N719"")+IMPORTRANGE(""https://docs.google.com/spreadsheets/d/17ht0gPKzzT3PObBL1XJkeR"&amp;"mntBXI7wGjpLV7QorqlTk/edit?usp=sharing"",""พัทลุง!N719"")+IMPORTRANGE(""https://docs.google.com/spreadsheets/d/1rd4qoM1q_hsgaolqNGfrim9gbsoLxQsda4-vOz5x_BM/edit?usp=sharing"",""ภูเก็ต!N719"")+IMPORTRANGE(""https://docs.google.com/spreadsheets/d/1woKwKjgoL"&amp;"ssDvPcPeVyezB5izizAn4X1JDrys69n6xI/edit?usp=sharing"",""ยะลา!N719"")+IMPORTRANGE(""https://docs.google.com/spreadsheets/d/1qfrKjzMhm2HJfxQ-qVlJlJQ25Hne1d0khsySbZyGtPA/edit?usp=sharing"",""ระนอง!N719"")+IMPORTRANGE(""https://docs.google.com/spreadsheets/d/"&amp;"1IbSCnFOKpZsnFogBHJnL_isstZVaOMnFiIN0fGTPZZw/edit?usp=sharing"",""สงขลา!N719"")+IMPORTRANGE(""https://docs.google.com/spreadsheets/d/1q9nWasZJ-K8bFGvbE9n0qSRuKGA4Toe3Y89cKCiVtCU/edit?usp=sharing"",""สตูล!N719"")+IMPORTRANGE(""https://docs.google.com/sprea"&amp;"dsheets/d/18T20gbkS_WBjdscyTOV05cvq_JqvqQ17C81mpxf7Ncs/edit?usp=sharing"",""สุราษฎร์ธานี!N719"")"),0)</f>
        <v>0</v>
      </c>
      <c r="O719" s="47">
        <f t="shared" ca="1" si="490"/>
        <v>0</v>
      </c>
      <c r="P719" s="47">
        <f t="shared" ca="1" si="491"/>
        <v>0</v>
      </c>
      <c r="Q719" s="47">
        <f ca="1">IFERROR(__xludf.DUMMYFUNCTION("IMPORTRANGE(""https://docs.google.com/spreadsheets/d/1kKUcYdkIfrgTSj8iHHHB2MD2FAtwyyocFgqGQn6ADyI/edit?usp=sharing"",""กระบี่!Q719"")+IMPORTRANGE(""https://docs.google.com/spreadsheets/d/1GwtLaSlNZkLk7iDqcyZz22giiy40b_usZZBXYciEN1U/edit?usp=sharing"",""ชุ"&amp;"มพร!Q719"")+IMPORTRANGE(""https://docs.google.com/spreadsheets/d/16pAz3pOhQEZBhvFNMa5KGgZS6iKWpsKX0pg6tQmwFpo/edit?usp=sharing"",""ตรัง!Q719"")+IMPORTRANGE(""https://docs.google.com/spreadsheets/d/1Dj4jcHCTV9JXKCaMoheSXS52JE63kDKyG7bPXnFogHk/edit?usp=shar"&amp;"ing"",""นครศรีธรรมราช!Q719"")+IMPORTRANGE(""https://docs.google.com/spreadsheets/d/1iodCdmuK2GR3jzUwk8tpccY2JHQQA-87DLOtJP-ooyU/edit?usp=sharing"",""นราธิวาส!Q719"")+IMPORTRANGE(""https://docs.google.com/spreadsheets/d/1SDNX3JhDdYRuIOsj0Wh2M-Qa_eaXl0NbWmh"&amp;"AOTbfQAs/edit?usp=sharing"",""ปัตตานี!Q719"")+IMPORTRANGE(""https://docs.google.com/spreadsheets/d/16JDLGguT8s5DsGCND1KcwHP_AWR_zDMTqLHPLJUKhaU/edit?usp=sharing"",""พังงา!Q719"")+IMPORTRANGE(""https://docs.google.com/spreadsheets/d/17ht0gPKzzT3PObBL1XJkeR"&amp;"mntBXI7wGjpLV7QorqlTk/edit?usp=sharing"",""พัทลุง!Q719"")+IMPORTRANGE(""https://docs.google.com/spreadsheets/d/1rd4qoM1q_hsgaolqNGfrim9gbsoLxQsda4-vOz5x_BM/edit?usp=sharing"",""ภูเก็ต!Q719"")+IMPORTRANGE(""https://docs.google.com/spreadsheets/d/1woKwKjgoL"&amp;"ssDvPcPeVyezB5izizAn4X1JDrys69n6xI/edit?usp=sharing"",""ยะลา!Q719"")+IMPORTRANGE(""https://docs.google.com/spreadsheets/d/1qfrKjzMhm2HJfxQ-qVlJlJQ25Hne1d0khsySbZyGtPA/edit?usp=sharing"",""ระนอง!Q719"")+IMPORTRANGE(""https://docs.google.com/spreadsheets/d/"&amp;"1IbSCnFOKpZsnFogBHJnL_isstZVaOMnFiIN0fGTPZZw/edit?usp=sharing"",""สงขลา!Q719"")+IMPORTRANGE(""https://docs.google.com/spreadsheets/d/1q9nWasZJ-K8bFGvbE9n0qSRuKGA4Toe3Y89cKCiVtCU/edit?usp=sharing"",""สตูล!Q719"")+IMPORTRANGE(""https://docs.google.com/sprea"&amp;"dsheets/d/18T20gbkS_WBjdscyTOV05cvq_JqvqQ17C81mpxf7Ncs/edit?usp=sharing"",""สุราษฎร์ธานี!Q719"")"),0)</f>
        <v>0</v>
      </c>
      <c r="R719" s="47">
        <f ca="1">IFERROR(__xludf.DUMMYFUNCTION("IMPORTRANGE(""https://docs.google.com/spreadsheets/d/1kKUcYdkIfrgTSj8iHHHB2MD2FAtwyyocFgqGQn6ADyI/edit?usp=sharing"",""กระบี่!R719"")+IMPORTRANGE(""https://docs.google.com/spreadsheets/d/1GwtLaSlNZkLk7iDqcyZz22giiy40b_usZZBXYciEN1U/edit?usp=sharing"",""ชุ"&amp;"มพร!R719"")+IMPORTRANGE(""https://docs.google.com/spreadsheets/d/16pAz3pOhQEZBhvFNMa5KGgZS6iKWpsKX0pg6tQmwFpo/edit?usp=sharing"",""ตรัง!R719"")+IMPORTRANGE(""https://docs.google.com/spreadsheets/d/1Dj4jcHCTV9JXKCaMoheSXS52JE63kDKyG7bPXnFogHk/edit?usp=shar"&amp;"ing"",""นครศรีธรรมราช!R719"")+IMPORTRANGE(""https://docs.google.com/spreadsheets/d/1iodCdmuK2GR3jzUwk8tpccY2JHQQA-87DLOtJP-ooyU/edit?usp=sharing"",""นราธิวาส!R719"")+IMPORTRANGE(""https://docs.google.com/spreadsheets/d/1SDNX3JhDdYRuIOsj0Wh2M-Qa_eaXl0NbWmh"&amp;"AOTbfQAs/edit?usp=sharing"",""ปัตตานี!R719"")+IMPORTRANGE(""https://docs.google.com/spreadsheets/d/16JDLGguT8s5DsGCND1KcwHP_AWR_zDMTqLHPLJUKhaU/edit?usp=sharing"",""พังงา!R719"")+IMPORTRANGE(""https://docs.google.com/spreadsheets/d/17ht0gPKzzT3PObBL1XJkeR"&amp;"mntBXI7wGjpLV7QorqlTk/edit?usp=sharing"",""พัทลุง!R719"")+IMPORTRANGE(""https://docs.google.com/spreadsheets/d/1rd4qoM1q_hsgaolqNGfrim9gbsoLxQsda4-vOz5x_BM/edit?usp=sharing"",""ภูเก็ต!R719"")+IMPORTRANGE(""https://docs.google.com/spreadsheets/d/1woKwKjgoL"&amp;"ssDvPcPeVyezB5izizAn4X1JDrys69n6xI/edit?usp=sharing"",""ยะลา!R719"")+IMPORTRANGE(""https://docs.google.com/spreadsheets/d/1qfrKjzMhm2HJfxQ-qVlJlJQ25Hne1d0khsySbZyGtPA/edit?usp=sharing"",""ระนอง!R719"")+IMPORTRANGE(""https://docs.google.com/spreadsheets/d/"&amp;"1IbSCnFOKpZsnFogBHJnL_isstZVaOMnFiIN0fGTPZZw/edit?usp=sharing"",""สงขลา!R719"")+IMPORTRANGE(""https://docs.google.com/spreadsheets/d/1q9nWasZJ-K8bFGvbE9n0qSRuKGA4Toe3Y89cKCiVtCU/edit?usp=sharing"",""สตูล!R719"")+IMPORTRANGE(""https://docs.google.com/sprea"&amp;"dsheets/d/18T20gbkS_WBjdscyTOV05cvq_JqvqQ17C81mpxf7Ncs/edit?usp=sharing"",""สุราษฎร์ธานี!R719"")"),0)</f>
        <v>0</v>
      </c>
      <c r="S719" s="47">
        <f ca="1">IFERROR(__xludf.DUMMYFUNCTION("IMPORTRANGE(""https://docs.google.com/spreadsheets/d/1kKUcYdkIfrgTSj8iHHHB2MD2FAtwyyocFgqGQn6ADyI/edit?usp=sharing"",""กระบี่!S719"")+IMPORTRANGE(""https://docs.google.com/spreadsheets/d/1GwtLaSlNZkLk7iDqcyZz22giiy40b_usZZBXYciEN1U/edit?usp=sharing"",""ชุ"&amp;"มพร!S719"")+IMPORTRANGE(""https://docs.google.com/spreadsheets/d/16pAz3pOhQEZBhvFNMa5KGgZS6iKWpsKX0pg6tQmwFpo/edit?usp=sharing"",""ตรัง!S719"")+IMPORTRANGE(""https://docs.google.com/spreadsheets/d/1Dj4jcHCTV9JXKCaMoheSXS52JE63kDKyG7bPXnFogHk/edit?usp=shar"&amp;"ing"",""นครศรีธรรมราช!S719"")+IMPORTRANGE(""https://docs.google.com/spreadsheets/d/1iodCdmuK2GR3jzUwk8tpccY2JHQQA-87DLOtJP-ooyU/edit?usp=sharing"",""นราธิวาส!S719"")+IMPORTRANGE(""https://docs.google.com/spreadsheets/d/1SDNX3JhDdYRuIOsj0Wh2M-Qa_eaXl0NbWmh"&amp;"AOTbfQAs/edit?usp=sharing"",""ปัตตานี!S719"")+IMPORTRANGE(""https://docs.google.com/spreadsheets/d/16JDLGguT8s5DsGCND1KcwHP_AWR_zDMTqLHPLJUKhaU/edit?usp=sharing"",""พังงา!S719"")+IMPORTRANGE(""https://docs.google.com/spreadsheets/d/17ht0gPKzzT3PObBL1XJkeR"&amp;"mntBXI7wGjpLV7QorqlTk/edit?usp=sharing"",""พัทลุง!S719"")+IMPORTRANGE(""https://docs.google.com/spreadsheets/d/1rd4qoM1q_hsgaolqNGfrim9gbsoLxQsda4-vOz5x_BM/edit?usp=sharing"",""ภูเก็ต!S719"")+IMPORTRANGE(""https://docs.google.com/spreadsheets/d/1woKwKjgoL"&amp;"ssDvPcPeVyezB5izizAn4X1JDrys69n6xI/edit?usp=sharing"",""ยะลา!S719"")+IMPORTRANGE(""https://docs.google.com/spreadsheets/d/1qfrKjzMhm2HJfxQ-qVlJlJQ25Hne1d0khsySbZyGtPA/edit?usp=sharing"",""ระนอง!S719"")+IMPORTRANGE(""https://docs.google.com/spreadsheets/d/"&amp;"1IbSCnFOKpZsnFogBHJnL_isstZVaOMnFiIN0fGTPZZw/edit?usp=sharing"",""สงขลา!S719"")+IMPORTRANGE(""https://docs.google.com/spreadsheets/d/1q9nWasZJ-K8bFGvbE9n0qSRuKGA4Toe3Y89cKCiVtCU/edit?usp=sharing"",""สตูล!S719"")+IMPORTRANGE(""https://docs.google.com/sprea"&amp;"dsheets/d/18T20gbkS_WBjdscyTOV05cvq_JqvqQ17C81mpxf7Ncs/edit?usp=sharing"",""สุราษฎร์ธานี!S719"")"),0)</f>
        <v>0</v>
      </c>
      <c r="T719" s="47">
        <f t="shared" ca="1" si="493"/>
        <v>0</v>
      </c>
      <c r="U719" s="47">
        <f t="shared" ca="1" si="494"/>
        <v>0</v>
      </c>
    </row>
    <row r="720" spans="1:21" ht="19.5" hidden="1" x14ac:dyDescent="0.3">
      <c r="A720" s="128"/>
      <c r="B720" s="159"/>
      <c r="C720" s="159"/>
      <c r="D720" s="491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47">
        <f t="shared" ref="L720:N720" ca="1" si="501">L721+L722</f>
        <v>0</v>
      </c>
      <c r="M720" s="47">
        <f t="shared" ca="1" si="501"/>
        <v>0</v>
      </c>
      <c r="N720" s="47">
        <f t="shared" ca="1" si="501"/>
        <v>0</v>
      </c>
      <c r="O720" s="47">
        <f t="shared" ca="1" si="490"/>
        <v>0</v>
      </c>
      <c r="P720" s="47">
        <f t="shared" ca="1" si="491"/>
        <v>0</v>
      </c>
      <c r="Q720" s="47">
        <f t="shared" ref="Q720:S720" ca="1" si="502">Q721+Q722</f>
        <v>0</v>
      </c>
      <c r="R720" s="47">
        <f t="shared" ca="1" si="502"/>
        <v>0</v>
      </c>
      <c r="S720" s="47">
        <f t="shared" ca="1" si="502"/>
        <v>0</v>
      </c>
      <c r="T720" s="47">
        <f t="shared" ca="1" si="493"/>
        <v>0</v>
      </c>
      <c r="U720" s="47">
        <f t="shared" ca="1" si="494"/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9">
        <f ca="1">IFERROR(__xludf.DUMMYFUNCTION("IMPORTRANGE(""https://docs.google.com/spreadsheets/d/1kKUcYdkIfrgTSj8iHHHB2MD2FAtwyyocFgqGQn6ADyI/edit?usp=sharing"",""กระบี่!L721"")+IMPORTRANGE(""https://docs.google.com/spreadsheets/d/1GwtLaSlNZkLk7iDqcyZz22giiy40b_usZZBXYciEN1U/edit?usp=sharing"",""ชุ"&amp;"มพร!L721"")+IMPORTRANGE(""https://docs.google.com/spreadsheets/d/16pAz3pOhQEZBhvFNMa5KGgZS6iKWpsKX0pg6tQmwFpo/edit?usp=sharing"",""ตรัง!L721"")+IMPORTRANGE(""https://docs.google.com/spreadsheets/d/1Dj4jcHCTV9JXKCaMoheSXS52JE63kDKyG7bPXnFogHk/edit?usp=shar"&amp;"ing"",""นครศรีธรรมราช!L721"")+IMPORTRANGE(""https://docs.google.com/spreadsheets/d/1iodCdmuK2GR3jzUwk8tpccY2JHQQA-87DLOtJP-ooyU/edit?usp=sharing"",""นราธิวาส!L721"")+IMPORTRANGE(""https://docs.google.com/spreadsheets/d/1SDNX3JhDdYRuIOsj0Wh2M-Qa_eaXl0NbWmh"&amp;"AOTbfQAs/edit?usp=sharing"",""ปัตตานี!L721"")+IMPORTRANGE(""https://docs.google.com/spreadsheets/d/16JDLGguT8s5DsGCND1KcwHP_AWR_zDMTqLHPLJUKhaU/edit?usp=sharing"",""พังงา!L721"")+IMPORTRANGE(""https://docs.google.com/spreadsheets/d/17ht0gPKzzT3PObBL1XJkeR"&amp;"mntBXI7wGjpLV7QorqlTk/edit?usp=sharing"",""พัทลุง!L721"")+IMPORTRANGE(""https://docs.google.com/spreadsheets/d/1rd4qoM1q_hsgaolqNGfrim9gbsoLxQsda4-vOz5x_BM/edit?usp=sharing"",""ภูเก็ต!L721"")+IMPORTRANGE(""https://docs.google.com/spreadsheets/d/1woKwKjgoL"&amp;"ssDvPcPeVyezB5izizAn4X1JDrys69n6xI/edit?usp=sharing"",""ยะลา!L721"")+IMPORTRANGE(""https://docs.google.com/spreadsheets/d/1qfrKjzMhm2HJfxQ-qVlJlJQ25Hne1d0khsySbZyGtPA/edit?usp=sharing"",""ระนอง!L721"")+IMPORTRANGE(""https://docs.google.com/spreadsheets/d/"&amp;"1IbSCnFOKpZsnFogBHJnL_isstZVaOMnFiIN0fGTPZZw/edit?usp=sharing"",""สงขลา!L721"")+IMPORTRANGE(""https://docs.google.com/spreadsheets/d/1q9nWasZJ-K8bFGvbE9n0qSRuKGA4Toe3Y89cKCiVtCU/edit?usp=sharing"",""สตูล!L721"")+IMPORTRANGE(""https://docs.google.com/sprea"&amp;"dsheets/d/18T20gbkS_WBjdscyTOV05cvq_JqvqQ17C81mpxf7Ncs/edit?usp=sharing"",""สุราษฎร์ธานี!L721"")"),0)</f>
        <v>0</v>
      </c>
      <c r="M721" s="49">
        <f ca="1">IFERROR(__xludf.DUMMYFUNCTION("IMPORTRANGE(""https://docs.google.com/spreadsheets/d/1kKUcYdkIfrgTSj8iHHHB2MD2FAtwyyocFgqGQn6ADyI/edit?usp=sharing"",""กระบี่!M721"")+IMPORTRANGE(""https://docs.google.com/spreadsheets/d/1GwtLaSlNZkLk7iDqcyZz22giiy40b_usZZBXYciEN1U/edit?usp=sharing"",""ชุ"&amp;"มพร!M721"")+IMPORTRANGE(""https://docs.google.com/spreadsheets/d/16pAz3pOhQEZBhvFNMa5KGgZS6iKWpsKX0pg6tQmwFpo/edit?usp=sharing"",""ตรัง!M721"")+IMPORTRANGE(""https://docs.google.com/spreadsheets/d/1Dj4jcHCTV9JXKCaMoheSXS52JE63kDKyG7bPXnFogHk/edit?usp=shar"&amp;"ing"",""นครศรีธรรมราช!M721"")+IMPORTRANGE(""https://docs.google.com/spreadsheets/d/1iodCdmuK2GR3jzUwk8tpccY2JHQQA-87DLOtJP-ooyU/edit?usp=sharing"",""นราธิวาส!M721"")+IMPORTRANGE(""https://docs.google.com/spreadsheets/d/1SDNX3JhDdYRuIOsj0Wh2M-Qa_eaXl0NbWmh"&amp;"AOTbfQAs/edit?usp=sharing"",""ปัตตานี!M721"")+IMPORTRANGE(""https://docs.google.com/spreadsheets/d/16JDLGguT8s5DsGCND1KcwHP_AWR_zDMTqLHPLJUKhaU/edit?usp=sharing"",""พังงา!M721"")+IMPORTRANGE(""https://docs.google.com/spreadsheets/d/17ht0gPKzzT3PObBL1XJkeR"&amp;"mntBXI7wGjpLV7QorqlTk/edit?usp=sharing"",""พัทลุง!M721"")+IMPORTRANGE(""https://docs.google.com/spreadsheets/d/1rd4qoM1q_hsgaolqNGfrim9gbsoLxQsda4-vOz5x_BM/edit?usp=sharing"",""ภูเก็ต!M721"")+IMPORTRANGE(""https://docs.google.com/spreadsheets/d/1woKwKjgoL"&amp;"ssDvPcPeVyezB5izizAn4X1JDrys69n6xI/edit?usp=sharing"",""ยะลา!M721"")+IMPORTRANGE(""https://docs.google.com/spreadsheets/d/1qfrKjzMhm2HJfxQ-qVlJlJQ25Hne1d0khsySbZyGtPA/edit?usp=sharing"",""ระนอง!M721"")+IMPORTRANGE(""https://docs.google.com/spreadsheets/d/"&amp;"1IbSCnFOKpZsnFogBHJnL_isstZVaOMnFiIN0fGTPZZw/edit?usp=sharing"",""สงขลา!M721"")+IMPORTRANGE(""https://docs.google.com/spreadsheets/d/1q9nWasZJ-K8bFGvbE9n0qSRuKGA4Toe3Y89cKCiVtCU/edit?usp=sharing"",""สตูล!M721"")+IMPORTRANGE(""https://docs.google.com/sprea"&amp;"dsheets/d/18T20gbkS_WBjdscyTOV05cvq_JqvqQ17C81mpxf7Ncs/edit?usp=sharing"",""สุราษฎร์ธานี!M721"")"),0)</f>
        <v>0</v>
      </c>
      <c r="N721" s="49">
        <f ca="1">IFERROR(__xludf.DUMMYFUNCTION("IMPORTRANGE(""https://docs.google.com/spreadsheets/d/1kKUcYdkIfrgTSj8iHHHB2MD2FAtwyyocFgqGQn6ADyI/edit?usp=sharing"",""กระบี่!N721"")+IMPORTRANGE(""https://docs.google.com/spreadsheets/d/1GwtLaSlNZkLk7iDqcyZz22giiy40b_usZZBXYciEN1U/edit?usp=sharing"",""ชุ"&amp;"มพร!N721"")+IMPORTRANGE(""https://docs.google.com/spreadsheets/d/16pAz3pOhQEZBhvFNMa5KGgZS6iKWpsKX0pg6tQmwFpo/edit?usp=sharing"",""ตรัง!N721"")+IMPORTRANGE(""https://docs.google.com/spreadsheets/d/1Dj4jcHCTV9JXKCaMoheSXS52JE63kDKyG7bPXnFogHk/edit?usp=shar"&amp;"ing"",""นครศรีธรรมราช!N721"")+IMPORTRANGE(""https://docs.google.com/spreadsheets/d/1iodCdmuK2GR3jzUwk8tpccY2JHQQA-87DLOtJP-ooyU/edit?usp=sharing"",""นราธิวาส!N721"")+IMPORTRANGE(""https://docs.google.com/spreadsheets/d/1SDNX3JhDdYRuIOsj0Wh2M-Qa_eaXl0NbWmh"&amp;"AOTbfQAs/edit?usp=sharing"",""ปัตตานี!N721"")+IMPORTRANGE(""https://docs.google.com/spreadsheets/d/16JDLGguT8s5DsGCND1KcwHP_AWR_zDMTqLHPLJUKhaU/edit?usp=sharing"",""พังงา!N721"")+IMPORTRANGE(""https://docs.google.com/spreadsheets/d/17ht0gPKzzT3PObBL1XJkeR"&amp;"mntBXI7wGjpLV7QorqlTk/edit?usp=sharing"",""พัทลุง!N721"")+IMPORTRANGE(""https://docs.google.com/spreadsheets/d/1rd4qoM1q_hsgaolqNGfrim9gbsoLxQsda4-vOz5x_BM/edit?usp=sharing"",""ภูเก็ต!N721"")+IMPORTRANGE(""https://docs.google.com/spreadsheets/d/1woKwKjgoL"&amp;"ssDvPcPeVyezB5izizAn4X1JDrys69n6xI/edit?usp=sharing"",""ยะลา!N721"")+IMPORTRANGE(""https://docs.google.com/spreadsheets/d/1qfrKjzMhm2HJfxQ-qVlJlJQ25Hne1d0khsySbZyGtPA/edit?usp=sharing"",""ระนอง!N721"")+IMPORTRANGE(""https://docs.google.com/spreadsheets/d/"&amp;"1IbSCnFOKpZsnFogBHJnL_isstZVaOMnFiIN0fGTPZZw/edit?usp=sharing"",""สงขลา!N721"")+IMPORTRANGE(""https://docs.google.com/spreadsheets/d/1q9nWasZJ-K8bFGvbE9n0qSRuKGA4Toe3Y89cKCiVtCU/edit?usp=sharing"",""สตูล!N721"")+IMPORTRANGE(""https://docs.google.com/sprea"&amp;"dsheets/d/18T20gbkS_WBjdscyTOV05cvq_JqvqQ17C81mpxf7Ncs/edit?usp=sharing"",""สุราษฎร์ธานี!N721"")"),0)</f>
        <v>0</v>
      </c>
      <c r="O721" s="49">
        <f t="shared" ca="1" si="490"/>
        <v>0</v>
      </c>
      <c r="P721" s="49">
        <f t="shared" ca="1" si="491"/>
        <v>0</v>
      </c>
      <c r="Q721" s="49">
        <f ca="1">IFERROR(__xludf.DUMMYFUNCTION("IMPORTRANGE(""https://docs.google.com/spreadsheets/d/1kKUcYdkIfrgTSj8iHHHB2MD2FAtwyyocFgqGQn6ADyI/edit?usp=sharing"",""กระบี่!Q721"")+IMPORTRANGE(""https://docs.google.com/spreadsheets/d/1GwtLaSlNZkLk7iDqcyZz22giiy40b_usZZBXYciEN1U/edit?usp=sharing"",""ชุ"&amp;"มพร!Q721"")+IMPORTRANGE(""https://docs.google.com/spreadsheets/d/16pAz3pOhQEZBhvFNMa5KGgZS6iKWpsKX0pg6tQmwFpo/edit?usp=sharing"",""ตรัง!Q721"")+IMPORTRANGE(""https://docs.google.com/spreadsheets/d/1Dj4jcHCTV9JXKCaMoheSXS52JE63kDKyG7bPXnFogHk/edit?usp=shar"&amp;"ing"",""นครศรีธรรมราช!Q721"")+IMPORTRANGE(""https://docs.google.com/spreadsheets/d/1iodCdmuK2GR3jzUwk8tpccY2JHQQA-87DLOtJP-ooyU/edit?usp=sharing"",""นราธิวาส!Q721"")+IMPORTRANGE(""https://docs.google.com/spreadsheets/d/1SDNX3JhDdYRuIOsj0Wh2M-Qa_eaXl0NbWmh"&amp;"AOTbfQAs/edit?usp=sharing"",""ปัตตานี!Q721"")+IMPORTRANGE(""https://docs.google.com/spreadsheets/d/16JDLGguT8s5DsGCND1KcwHP_AWR_zDMTqLHPLJUKhaU/edit?usp=sharing"",""พังงา!Q721"")+IMPORTRANGE(""https://docs.google.com/spreadsheets/d/17ht0gPKzzT3PObBL1XJkeR"&amp;"mntBXI7wGjpLV7QorqlTk/edit?usp=sharing"",""พัทลุง!Q721"")+IMPORTRANGE(""https://docs.google.com/spreadsheets/d/1rd4qoM1q_hsgaolqNGfrim9gbsoLxQsda4-vOz5x_BM/edit?usp=sharing"",""ภูเก็ต!Q721"")+IMPORTRANGE(""https://docs.google.com/spreadsheets/d/1woKwKjgoL"&amp;"ssDvPcPeVyezB5izizAn4X1JDrys69n6xI/edit?usp=sharing"",""ยะลา!Q721"")+IMPORTRANGE(""https://docs.google.com/spreadsheets/d/1qfrKjzMhm2HJfxQ-qVlJlJQ25Hne1d0khsySbZyGtPA/edit?usp=sharing"",""ระนอง!Q721"")+IMPORTRANGE(""https://docs.google.com/spreadsheets/d/"&amp;"1IbSCnFOKpZsnFogBHJnL_isstZVaOMnFiIN0fGTPZZw/edit?usp=sharing"",""สงขลา!Q721"")+IMPORTRANGE(""https://docs.google.com/spreadsheets/d/1q9nWasZJ-K8bFGvbE9n0qSRuKGA4Toe3Y89cKCiVtCU/edit?usp=sharing"",""สตูล!Q721"")+IMPORTRANGE(""https://docs.google.com/sprea"&amp;"dsheets/d/18T20gbkS_WBjdscyTOV05cvq_JqvqQ17C81mpxf7Ncs/edit?usp=sharing"",""สุราษฎร์ธานี!Q721"")"),0)</f>
        <v>0</v>
      </c>
      <c r="R721" s="49">
        <f ca="1">IFERROR(__xludf.DUMMYFUNCTION("IMPORTRANGE(""https://docs.google.com/spreadsheets/d/1kKUcYdkIfrgTSj8iHHHB2MD2FAtwyyocFgqGQn6ADyI/edit?usp=sharing"",""กระบี่!R721"")+IMPORTRANGE(""https://docs.google.com/spreadsheets/d/1GwtLaSlNZkLk7iDqcyZz22giiy40b_usZZBXYciEN1U/edit?usp=sharing"",""ชุ"&amp;"มพร!R721"")+IMPORTRANGE(""https://docs.google.com/spreadsheets/d/16pAz3pOhQEZBhvFNMa5KGgZS6iKWpsKX0pg6tQmwFpo/edit?usp=sharing"",""ตรัง!R721"")+IMPORTRANGE(""https://docs.google.com/spreadsheets/d/1Dj4jcHCTV9JXKCaMoheSXS52JE63kDKyG7bPXnFogHk/edit?usp=shar"&amp;"ing"",""นครศรีธรรมราช!R721"")+IMPORTRANGE(""https://docs.google.com/spreadsheets/d/1iodCdmuK2GR3jzUwk8tpccY2JHQQA-87DLOtJP-ooyU/edit?usp=sharing"",""นราธิวาส!R721"")+IMPORTRANGE(""https://docs.google.com/spreadsheets/d/1SDNX3JhDdYRuIOsj0Wh2M-Qa_eaXl0NbWmh"&amp;"AOTbfQAs/edit?usp=sharing"",""ปัตตานี!R721"")+IMPORTRANGE(""https://docs.google.com/spreadsheets/d/16JDLGguT8s5DsGCND1KcwHP_AWR_zDMTqLHPLJUKhaU/edit?usp=sharing"",""พังงา!R721"")+IMPORTRANGE(""https://docs.google.com/spreadsheets/d/17ht0gPKzzT3PObBL1XJkeR"&amp;"mntBXI7wGjpLV7QorqlTk/edit?usp=sharing"",""พัทลุง!R721"")+IMPORTRANGE(""https://docs.google.com/spreadsheets/d/1rd4qoM1q_hsgaolqNGfrim9gbsoLxQsda4-vOz5x_BM/edit?usp=sharing"",""ภูเก็ต!R721"")+IMPORTRANGE(""https://docs.google.com/spreadsheets/d/1woKwKjgoL"&amp;"ssDvPcPeVyezB5izizAn4X1JDrys69n6xI/edit?usp=sharing"",""ยะลา!R721"")+IMPORTRANGE(""https://docs.google.com/spreadsheets/d/1qfrKjzMhm2HJfxQ-qVlJlJQ25Hne1d0khsySbZyGtPA/edit?usp=sharing"",""ระนอง!R721"")+IMPORTRANGE(""https://docs.google.com/spreadsheets/d/"&amp;"1IbSCnFOKpZsnFogBHJnL_isstZVaOMnFiIN0fGTPZZw/edit?usp=sharing"",""สงขลา!R721"")+IMPORTRANGE(""https://docs.google.com/spreadsheets/d/1q9nWasZJ-K8bFGvbE9n0qSRuKGA4Toe3Y89cKCiVtCU/edit?usp=sharing"",""สตูล!R721"")+IMPORTRANGE(""https://docs.google.com/sprea"&amp;"dsheets/d/18T20gbkS_WBjdscyTOV05cvq_JqvqQ17C81mpxf7Ncs/edit?usp=sharing"",""สุราษฎร์ธานี!R721"")"),0)</f>
        <v>0</v>
      </c>
      <c r="S721" s="49">
        <f ca="1">IFERROR(__xludf.DUMMYFUNCTION("IMPORTRANGE(""https://docs.google.com/spreadsheets/d/1kKUcYdkIfrgTSj8iHHHB2MD2FAtwyyocFgqGQn6ADyI/edit?usp=sharing"",""กระบี่!S721"")+IMPORTRANGE(""https://docs.google.com/spreadsheets/d/1GwtLaSlNZkLk7iDqcyZz22giiy40b_usZZBXYciEN1U/edit?usp=sharing"",""ชุ"&amp;"มพร!S721"")+IMPORTRANGE(""https://docs.google.com/spreadsheets/d/16pAz3pOhQEZBhvFNMa5KGgZS6iKWpsKX0pg6tQmwFpo/edit?usp=sharing"",""ตรัง!S721"")+IMPORTRANGE(""https://docs.google.com/spreadsheets/d/1Dj4jcHCTV9JXKCaMoheSXS52JE63kDKyG7bPXnFogHk/edit?usp=shar"&amp;"ing"",""นครศรีธรรมราช!S721"")+IMPORTRANGE(""https://docs.google.com/spreadsheets/d/1iodCdmuK2GR3jzUwk8tpccY2JHQQA-87DLOtJP-ooyU/edit?usp=sharing"",""นราธิวาส!S721"")+IMPORTRANGE(""https://docs.google.com/spreadsheets/d/1SDNX3JhDdYRuIOsj0Wh2M-Qa_eaXl0NbWmh"&amp;"AOTbfQAs/edit?usp=sharing"",""ปัตตานี!S721"")+IMPORTRANGE(""https://docs.google.com/spreadsheets/d/16JDLGguT8s5DsGCND1KcwHP_AWR_zDMTqLHPLJUKhaU/edit?usp=sharing"",""พังงา!S721"")+IMPORTRANGE(""https://docs.google.com/spreadsheets/d/17ht0gPKzzT3PObBL1XJkeR"&amp;"mntBXI7wGjpLV7QorqlTk/edit?usp=sharing"",""พัทลุง!S721"")+IMPORTRANGE(""https://docs.google.com/spreadsheets/d/1rd4qoM1q_hsgaolqNGfrim9gbsoLxQsda4-vOz5x_BM/edit?usp=sharing"",""ภูเก็ต!S721"")+IMPORTRANGE(""https://docs.google.com/spreadsheets/d/1woKwKjgoL"&amp;"ssDvPcPeVyezB5izizAn4X1JDrys69n6xI/edit?usp=sharing"",""ยะลา!S721"")+IMPORTRANGE(""https://docs.google.com/spreadsheets/d/1qfrKjzMhm2HJfxQ-qVlJlJQ25Hne1d0khsySbZyGtPA/edit?usp=sharing"",""ระนอง!S721"")+IMPORTRANGE(""https://docs.google.com/spreadsheets/d/"&amp;"1IbSCnFOKpZsnFogBHJnL_isstZVaOMnFiIN0fGTPZZw/edit?usp=sharing"",""สงขลา!S721"")+IMPORTRANGE(""https://docs.google.com/spreadsheets/d/1q9nWasZJ-K8bFGvbE9n0qSRuKGA4Toe3Y89cKCiVtCU/edit?usp=sharing"",""สตูล!S721"")+IMPORTRANGE(""https://docs.google.com/sprea"&amp;"dsheets/d/18T20gbkS_WBjdscyTOV05cvq_JqvqQ17C81mpxf7Ncs/edit?usp=sharing"",""สุราษฎร์ธานี!S721"")"),0)</f>
        <v>0</v>
      </c>
      <c r="T721" s="49">
        <f t="shared" ca="1" si="493"/>
        <v>0</v>
      </c>
      <c r="U721" s="49">
        <f t="shared" ca="1" si="494"/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47">
        <f ca="1">IFERROR(__xludf.DUMMYFUNCTION("IMPORTRANGE(""https://docs.google.com/spreadsheets/d/1kKUcYdkIfrgTSj8iHHHB2MD2FAtwyyocFgqGQn6ADyI/edit?usp=sharing"",""กระบี่!L722"")+IMPORTRANGE(""https://docs.google.com/spreadsheets/d/1GwtLaSlNZkLk7iDqcyZz22giiy40b_usZZBXYciEN1U/edit?usp=sharing"",""ชุ"&amp;"มพร!L722"")+IMPORTRANGE(""https://docs.google.com/spreadsheets/d/16pAz3pOhQEZBhvFNMa5KGgZS6iKWpsKX0pg6tQmwFpo/edit?usp=sharing"",""ตรัง!L722"")+IMPORTRANGE(""https://docs.google.com/spreadsheets/d/1Dj4jcHCTV9JXKCaMoheSXS52JE63kDKyG7bPXnFogHk/edit?usp=shar"&amp;"ing"",""นครศรีธรรมราช!L722"")+IMPORTRANGE(""https://docs.google.com/spreadsheets/d/1iodCdmuK2GR3jzUwk8tpccY2JHQQA-87DLOtJP-ooyU/edit?usp=sharing"",""นราธิวาส!L722"")+IMPORTRANGE(""https://docs.google.com/spreadsheets/d/1SDNX3JhDdYRuIOsj0Wh2M-Qa_eaXl0NbWmh"&amp;"AOTbfQAs/edit?usp=sharing"",""ปัตตานี!L722"")+IMPORTRANGE(""https://docs.google.com/spreadsheets/d/16JDLGguT8s5DsGCND1KcwHP_AWR_zDMTqLHPLJUKhaU/edit?usp=sharing"",""พังงา!L722"")+IMPORTRANGE(""https://docs.google.com/spreadsheets/d/17ht0gPKzzT3PObBL1XJkeR"&amp;"mntBXI7wGjpLV7QorqlTk/edit?usp=sharing"",""พัทลุง!L722"")+IMPORTRANGE(""https://docs.google.com/spreadsheets/d/1rd4qoM1q_hsgaolqNGfrim9gbsoLxQsda4-vOz5x_BM/edit?usp=sharing"",""ภูเก็ต!L722"")+IMPORTRANGE(""https://docs.google.com/spreadsheets/d/1woKwKjgoL"&amp;"ssDvPcPeVyezB5izizAn4X1JDrys69n6xI/edit?usp=sharing"",""ยะลา!L722"")+IMPORTRANGE(""https://docs.google.com/spreadsheets/d/1qfrKjzMhm2HJfxQ-qVlJlJQ25Hne1d0khsySbZyGtPA/edit?usp=sharing"",""ระนอง!L722"")+IMPORTRANGE(""https://docs.google.com/spreadsheets/d/"&amp;"1IbSCnFOKpZsnFogBHJnL_isstZVaOMnFiIN0fGTPZZw/edit?usp=sharing"",""สงขลา!L722"")+IMPORTRANGE(""https://docs.google.com/spreadsheets/d/1q9nWasZJ-K8bFGvbE9n0qSRuKGA4Toe3Y89cKCiVtCU/edit?usp=sharing"",""สตูล!L722"")+IMPORTRANGE(""https://docs.google.com/sprea"&amp;"dsheets/d/18T20gbkS_WBjdscyTOV05cvq_JqvqQ17C81mpxf7Ncs/edit?usp=sharing"",""สุราษฎร์ธานี!L722"")"),0)</f>
        <v>0</v>
      </c>
      <c r="M722" s="47">
        <f ca="1">IFERROR(__xludf.DUMMYFUNCTION("IMPORTRANGE(""https://docs.google.com/spreadsheets/d/1kKUcYdkIfrgTSj8iHHHB2MD2FAtwyyocFgqGQn6ADyI/edit?usp=sharing"",""กระบี่!M722"")+IMPORTRANGE(""https://docs.google.com/spreadsheets/d/1GwtLaSlNZkLk7iDqcyZz22giiy40b_usZZBXYciEN1U/edit?usp=sharing"",""ชุ"&amp;"มพร!M722"")+IMPORTRANGE(""https://docs.google.com/spreadsheets/d/16pAz3pOhQEZBhvFNMa5KGgZS6iKWpsKX0pg6tQmwFpo/edit?usp=sharing"",""ตรัง!M722"")+IMPORTRANGE(""https://docs.google.com/spreadsheets/d/1Dj4jcHCTV9JXKCaMoheSXS52JE63kDKyG7bPXnFogHk/edit?usp=shar"&amp;"ing"",""นครศรีธรรมราช!M722"")+IMPORTRANGE(""https://docs.google.com/spreadsheets/d/1iodCdmuK2GR3jzUwk8tpccY2JHQQA-87DLOtJP-ooyU/edit?usp=sharing"",""นราธิวาส!M722"")+IMPORTRANGE(""https://docs.google.com/spreadsheets/d/1SDNX3JhDdYRuIOsj0Wh2M-Qa_eaXl0NbWmh"&amp;"AOTbfQAs/edit?usp=sharing"",""ปัตตานี!M722"")+IMPORTRANGE(""https://docs.google.com/spreadsheets/d/16JDLGguT8s5DsGCND1KcwHP_AWR_zDMTqLHPLJUKhaU/edit?usp=sharing"",""พังงา!M722"")+IMPORTRANGE(""https://docs.google.com/spreadsheets/d/17ht0gPKzzT3PObBL1XJkeR"&amp;"mntBXI7wGjpLV7QorqlTk/edit?usp=sharing"",""พัทลุง!M722"")+IMPORTRANGE(""https://docs.google.com/spreadsheets/d/1rd4qoM1q_hsgaolqNGfrim9gbsoLxQsda4-vOz5x_BM/edit?usp=sharing"",""ภูเก็ต!M722"")+IMPORTRANGE(""https://docs.google.com/spreadsheets/d/1woKwKjgoL"&amp;"ssDvPcPeVyezB5izizAn4X1JDrys69n6xI/edit?usp=sharing"",""ยะลา!M722"")+IMPORTRANGE(""https://docs.google.com/spreadsheets/d/1qfrKjzMhm2HJfxQ-qVlJlJQ25Hne1d0khsySbZyGtPA/edit?usp=sharing"",""ระนอง!M722"")+IMPORTRANGE(""https://docs.google.com/spreadsheets/d/"&amp;"1IbSCnFOKpZsnFogBHJnL_isstZVaOMnFiIN0fGTPZZw/edit?usp=sharing"",""สงขลา!M722"")+IMPORTRANGE(""https://docs.google.com/spreadsheets/d/1q9nWasZJ-K8bFGvbE9n0qSRuKGA4Toe3Y89cKCiVtCU/edit?usp=sharing"",""สตูล!M722"")+IMPORTRANGE(""https://docs.google.com/sprea"&amp;"dsheets/d/18T20gbkS_WBjdscyTOV05cvq_JqvqQ17C81mpxf7Ncs/edit?usp=sharing"",""สุราษฎร์ธานี!M722"")"),0)</f>
        <v>0</v>
      </c>
      <c r="N722" s="47">
        <f ca="1">IFERROR(__xludf.DUMMYFUNCTION("IMPORTRANGE(""https://docs.google.com/spreadsheets/d/1kKUcYdkIfrgTSj8iHHHB2MD2FAtwyyocFgqGQn6ADyI/edit?usp=sharing"",""กระบี่!N722"")+IMPORTRANGE(""https://docs.google.com/spreadsheets/d/1GwtLaSlNZkLk7iDqcyZz22giiy40b_usZZBXYciEN1U/edit?usp=sharing"",""ชุ"&amp;"มพร!N722"")+IMPORTRANGE(""https://docs.google.com/spreadsheets/d/16pAz3pOhQEZBhvFNMa5KGgZS6iKWpsKX0pg6tQmwFpo/edit?usp=sharing"",""ตรัง!N722"")+IMPORTRANGE(""https://docs.google.com/spreadsheets/d/1Dj4jcHCTV9JXKCaMoheSXS52JE63kDKyG7bPXnFogHk/edit?usp=shar"&amp;"ing"",""นครศรีธรรมราช!N722"")+IMPORTRANGE(""https://docs.google.com/spreadsheets/d/1iodCdmuK2GR3jzUwk8tpccY2JHQQA-87DLOtJP-ooyU/edit?usp=sharing"",""นราธิวาส!N722"")+IMPORTRANGE(""https://docs.google.com/spreadsheets/d/1SDNX3JhDdYRuIOsj0Wh2M-Qa_eaXl0NbWmh"&amp;"AOTbfQAs/edit?usp=sharing"",""ปัตตานี!N722"")+IMPORTRANGE(""https://docs.google.com/spreadsheets/d/16JDLGguT8s5DsGCND1KcwHP_AWR_zDMTqLHPLJUKhaU/edit?usp=sharing"",""พังงา!N722"")+IMPORTRANGE(""https://docs.google.com/spreadsheets/d/17ht0gPKzzT3PObBL1XJkeR"&amp;"mntBXI7wGjpLV7QorqlTk/edit?usp=sharing"",""พัทลุง!N722"")+IMPORTRANGE(""https://docs.google.com/spreadsheets/d/1rd4qoM1q_hsgaolqNGfrim9gbsoLxQsda4-vOz5x_BM/edit?usp=sharing"",""ภูเก็ต!N722"")+IMPORTRANGE(""https://docs.google.com/spreadsheets/d/1woKwKjgoL"&amp;"ssDvPcPeVyezB5izizAn4X1JDrys69n6xI/edit?usp=sharing"",""ยะลา!N722"")+IMPORTRANGE(""https://docs.google.com/spreadsheets/d/1qfrKjzMhm2HJfxQ-qVlJlJQ25Hne1d0khsySbZyGtPA/edit?usp=sharing"",""ระนอง!N722"")+IMPORTRANGE(""https://docs.google.com/spreadsheets/d/"&amp;"1IbSCnFOKpZsnFogBHJnL_isstZVaOMnFiIN0fGTPZZw/edit?usp=sharing"",""สงขลา!N722"")+IMPORTRANGE(""https://docs.google.com/spreadsheets/d/1q9nWasZJ-K8bFGvbE9n0qSRuKGA4Toe3Y89cKCiVtCU/edit?usp=sharing"",""สตูล!N722"")+IMPORTRANGE(""https://docs.google.com/sprea"&amp;"dsheets/d/18T20gbkS_WBjdscyTOV05cvq_JqvqQ17C81mpxf7Ncs/edit?usp=sharing"",""สุราษฎร์ธานี!N722"")"),0)</f>
        <v>0</v>
      </c>
      <c r="O722" s="47">
        <f t="shared" ca="1" si="490"/>
        <v>0</v>
      </c>
      <c r="P722" s="47">
        <f t="shared" ca="1" si="491"/>
        <v>0</v>
      </c>
      <c r="Q722" s="47">
        <f ca="1">IFERROR(__xludf.DUMMYFUNCTION("IMPORTRANGE(""https://docs.google.com/spreadsheets/d/1kKUcYdkIfrgTSj8iHHHB2MD2FAtwyyocFgqGQn6ADyI/edit?usp=sharing"",""กระบี่!Q722"")+IMPORTRANGE(""https://docs.google.com/spreadsheets/d/1GwtLaSlNZkLk7iDqcyZz22giiy40b_usZZBXYciEN1U/edit?usp=sharing"",""ชุ"&amp;"มพร!Q722"")+IMPORTRANGE(""https://docs.google.com/spreadsheets/d/16pAz3pOhQEZBhvFNMa5KGgZS6iKWpsKX0pg6tQmwFpo/edit?usp=sharing"",""ตรัง!Q722"")+IMPORTRANGE(""https://docs.google.com/spreadsheets/d/1Dj4jcHCTV9JXKCaMoheSXS52JE63kDKyG7bPXnFogHk/edit?usp=shar"&amp;"ing"",""นครศรีธรรมราช!Q722"")+IMPORTRANGE(""https://docs.google.com/spreadsheets/d/1iodCdmuK2GR3jzUwk8tpccY2JHQQA-87DLOtJP-ooyU/edit?usp=sharing"",""นราธิวาส!Q722"")+IMPORTRANGE(""https://docs.google.com/spreadsheets/d/1SDNX3JhDdYRuIOsj0Wh2M-Qa_eaXl0NbWmh"&amp;"AOTbfQAs/edit?usp=sharing"",""ปัตตานี!Q722"")+IMPORTRANGE(""https://docs.google.com/spreadsheets/d/16JDLGguT8s5DsGCND1KcwHP_AWR_zDMTqLHPLJUKhaU/edit?usp=sharing"",""พังงา!Q722"")+IMPORTRANGE(""https://docs.google.com/spreadsheets/d/17ht0gPKzzT3PObBL1XJkeR"&amp;"mntBXI7wGjpLV7QorqlTk/edit?usp=sharing"",""พัทลุง!Q722"")+IMPORTRANGE(""https://docs.google.com/spreadsheets/d/1rd4qoM1q_hsgaolqNGfrim9gbsoLxQsda4-vOz5x_BM/edit?usp=sharing"",""ภูเก็ต!Q722"")+IMPORTRANGE(""https://docs.google.com/spreadsheets/d/1woKwKjgoL"&amp;"ssDvPcPeVyezB5izizAn4X1JDrys69n6xI/edit?usp=sharing"",""ยะลา!Q722"")+IMPORTRANGE(""https://docs.google.com/spreadsheets/d/1qfrKjzMhm2HJfxQ-qVlJlJQ25Hne1d0khsySbZyGtPA/edit?usp=sharing"",""ระนอง!Q722"")+IMPORTRANGE(""https://docs.google.com/spreadsheets/d/"&amp;"1IbSCnFOKpZsnFogBHJnL_isstZVaOMnFiIN0fGTPZZw/edit?usp=sharing"",""สงขลา!Q722"")+IMPORTRANGE(""https://docs.google.com/spreadsheets/d/1q9nWasZJ-K8bFGvbE9n0qSRuKGA4Toe3Y89cKCiVtCU/edit?usp=sharing"",""สตูล!Q722"")+IMPORTRANGE(""https://docs.google.com/sprea"&amp;"dsheets/d/18T20gbkS_WBjdscyTOV05cvq_JqvqQ17C81mpxf7Ncs/edit?usp=sharing"",""สุราษฎร์ธานี!Q722"")"),0)</f>
        <v>0</v>
      </c>
      <c r="R722" s="47">
        <f ca="1">IFERROR(__xludf.DUMMYFUNCTION("IMPORTRANGE(""https://docs.google.com/spreadsheets/d/1kKUcYdkIfrgTSj8iHHHB2MD2FAtwyyocFgqGQn6ADyI/edit?usp=sharing"",""กระบี่!R722"")+IMPORTRANGE(""https://docs.google.com/spreadsheets/d/1GwtLaSlNZkLk7iDqcyZz22giiy40b_usZZBXYciEN1U/edit?usp=sharing"",""ชุ"&amp;"มพร!R722"")+IMPORTRANGE(""https://docs.google.com/spreadsheets/d/16pAz3pOhQEZBhvFNMa5KGgZS6iKWpsKX0pg6tQmwFpo/edit?usp=sharing"",""ตรัง!R722"")+IMPORTRANGE(""https://docs.google.com/spreadsheets/d/1Dj4jcHCTV9JXKCaMoheSXS52JE63kDKyG7bPXnFogHk/edit?usp=shar"&amp;"ing"",""นครศรีธรรมราช!R722"")+IMPORTRANGE(""https://docs.google.com/spreadsheets/d/1iodCdmuK2GR3jzUwk8tpccY2JHQQA-87DLOtJP-ooyU/edit?usp=sharing"",""นราธิวาส!R722"")+IMPORTRANGE(""https://docs.google.com/spreadsheets/d/1SDNX3JhDdYRuIOsj0Wh2M-Qa_eaXl0NbWmh"&amp;"AOTbfQAs/edit?usp=sharing"",""ปัตตานี!R722"")+IMPORTRANGE(""https://docs.google.com/spreadsheets/d/16JDLGguT8s5DsGCND1KcwHP_AWR_zDMTqLHPLJUKhaU/edit?usp=sharing"",""พังงา!R722"")+IMPORTRANGE(""https://docs.google.com/spreadsheets/d/17ht0gPKzzT3PObBL1XJkeR"&amp;"mntBXI7wGjpLV7QorqlTk/edit?usp=sharing"",""พัทลุง!R722"")+IMPORTRANGE(""https://docs.google.com/spreadsheets/d/1rd4qoM1q_hsgaolqNGfrim9gbsoLxQsda4-vOz5x_BM/edit?usp=sharing"",""ภูเก็ต!R722"")+IMPORTRANGE(""https://docs.google.com/spreadsheets/d/1woKwKjgoL"&amp;"ssDvPcPeVyezB5izizAn4X1JDrys69n6xI/edit?usp=sharing"",""ยะลา!R722"")+IMPORTRANGE(""https://docs.google.com/spreadsheets/d/1qfrKjzMhm2HJfxQ-qVlJlJQ25Hne1d0khsySbZyGtPA/edit?usp=sharing"",""ระนอง!R722"")+IMPORTRANGE(""https://docs.google.com/spreadsheets/d/"&amp;"1IbSCnFOKpZsnFogBHJnL_isstZVaOMnFiIN0fGTPZZw/edit?usp=sharing"",""สงขลา!R722"")+IMPORTRANGE(""https://docs.google.com/spreadsheets/d/1q9nWasZJ-K8bFGvbE9n0qSRuKGA4Toe3Y89cKCiVtCU/edit?usp=sharing"",""สตูล!R722"")+IMPORTRANGE(""https://docs.google.com/sprea"&amp;"dsheets/d/18T20gbkS_WBjdscyTOV05cvq_JqvqQ17C81mpxf7Ncs/edit?usp=sharing"",""สุราษฎร์ธานี!R722"")"),0)</f>
        <v>0</v>
      </c>
      <c r="S722" s="47">
        <f ca="1">IFERROR(__xludf.DUMMYFUNCTION("IMPORTRANGE(""https://docs.google.com/spreadsheets/d/1kKUcYdkIfrgTSj8iHHHB2MD2FAtwyyocFgqGQn6ADyI/edit?usp=sharing"",""กระบี่!S722"")+IMPORTRANGE(""https://docs.google.com/spreadsheets/d/1GwtLaSlNZkLk7iDqcyZz22giiy40b_usZZBXYciEN1U/edit?usp=sharing"",""ชุ"&amp;"มพร!S722"")+IMPORTRANGE(""https://docs.google.com/spreadsheets/d/16pAz3pOhQEZBhvFNMa5KGgZS6iKWpsKX0pg6tQmwFpo/edit?usp=sharing"",""ตรัง!S722"")+IMPORTRANGE(""https://docs.google.com/spreadsheets/d/1Dj4jcHCTV9JXKCaMoheSXS52JE63kDKyG7bPXnFogHk/edit?usp=shar"&amp;"ing"",""นครศรีธรรมราช!S722"")+IMPORTRANGE(""https://docs.google.com/spreadsheets/d/1iodCdmuK2GR3jzUwk8tpccY2JHQQA-87DLOtJP-ooyU/edit?usp=sharing"",""นราธิวาส!S722"")+IMPORTRANGE(""https://docs.google.com/spreadsheets/d/1SDNX3JhDdYRuIOsj0Wh2M-Qa_eaXl0NbWmh"&amp;"AOTbfQAs/edit?usp=sharing"",""ปัตตานี!S722"")+IMPORTRANGE(""https://docs.google.com/spreadsheets/d/16JDLGguT8s5DsGCND1KcwHP_AWR_zDMTqLHPLJUKhaU/edit?usp=sharing"",""พังงา!S722"")+IMPORTRANGE(""https://docs.google.com/spreadsheets/d/17ht0gPKzzT3PObBL1XJkeR"&amp;"mntBXI7wGjpLV7QorqlTk/edit?usp=sharing"",""พัทลุง!S722"")+IMPORTRANGE(""https://docs.google.com/spreadsheets/d/1rd4qoM1q_hsgaolqNGfrim9gbsoLxQsda4-vOz5x_BM/edit?usp=sharing"",""ภูเก็ต!S722"")+IMPORTRANGE(""https://docs.google.com/spreadsheets/d/1woKwKjgoL"&amp;"ssDvPcPeVyezB5izizAn4X1JDrys69n6xI/edit?usp=sharing"",""ยะลา!S722"")+IMPORTRANGE(""https://docs.google.com/spreadsheets/d/1qfrKjzMhm2HJfxQ-qVlJlJQ25Hne1d0khsySbZyGtPA/edit?usp=sharing"",""ระนอง!S722"")+IMPORTRANGE(""https://docs.google.com/spreadsheets/d/"&amp;"1IbSCnFOKpZsnFogBHJnL_isstZVaOMnFiIN0fGTPZZw/edit?usp=sharing"",""สงขลา!S722"")+IMPORTRANGE(""https://docs.google.com/spreadsheets/d/1q9nWasZJ-K8bFGvbE9n0qSRuKGA4Toe3Y89cKCiVtCU/edit?usp=sharing"",""สตูล!S722"")+IMPORTRANGE(""https://docs.google.com/sprea"&amp;"dsheets/d/18T20gbkS_WBjdscyTOV05cvq_JqvqQ17C81mpxf7Ncs/edit?usp=sharing"",""สุราษฎร์ธานี!S722"")"),0)</f>
        <v>0</v>
      </c>
      <c r="T722" s="47">
        <f t="shared" ca="1" si="493"/>
        <v>0</v>
      </c>
      <c r="U722" s="47">
        <f t="shared" ca="1" si="494"/>
        <v>0</v>
      </c>
    </row>
    <row r="723" spans="1:21" ht="19.5" hidden="1" x14ac:dyDescent="0.3">
      <c r="A723" s="138"/>
      <c r="B723" s="139"/>
      <c r="C723" s="345" t="s">
        <v>18</v>
      </c>
      <c r="D723" s="494" t="s">
        <v>38</v>
      </c>
      <c r="E723" s="141"/>
      <c r="F723" s="141"/>
      <c r="G723" s="142"/>
      <c r="H723" s="189"/>
      <c r="I723" s="135"/>
      <c r="J723" s="135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56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kKUcYdkIfrgTSj8iHHHB2MD2FAtwyyocFgqGQn6ADyI/edit?usp=sharing"",""กระบี่!I726"")+IMPORTRANGE(""https://docs.google.com/spreadsheets/d/1GwtLaSlNZkLk7iDqcyZz22giiy40b_usZZBXYciEN1U/edit?usp=sharing"",""ชุ"&amp;"มพร!I726"")+IMPORTRANGE(""https://docs.google.com/spreadsheets/d/16pAz3pOhQEZBhvFNMa5KGgZS6iKWpsKX0pg6tQmwFpo/edit?usp=sharing"",""ตรัง!I726"")+IMPORTRANGE(""https://docs.google.com/spreadsheets/d/1Dj4jcHCTV9JXKCaMoheSXS52JE63kDKyG7bPXnFogHk/edit?usp=shar"&amp;"ing"",""นครศรีธรรมราช!I726"")+IMPORTRANGE(""https://docs.google.com/spreadsheets/d/1iodCdmuK2GR3jzUwk8tpccY2JHQQA-87DLOtJP-ooyU/edit?usp=sharing"",""นราธิวาส!I726"")+IMPORTRANGE(""https://docs.google.com/spreadsheets/d/1SDNX3JhDdYRuIOsj0Wh2M-Qa_eaXl0NbWmh"&amp;"AOTbfQAs/edit?usp=sharing"",""ปัตตานี!I726"")+IMPORTRANGE(""https://docs.google.com/spreadsheets/d/16JDLGguT8s5DsGCND1KcwHP_AWR_zDMTqLHPLJUKhaU/edit?usp=sharing"",""พังงา!I726"")+IMPORTRANGE(""https://docs.google.com/spreadsheets/d/17ht0gPKzzT3PObBL1XJkeR"&amp;"mntBXI7wGjpLV7QorqlTk/edit?usp=sharing"",""พัทลุง!I726"")+IMPORTRANGE(""https://docs.google.com/spreadsheets/d/1rd4qoM1q_hsgaolqNGfrim9gbsoLxQsda4-vOz5x_BM/edit?usp=sharing"",""ภูเก็ต!I726"")+IMPORTRANGE(""https://docs.google.com/spreadsheets/d/1woKwKjgoL"&amp;"ssDvPcPeVyezB5izizAn4X1JDrys69n6xI/edit?usp=sharing"",""ยะลา!I726"")+IMPORTRANGE(""https://docs.google.com/spreadsheets/d/1qfrKjzMhm2HJfxQ-qVlJlJQ25Hne1d0khsySbZyGtPA/edit?usp=sharing"",""ระนอง!I726"")+IMPORTRANGE(""https://docs.google.com/spreadsheets/d/"&amp;"1IbSCnFOKpZsnFogBHJnL_isstZVaOMnFiIN0fGTPZZw/edit?usp=sharing"",""สงขลา!I726"")+IMPORTRANGE(""https://docs.google.com/spreadsheets/d/1q9nWasZJ-K8bFGvbE9n0qSRuKGA4Toe3Y89cKCiVtCU/edit?usp=sharing"",""สตูล!I726"")+IMPORTRANGE(""https://docs.google.com/sprea"&amp;"dsheets/d/18T20gbkS_WBjdscyTOV05cvq_JqvqQ17C81mpxf7Ncs/edit?usp=sharing"",""สุราษฎร์ธานี!I726"")"),284)</f>
        <v>284</v>
      </c>
      <c r="J726" s="483">
        <f ca="1">J742+J746+J749</f>
        <v>177</v>
      </c>
      <c r="K726" s="484">
        <f t="shared" ref="K726:K727" ca="1" si="503">IF(I726&gt;0,J726*100/I726,0)</f>
        <v>62.323943661971832</v>
      </c>
      <c r="L726" s="46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kKUcYdkIfrgTSj8iHHHB2MD2FAtwyyocFgqGQn6ADyI/edit?usp=sharing"",""กระบี่!I727"")+IMPORTRANGE(""https://docs.google.com/spreadsheets/d/1GwtLaSlNZkLk7iDqcyZz22giiy40b_usZZBXYciEN1U/edit?usp=sharing"",""ชุ"&amp;"มพร!I727"")+IMPORTRANGE(""https://docs.google.com/spreadsheets/d/16pAz3pOhQEZBhvFNMa5KGgZS6iKWpsKX0pg6tQmwFpo/edit?usp=sharing"",""ตรัง!I727"")+IMPORTRANGE(""https://docs.google.com/spreadsheets/d/1Dj4jcHCTV9JXKCaMoheSXS52JE63kDKyG7bPXnFogHk/edit?usp=shar"&amp;"ing"",""นครศรีธรรมราช!I727"")+IMPORTRANGE(""https://docs.google.com/spreadsheets/d/1iodCdmuK2GR3jzUwk8tpccY2JHQQA-87DLOtJP-ooyU/edit?usp=sharing"",""นราธิวาส!I727"")+IMPORTRANGE(""https://docs.google.com/spreadsheets/d/1SDNX3JhDdYRuIOsj0Wh2M-Qa_eaXl0NbWmh"&amp;"AOTbfQAs/edit?usp=sharing"",""ปัตตานี!I727"")+IMPORTRANGE(""https://docs.google.com/spreadsheets/d/16JDLGguT8s5DsGCND1KcwHP_AWR_zDMTqLHPLJUKhaU/edit?usp=sharing"",""พังงา!I727"")+IMPORTRANGE(""https://docs.google.com/spreadsheets/d/17ht0gPKzzT3PObBL1XJkeR"&amp;"mntBXI7wGjpLV7QorqlTk/edit?usp=sharing"",""พัทลุง!I727"")+IMPORTRANGE(""https://docs.google.com/spreadsheets/d/1rd4qoM1q_hsgaolqNGfrim9gbsoLxQsda4-vOz5x_BM/edit?usp=sharing"",""ภูเก็ต!I727"")+IMPORTRANGE(""https://docs.google.com/spreadsheets/d/1woKwKjgoL"&amp;"ssDvPcPeVyezB5izizAn4X1JDrys69n6xI/edit?usp=sharing"",""ยะลา!I727"")+IMPORTRANGE(""https://docs.google.com/spreadsheets/d/1qfrKjzMhm2HJfxQ-qVlJlJQ25Hne1d0khsySbZyGtPA/edit?usp=sharing"",""ระนอง!I727"")+IMPORTRANGE(""https://docs.google.com/spreadsheets/d/"&amp;"1IbSCnFOKpZsnFogBHJnL_isstZVaOMnFiIN0fGTPZZw/edit?usp=sharing"",""สงขลา!I727"")+IMPORTRANGE(""https://docs.google.com/spreadsheets/d/1q9nWasZJ-K8bFGvbE9n0qSRuKGA4Toe3Y89cKCiVtCU/edit?usp=sharing"",""สตูล!I727"")+IMPORTRANGE(""https://docs.google.com/sprea"&amp;"dsheets/d/18T20gbkS_WBjdscyTOV05cvq_JqvqQ17C81mpxf7Ncs/edit?usp=sharing"",""สุราษฎร์ธานี!I727"")"),2700)</f>
        <v>2700</v>
      </c>
      <c r="J727" s="483">
        <f ca="1">J752+J755</f>
        <v>0</v>
      </c>
      <c r="K727" s="484">
        <f t="shared" ca="1" si="503"/>
        <v>0</v>
      </c>
      <c r="L727" s="46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188" t="s">
        <v>18</v>
      </c>
      <c r="D728" s="532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132">
        <f t="shared" ref="L728:N728" ca="1" si="504">L729+L730</f>
        <v>0</v>
      </c>
      <c r="M728" s="132">
        <f t="shared" ca="1" si="504"/>
        <v>0</v>
      </c>
      <c r="N728" s="132">
        <f t="shared" ca="1" si="504"/>
        <v>0</v>
      </c>
      <c r="O728" s="132">
        <f t="shared" ref="O728:O736" ca="1" si="505">IF(L728&gt;0,N728*100/L728,0)</f>
        <v>0</v>
      </c>
      <c r="P728" s="132">
        <f t="shared" ref="P728:P736" ca="1" si="506">IF(M728&gt;0,N728*100/M728,0)</f>
        <v>0</v>
      </c>
      <c r="Q728" s="132">
        <f t="shared" ref="Q728:S728" ca="1" si="507">Q729+Q730</f>
        <v>2422324</v>
      </c>
      <c r="R728" s="132">
        <f t="shared" ca="1" si="507"/>
        <v>2479224</v>
      </c>
      <c r="S728" s="132">
        <f t="shared" ca="1" si="507"/>
        <v>425754.61</v>
      </c>
      <c r="T728" s="132">
        <f t="shared" ref="T728:T736" ca="1" si="508">IF(Q728&gt;0,S728*100/Q728,0)</f>
        <v>17.576286656945975</v>
      </c>
      <c r="U728" s="132">
        <f t="shared" ref="U728:U736" ca="1" si="509">IF(R728&gt;0,S728*100/R728,0)</f>
        <v>17.172898051971099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9">
        <f t="shared" ref="L729:N729" ca="1" si="510">L732+L735</f>
        <v>0</v>
      </c>
      <c r="M729" s="49">
        <f t="shared" ca="1" si="510"/>
        <v>0</v>
      </c>
      <c r="N729" s="49">
        <f t="shared" ca="1" si="510"/>
        <v>0</v>
      </c>
      <c r="O729" s="49">
        <f t="shared" ca="1" si="505"/>
        <v>0</v>
      </c>
      <c r="P729" s="49">
        <f t="shared" ca="1" si="506"/>
        <v>0</v>
      </c>
      <c r="Q729" s="49">
        <f t="shared" ref="Q729:S729" ca="1" si="511">Q732+Q735</f>
        <v>0</v>
      </c>
      <c r="R729" s="49">
        <f t="shared" ca="1" si="511"/>
        <v>0</v>
      </c>
      <c r="S729" s="49">
        <f t="shared" ca="1" si="511"/>
        <v>0</v>
      </c>
      <c r="T729" s="49">
        <f t="shared" ca="1" si="508"/>
        <v>0</v>
      </c>
      <c r="U729" s="49">
        <f t="shared" ca="1" si="509"/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7">
        <f t="shared" ref="L730:N730" ca="1" si="512">L733+L736</f>
        <v>0</v>
      </c>
      <c r="M730" s="47">
        <f t="shared" ca="1" si="512"/>
        <v>0</v>
      </c>
      <c r="N730" s="47">
        <f t="shared" ca="1" si="512"/>
        <v>0</v>
      </c>
      <c r="O730" s="47">
        <f t="shared" ca="1" si="505"/>
        <v>0</v>
      </c>
      <c r="P730" s="47">
        <f t="shared" ca="1" si="506"/>
        <v>0</v>
      </c>
      <c r="Q730" s="47">
        <f t="shared" ref="Q730:S730" ca="1" si="513">Q733+Q736</f>
        <v>2422324</v>
      </c>
      <c r="R730" s="47">
        <f t="shared" ca="1" si="513"/>
        <v>2479224</v>
      </c>
      <c r="S730" s="47">
        <f t="shared" ca="1" si="513"/>
        <v>425754.61</v>
      </c>
      <c r="T730" s="47">
        <f t="shared" ca="1" si="508"/>
        <v>17.576286656945975</v>
      </c>
      <c r="U730" s="47">
        <f t="shared" ca="1" si="509"/>
        <v>17.172898051971099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7">
        <f t="shared" ref="L731:N731" ca="1" si="514">L732+L733</f>
        <v>0</v>
      </c>
      <c r="M731" s="47">
        <f t="shared" ca="1" si="514"/>
        <v>0</v>
      </c>
      <c r="N731" s="47">
        <f t="shared" ca="1" si="514"/>
        <v>0</v>
      </c>
      <c r="O731" s="47">
        <f t="shared" ca="1" si="505"/>
        <v>0</v>
      </c>
      <c r="P731" s="47">
        <f t="shared" ca="1" si="506"/>
        <v>0</v>
      </c>
      <c r="Q731" s="47">
        <f t="shared" ref="Q731:S731" ca="1" si="515">Q732+Q733</f>
        <v>2422324</v>
      </c>
      <c r="R731" s="47">
        <f t="shared" ca="1" si="515"/>
        <v>2479224</v>
      </c>
      <c r="S731" s="47">
        <f t="shared" ca="1" si="515"/>
        <v>425754.61</v>
      </c>
      <c r="T731" s="47">
        <f t="shared" ca="1" si="508"/>
        <v>17.576286656945975</v>
      </c>
      <c r="U731" s="47">
        <f t="shared" ca="1" si="509"/>
        <v>17.172898051971099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9">
        <f ca="1">IFERROR(__xludf.DUMMYFUNCTION("IMPORTRANGE(""https://docs.google.com/spreadsheets/d/1kKUcYdkIfrgTSj8iHHHB2MD2FAtwyyocFgqGQn6ADyI/edit?usp=sharing"",""กระบี่!L732"")+IMPORTRANGE(""https://docs.google.com/spreadsheets/d/1GwtLaSlNZkLk7iDqcyZz22giiy40b_usZZBXYciEN1U/edit?usp=sharing"",""ชุ"&amp;"มพร!L732"")+IMPORTRANGE(""https://docs.google.com/spreadsheets/d/16pAz3pOhQEZBhvFNMa5KGgZS6iKWpsKX0pg6tQmwFpo/edit?usp=sharing"",""ตรัง!L732"")+IMPORTRANGE(""https://docs.google.com/spreadsheets/d/1Dj4jcHCTV9JXKCaMoheSXS52JE63kDKyG7bPXnFogHk/edit?usp=shar"&amp;"ing"",""นครศรีธรรมราช!L732"")+IMPORTRANGE(""https://docs.google.com/spreadsheets/d/1iodCdmuK2GR3jzUwk8tpccY2JHQQA-87DLOtJP-ooyU/edit?usp=sharing"",""นราธิวาส!L732"")+IMPORTRANGE(""https://docs.google.com/spreadsheets/d/1SDNX3JhDdYRuIOsj0Wh2M-Qa_eaXl0NbWmh"&amp;"AOTbfQAs/edit?usp=sharing"",""ปัตตานี!L732"")+IMPORTRANGE(""https://docs.google.com/spreadsheets/d/16JDLGguT8s5DsGCND1KcwHP_AWR_zDMTqLHPLJUKhaU/edit?usp=sharing"",""พังงา!L732"")+IMPORTRANGE(""https://docs.google.com/spreadsheets/d/17ht0gPKzzT3PObBL1XJkeR"&amp;"mntBXI7wGjpLV7QorqlTk/edit?usp=sharing"",""พัทลุง!L732"")+IMPORTRANGE(""https://docs.google.com/spreadsheets/d/1rd4qoM1q_hsgaolqNGfrim9gbsoLxQsda4-vOz5x_BM/edit?usp=sharing"",""ภูเก็ต!L732"")+IMPORTRANGE(""https://docs.google.com/spreadsheets/d/1woKwKjgoL"&amp;"ssDvPcPeVyezB5izizAn4X1JDrys69n6xI/edit?usp=sharing"",""ยะลา!L732"")+IMPORTRANGE(""https://docs.google.com/spreadsheets/d/1qfrKjzMhm2HJfxQ-qVlJlJQ25Hne1d0khsySbZyGtPA/edit?usp=sharing"",""ระนอง!L732"")+IMPORTRANGE(""https://docs.google.com/spreadsheets/d/"&amp;"1IbSCnFOKpZsnFogBHJnL_isstZVaOMnFiIN0fGTPZZw/edit?usp=sharing"",""สงขลา!L732"")+IMPORTRANGE(""https://docs.google.com/spreadsheets/d/1q9nWasZJ-K8bFGvbE9n0qSRuKGA4Toe3Y89cKCiVtCU/edit?usp=sharing"",""สตูล!L732"")+IMPORTRANGE(""https://docs.google.com/sprea"&amp;"dsheets/d/18T20gbkS_WBjdscyTOV05cvq_JqvqQ17C81mpxf7Ncs/edit?usp=sharing"",""สุราษฎร์ธานี!L732"")"),0)</f>
        <v>0</v>
      </c>
      <c r="M732" s="49">
        <f ca="1">IFERROR(__xludf.DUMMYFUNCTION("IMPORTRANGE(""https://docs.google.com/spreadsheets/d/1kKUcYdkIfrgTSj8iHHHB2MD2FAtwyyocFgqGQn6ADyI/edit?usp=sharing"",""กระบี่!M732"")+IMPORTRANGE(""https://docs.google.com/spreadsheets/d/1GwtLaSlNZkLk7iDqcyZz22giiy40b_usZZBXYciEN1U/edit?usp=sharing"",""ชุ"&amp;"มพร!M732"")+IMPORTRANGE(""https://docs.google.com/spreadsheets/d/16pAz3pOhQEZBhvFNMa5KGgZS6iKWpsKX0pg6tQmwFpo/edit?usp=sharing"",""ตรัง!M732"")+IMPORTRANGE(""https://docs.google.com/spreadsheets/d/1Dj4jcHCTV9JXKCaMoheSXS52JE63kDKyG7bPXnFogHk/edit?usp=shar"&amp;"ing"",""นครศรีธรรมราช!M732"")+IMPORTRANGE(""https://docs.google.com/spreadsheets/d/1iodCdmuK2GR3jzUwk8tpccY2JHQQA-87DLOtJP-ooyU/edit?usp=sharing"",""นราธิวาส!M732"")+IMPORTRANGE(""https://docs.google.com/spreadsheets/d/1SDNX3JhDdYRuIOsj0Wh2M-Qa_eaXl0NbWmh"&amp;"AOTbfQAs/edit?usp=sharing"",""ปัตตานี!M732"")+IMPORTRANGE(""https://docs.google.com/spreadsheets/d/16JDLGguT8s5DsGCND1KcwHP_AWR_zDMTqLHPLJUKhaU/edit?usp=sharing"",""พังงา!M732"")+IMPORTRANGE(""https://docs.google.com/spreadsheets/d/17ht0gPKzzT3PObBL1XJkeR"&amp;"mntBXI7wGjpLV7QorqlTk/edit?usp=sharing"",""พัทลุง!M732"")+IMPORTRANGE(""https://docs.google.com/spreadsheets/d/1rd4qoM1q_hsgaolqNGfrim9gbsoLxQsda4-vOz5x_BM/edit?usp=sharing"",""ภูเก็ต!M732"")+IMPORTRANGE(""https://docs.google.com/spreadsheets/d/1woKwKjgoL"&amp;"ssDvPcPeVyezB5izizAn4X1JDrys69n6xI/edit?usp=sharing"",""ยะลา!M732"")+IMPORTRANGE(""https://docs.google.com/spreadsheets/d/1qfrKjzMhm2HJfxQ-qVlJlJQ25Hne1d0khsySbZyGtPA/edit?usp=sharing"",""ระนอง!M732"")+IMPORTRANGE(""https://docs.google.com/spreadsheets/d/"&amp;"1IbSCnFOKpZsnFogBHJnL_isstZVaOMnFiIN0fGTPZZw/edit?usp=sharing"",""สงขลา!M732"")+IMPORTRANGE(""https://docs.google.com/spreadsheets/d/1q9nWasZJ-K8bFGvbE9n0qSRuKGA4Toe3Y89cKCiVtCU/edit?usp=sharing"",""สตูล!M732"")+IMPORTRANGE(""https://docs.google.com/sprea"&amp;"dsheets/d/18T20gbkS_WBjdscyTOV05cvq_JqvqQ17C81mpxf7Ncs/edit?usp=sharing"",""สุราษฎร์ธานี!M732"")"),0)</f>
        <v>0</v>
      </c>
      <c r="N732" s="49">
        <f ca="1">IFERROR(__xludf.DUMMYFUNCTION("IMPORTRANGE(""https://docs.google.com/spreadsheets/d/1kKUcYdkIfrgTSj8iHHHB2MD2FAtwyyocFgqGQn6ADyI/edit?usp=sharing"",""กระบี่!N732"")+IMPORTRANGE(""https://docs.google.com/spreadsheets/d/1GwtLaSlNZkLk7iDqcyZz22giiy40b_usZZBXYciEN1U/edit?usp=sharing"",""ชุ"&amp;"มพร!N732"")+IMPORTRANGE(""https://docs.google.com/spreadsheets/d/16pAz3pOhQEZBhvFNMa5KGgZS6iKWpsKX0pg6tQmwFpo/edit?usp=sharing"",""ตรัง!N732"")+IMPORTRANGE(""https://docs.google.com/spreadsheets/d/1Dj4jcHCTV9JXKCaMoheSXS52JE63kDKyG7bPXnFogHk/edit?usp=shar"&amp;"ing"",""นครศรีธรรมราช!N732"")+IMPORTRANGE(""https://docs.google.com/spreadsheets/d/1iodCdmuK2GR3jzUwk8tpccY2JHQQA-87DLOtJP-ooyU/edit?usp=sharing"",""นราธิวาส!N732"")+IMPORTRANGE(""https://docs.google.com/spreadsheets/d/1SDNX3JhDdYRuIOsj0Wh2M-Qa_eaXl0NbWmh"&amp;"AOTbfQAs/edit?usp=sharing"",""ปัตตานี!N732"")+IMPORTRANGE(""https://docs.google.com/spreadsheets/d/16JDLGguT8s5DsGCND1KcwHP_AWR_zDMTqLHPLJUKhaU/edit?usp=sharing"",""พังงา!N732"")+IMPORTRANGE(""https://docs.google.com/spreadsheets/d/17ht0gPKzzT3PObBL1XJkeR"&amp;"mntBXI7wGjpLV7QorqlTk/edit?usp=sharing"",""พัทลุง!N732"")+IMPORTRANGE(""https://docs.google.com/spreadsheets/d/1rd4qoM1q_hsgaolqNGfrim9gbsoLxQsda4-vOz5x_BM/edit?usp=sharing"",""ภูเก็ต!N732"")+IMPORTRANGE(""https://docs.google.com/spreadsheets/d/1woKwKjgoL"&amp;"ssDvPcPeVyezB5izizAn4X1JDrys69n6xI/edit?usp=sharing"",""ยะลา!N732"")+IMPORTRANGE(""https://docs.google.com/spreadsheets/d/1qfrKjzMhm2HJfxQ-qVlJlJQ25Hne1d0khsySbZyGtPA/edit?usp=sharing"",""ระนอง!N732"")+IMPORTRANGE(""https://docs.google.com/spreadsheets/d/"&amp;"1IbSCnFOKpZsnFogBHJnL_isstZVaOMnFiIN0fGTPZZw/edit?usp=sharing"",""สงขลา!N732"")+IMPORTRANGE(""https://docs.google.com/spreadsheets/d/1q9nWasZJ-K8bFGvbE9n0qSRuKGA4Toe3Y89cKCiVtCU/edit?usp=sharing"",""สตูล!N732"")+IMPORTRANGE(""https://docs.google.com/sprea"&amp;"dsheets/d/18T20gbkS_WBjdscyTOV05cvq_JqvqQ17C81mpxf7Ncs/edit?usp=sharing"",""สุราษฎร์ธานี!N732"")"),0)</f>
        <v>0</v>
      </c>
      <c r="O732" s="49">
        <f t="shared" ca="1" si="505"/>
        <v>0</v>
      </c>
      <c r="P732" s="49">
        <f t="shared" ca="1" si="506"/>
        <v>0</v>
      </c>
      <c r="Q732" s="49">
        <f ca="1">IFERROR(__xludf.DUMMYFUNCTION("IMPORTRANGE(""https://docs.google.com/spreadsheets/d/1kKUcYdkIfrgTSj8iHHHB2MD2FAtwyyocFgqGQn6ADyI/edit?usp=sharing"",""กระบี่!Q732"")+IMPORTRANGE(""https://docs.google.com/spreadsheets/d/1GwtLaSlNZkLk7iDqcyZz22giiy40b_usZZBXYciEN1U/edit?usp=sharing"",""ชุ"&amp;"มพร!Q732"")+IMPORTRANGE(""https://docs.google.com/spreadsheets/d/16pAz3pOhQEZBhvFNMa5KGgZS6iKWpsKX0pg6tQmwFpo/edit?usp=sharing"",""ตรัง!Q732"")+IMPORTRANGE(""https://docs.google.com/spreadsheets/d/1Dj4jcHCTV9JXKCaMoheSXS52JE63kDKyG7bPXnFogHk/edit?usp=shar"&amp;"ing"",""นครศรีธรรมราช!Q732"")+IMPORTRANGE(""https://docs.google.com/spreadsheets/d/1iodCdmuK2GR3jzUwk8tpccY2JHQQA-87DLOtJP-ooyU/edit?usp=sharing"",""นราธิวาส!Q732"")+IMPORTRANGE(""https://docs.google.com/spreadsheets/d/1SDNX3JhDdYRuIOsj0Wh2M-Qa_eaXl0NbWmh"&amp;"AOTbfQAs/edit?usp=sharing"",""ปัตตานี!Q732"")+IMPORTRANGE(""https://docs.google.com/spreadsheets/d/16JDLGguT8s5DsGCND1KcwHP_AWR_zDMTqLHPLJUKhaU/edit?usp=sharing"",""พังงา!Q732"")+IMPORTRANGE(""https://docs.google.com/spreadsheets/d/17ht0gPKzzT3PObBL1XJkeR"&amp;"mntBXI7wGjpLV7QorqlTk/edit?usp=sharing"",""พัทลุง!Q732"")+IMPORTRANGE(""https://docs.google.com/spreadsheets/d/1rd4qoM1q_hsgaolqNGfrim9gbsoLxQsda4-vOz5x_BM/edit?usp=sharing"",""ภูเก็ต!Q732"")+IMPORTRANGE(""https://docs.google.com/spreadsheets/d/1woKwKjgoL"&amp;"ssDvPcPeVyezB5izizAn4X1JDrys69n6xI/edit?usp=sharing"",""ยะลา!Q732"")+IMPORTRANGE(""https://docs.google.com/spreadsheets/d/1qfrKjzMhm2HJfxQ-qVlJlJQ25Hne1d0khsySbZyGtPA/edit?usp=sharing"",""ระนอง!Q732"")+IMPORTRANGE(""https://docs.google.com/spreadsheets/d/"&amp;"1IbSCnFOKpZsnFogBHJnL_isstZVaOMnFiIN0fGTPZZw/edit?usp=sharing"",""สงขลา!Q732"")+IMPORTRANGE(""https://docs.google.com/spreadsheets/d/1q9nWasZJ-K8bFGvbE9n0qSRuKGA4Toe3Y89cKCiVtCU/edit?usp=sharing"",""สตูล!Q732"")+IMPORTRANGE(""https://docs.google.com/sprea"&amp;"dsheets/d/18T20gbkS_WBjdscyTOV05cvq_JqvqQ17C81mpxf7Ncs/edit?usp=sharing"",""สุราษฎร์ธานี!Q732"")"),0)</f>
        <v>0</v>
      </c>
      <c r="R732" s="49">
        <f ca="1">IFERROR(__xludf.DUMMYFUNCTION("IMPORTRANGE(""https://docs.google.com/spreadsheets/d/1kKUcYdkIfrgTSj8iHHHB2MD2FAtwyyocFgqGQn6ADyI/edit?usp=sharing"",""กระบี่!R732"")+IMPORTRANGE(""https://docs.google.com/spreadsheets/d/1GwtLaSlNZkLk7iDqcyZz22giiy40b_usZZBXYciEN1U/edit?usp=sharing"",""ชุ"&amp;"มพร!R732"")+IMPORTRANGE(""https://docs.google.com/spreadsheets/d/16pAz3pOhQEZBhvFNMa5KGgZS6iKWpsKX0pg6tQmwFpo/edit?usp=sharing"",""ตรัง!R732"")+IMPORTRANGE(""https://docs.google.com/spreadsheets/d/1Dj4jcHCTV9JXKCaMoheSXS52JE63kDKyG7bPXnFogHk/edit?usp=shar"&amp;"ing"",""นครศรีธรรมราช!R732"")+IMPORTRANGE(""https://docs.google.com/spreadsheets/d/1iodCdmuK2GR3jzUwk8tpccY2JHQQA-87DLOtJP-ooyU/edit?usp=sharing"",""นราธิวาส!R732"")+IMPORTRANGE(""https://docs.google.com/spreadsheets/d/1SDNX3JhDdYRuIOsj0Wh2M-Qa_eaXl0NbWmh"&amp;"AOTbfQAs/edit?usp=sharing"",""ปัตตานี!R732"")+IMPORTRANGE(""https://docs.google.com/spreadsheets/d/16JDLGguT8s5DsGCND1KcwHP_AWR_zDMTqLHPLJUKhaU/edit?usp=sharing"",""พังงา!R732"")+IMPORTRANGE(""https://docs.google.com/spreadsheets/d/17ht0gPKzzT3PObBL1XJkeR"&amp;"mntBXI7wGjpLV7QorqlTk/edit?usp=sharing"",""พัทลุง!R732"")+IMPORTRANGE(""https://docs.google.com/spreadsheets/d/1rd4qoM1q_hsgaolqNGfrim9gbsoLxQsda4-vOz5x_BM/edit?usp=sharing"",""ภูเก็ต!R732"")+IMPORTRANGE(""https://docs.google.com/spreadsheets/d/1woKwKjgoL"&amp;"ssDvPcPeVyezB5izizAn4X1JDrys69n6xI/edit?usp=sharing"",""ยะลา!R732"")+IMPORTRANGE(""https://docs.google.com/spreadsheets/d/1qfrKjzMhm2HJfxQ-qVlJlJQ25Hne1d0khsySbZyGtPA/edit?usp=sharing"",""ระนอง!R732"")+IMPORTRANGE(""https://docs.google.com/spreadsheets/d/"&amp;"1IbSCnFOKpZsnFogBHJnL_isstZVaOMnFiIN0fGTPZZw/edit?usp=sharing"",""สงขลา!R732"")+IMPORTRANGE(""https://docs.google.com/spreadsheets/d/1q9nWasZJ-K8bFGvbE9n0qSRuKGA4Toe3Y89cKCiVtCU/edit?usp=sharing"",""สตูล!R732"")+IMPORTRANGE(""https://docs.google.com/sprea"&amp;"dsheets/d/18T20gbkS_WBjdscyTOV05cvq_JqvqQ17C81mpxf7Ncs/edit?usp=sharing"",""สุราษฎร์ธานี!R732"")"),0)</f>
        <v>0</v>
      </c>
      <c r="S732" s="49">
        <f ca="1">IFERROR(__xludf.DUMMYFUNCTION("IMPORTRANGE(""https://docs.google.com/spreadsheets/d/1kKUcYdkIfrgTSj8iHHHB2MD2FAtwyyocFgqGQn6ADyI/edit?usp=sharing"",""กระบี่!S732"")+IMPORTRANGE(""https://docs.google.com/spreadsheets/d/1GwtLaSlNZkLk7iDqcyZz22giiy40b_usZZBXYciEN1U/edit?usp=sharing"",""ชุ"&amp;"มพร!S732"")+IMPORTRANGE(""https://docs.google.com/spreadsheets/d/16pAz3pOhQEZBhvFNMa5KGgZS6iKWpsKX0pg6tQmwFpo/edit?usp=sharing"",""ตรัง!S732"")+IMPORTRANGE(""https://docs.google.com/spreadsheets/d/1Dj4jcHCTV9JXKCaMoheSXS52JE63kDKyG7bPXnFogHk/edit?usp=shar"&amp;"ing"",""นครศรีธรรมราช!S732"")+IMPORTRANGE(""https://docs.google.com/spreadsheets/d/1iodCdmuK2GR3jzUwk8tpccY2JHQQA-87DLOtJP-ooyU/edit?usp=sharing"",""นราธิวาส!S732"")+IMPORTRANGE(""https://docs.google.com/spreadsheets/d/1SDNX3JhDdYRuIOsj0Wh2M-Qa_eaXl0NbWmh"&amp;"AOTbfQAs/edit?usp=sharing"",""ปัตตานี!S732"")+IMPORTRANGE(""https://docs.google.com/spreadsheets/d/16JDLGguT8s5DsGCND1KcwHP_AWR_zDMTqLHPLJUKhaU/edit?usp=sharing"",""พังงา!S732"")+IMPORTRANGE(""https://docs.google.com/spreadsheets/d/17ht0gPKzzT3PObBL1XJkeR"&amp;"mntBXI7wGjpLV7QorqlTk/edit?usp=sharing"",""พัทลุง!S732"")+IMPORTRANGE(""https://docs.google.com/spreadsheets/d/1rd4qoM1q_hsgaolqNGfrim9gbsoLxQsda4-vOz5x_BM/edit?usp=sharing"",""ภูเก็ต!S732"")+IMPORTRANGE(""https://docs.google.com/spreadsheets/d/1woKwKjgoL"&amp;"ssDvPcPeVyezB5izizAn4X1JDrys69n6xI/edit?usp=sharing"",""ยะลา!S732"")+IMPORTRANGE(""https://docs.google.com/spreadsheets/d/1qfrKjzMhm2HJfxQ-qVlJlJQ25Hne1d0khsySbZyGtPA/edit?usp=sharing"",""ระนอง!S732"")+IMPORTRANGE(""https://docs.google.com/spreadsheets/d/"&amp;"1IbSCnFOKpZsnFogBHJnL_isstZVaOMnFiIN0fGTPZZw/edit?usp=sharing"",""สงขลา!S732"")+IMPORTRANGE(""https://docs.google.com/spreadsheets/d/1q9nWasZJ-K8bFGvbE9n0qSRuKGA4Toe3Y89cKCiVtCU/edit?usp=sharing"",""สตูล!S732"")+IMPORTRANGE(""https://docs.google.com/sprea"&amp;"dsheets/d/18T20gbkS_WBjdscyTOV05cvq_JqvqQ17C81mpxf7Ncs/edit?usp=sharing"",""สุราษฎร์ธานี!S732"")"),0)</f>
        <v>0</v>
      </c>
      <c r="T732" s="49">
        <f t="shared" ca="1" si="508"/>
        <v>0</v>
      </c>
      <c r="U732" s="49">
        <f t="shared" ca="1" si="509"/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7">
        <f ca="1">IFERROR(__xludf.DUMMYFUNCTION("IMPORTRANGE(""https://docs.google.com/spreadsheets/d/1kKUcYdkIfrgTSj8iHHHB2MD2FAtwyyocFgqGQn6ADyI/edit?usp=sharing"",""กระบี่!L733"")+IMPORTRANGE(""https://docs.google.com/spreadsheets/d/1GwtLaSlNZkLk7iDqcyZz22giiy40b_usZZBXYciEN1U/edit?usp=sharing"",""ชุ"&amp;"มพร!L733"")+IMPORTRANGE(""https://docs.google.com/spreadsheets/d/16pAz3pOhQEZBhvFNMa5KGgZS6iKWpsKX0pg6tQmwFpo/edit?usp=sharing"",""ตรัง!L733"")+IMPORTRANGE(""https://docs.google.com/spreadsheets/d/1Dj4jcHCTV9JXKCaMoheSXS52JE63kDKyG7bPXnFogHk/edit?usp=shar"&amp;"ing"",""นครศรีธรรมราช!L733"")+IMPORTRANGE(""https://docs.google.com/spreadsheets/d/1iodCdmuK2GR3jzUwk8tpccY2JHQQA-87DLOtJP-ooyU/edit?usp=sharing"",""นราธิวาส!L733"")+IMPORTRANGE(""https://docs.google.com/spreadsheets/d/1SDNX3JhDdYRuIOsj0Wh2M-Qa_eaXl0NbWmh"&amp;"AOTbfQAs/edit?usp=sharing"",""ปัตตานี!L733"")+IMPORTRANGE(""https://docs.google.com/spreadsheets/d/16JDLGguT8s5DsGCND1KcwHP_AWR_zDMTqLHPLJUKhaU/edit?usp=sharing"",""พังงา!L733"")+IMPORTRANGE(""https://docs.google.com/spreadsheets/d/17ht0gPKzzT3PObBL1XJkeR"&amp;"mntBXI7wGjpLV7QorqlTk/edit?usp=sharing"",""พัทลุง!L733"")+IMPORTRANGE(""https://docs.google.com/spreadsheets/d/1rd4qoM1q_hsgaolqNGfrim9gbsoLxQsda4-vOz5x_BM/edit?usp=sharing"",""ภูเก็ต!L733"")+IMPORTRANGE(""https://docs.google.com/spreadsheets/d/1woKwKjgoL"&amp;"ssDvPcPeVyezB5izizAn4X1JDrys69n6xI/edit?usp=sharing"",""ยะลา!L733"")+IMPORTRANGE(""https://docs.google.com/spreadsheets/d/1qfrKjzMhm2HJfxQ-qVlJlJQ25Hne1d0khsySbZyGtPA/edit?usp=sharing"",""ระนอง!L733"")+IMPORTRANGE(""https://docs.google.com/spreadsheets/d/"&amp;"1IbSCnFOKpZsnFogBHJnL_isstZVaOMnFiIN0fGTPZZw/edit?usp=sharing"",""สงขลา!L733"")+IMPORTRANGE(""https://docs.google.com/spreadsheets/d/1q9nWasZJ-K8bFGvbE9n0qSRuKGA4Toe3Y89cKCiVtCU/edit?usp=sharing"",""สตูล!L733"")+IMPORTRANGE(""https://docs.google.com/sprea"&amp;"dsheets/d/18T20gbkS_WBjdscyTOV05cvq_JqvqQ17C81mpxf7Ncs/edit?usp=sharing"",""สุราษฎร์ธานี!L733"")"),0)</f>
        <v>0</v>
      </c>
      <c r="M733" s="47">
        <f ca="1">IFERROR(__xludf.DUMMYFUNCTION("IMPORTRANGE(""https://docs.google.com/spreadsheets/d/1kKUcYdkIfrgTSj8iHHHB2MD2FAtwyyocFgqGQn6ADyI/edit?usp=sharing"",""กระบี่!M733"")+IMPORTRANGE(""https://docs.google.com/spreadsheets/d/1GwtLaSlNZkLk7iDqcyZz22giiy40b_usZZBXYciEN1U/edit?usp=sharing"",""ชุ"&amp;"มพร!M733"")+IMPORTRANGE(""https://docs.google.com/spreadsheets/d/16pAz3pOhQEZBhvFNMa5KGgZS6iKWpsKX0pg6tQmwFpo/edit?usp=sharing"",""ตรัง!M733"")+IMPORTRANGE(""https://docs.google.com/spreadsheets/d/1Dj4jcHCTV9JXKCaMoheSXS52JE63kDKyG7bPXnFogHk/edit?usp=shar"&amp;"ing"",""นครศรีธรรมราช!M733"")+IMPORTRANGE(""https://docs.google.com/spreadsheets/d/1iodCdmuK2GR3jzUwk8tpccY2JHQQA-87DLOtJP-ooyU/edit?usp=sharing"",""นราธิวาส!M733"")+IMPORTRANGE(""https://docs.google.com/spreadsheets/d/1SDNX3JhDdYRuIOsj0Wh2M-Qa_eaXl0NbWmh"&amp;"AOTbfQAs/edit?usp=sharing"",""ปัตตานี!M733"")+IMPORTRANGE(""https://docs.google.com/spreadsheets/d/16JDLGguT8s5DsGCND1KcwHP_AWR_zDMTqLHPLJUKhaU/edit?usp=sharing"",""พังงา!M733"")+IMPORTRANGE(""https://docs.google.com/spreadsheets/d/17ht0gPKzzT3PObBL1XJkeR"&amp;"mntBXI7wGjpLV7QorqlTk/edit?usp=sharing"",""พัทลุง!M733"")+IMPORTRANGE(""https://docs.google.com/spreadsheets/d/1rd4qoM1q_hsgaolqNGfrim9gbsoLxQsda4-vOz5x_BM/edit?usp=sharing"",""ภูเก็ต!M733"")+IMPORTRANGE(""https://docs.google.com/spreadsheets/d/1woKwKjgoL"&amp;"ssDvPcPeVyezB5izizAn4X1JDrys69n6xI/edit?usp=sharing"",""ยะลา!M733"")+IMPORTRANGE(""https://docs.google.com/spreadsheets/d/1qfrKjzMhm2HJfxQ-qVlJlJQ25Hne1d0khsySbZyGtPA/edit?usp=sharing"",""ระนอง!M733"")+IMPORTRANGE(""https://docs.google.com/spreadsheets/d/"&amp;"1IbSCnFOKpZsnFogBHJnL_isstZVaOMnFiIN0fGTPZZw/edit?usp=sharing"",""สงขลา!M733"")+IMPORTRANGE(""https://docs.google.com/spreadsheets/d/1q9nWasZJ-K8bFGvbE9n0qSRuKGA4Toe3Y89cKCiVtCU/edit?usp=sharing"",""สตูล!M733"")+IMPORTRANGE(""https://docs.google.com/sprea"&amp;"dsheets/d/18T20gbkS_WBjdscyTOV05cvq_JqvqQ17C81mpxf7Ncs/edit?usp=sharing"",""สุราษฎร์ธานี!M733"")"),0)</f>
        <v>0</v>
      </c>
      <c r="N733" s="47">
        <f ca="1">IFERROR(__xludf.DUMMYFUNCTION("IMPORTRANGE(""https://docs.google.com/spreadsheets/d/1kKUcYdkIfrgTSj8iHHHB2MD2FAtwyyocFgqGQn6ADyI/edit?usp=sharing"",""กระบี่!N733"")+IMPORTRANGE(""https://docs.google.com/spreadsheets/d/1GwtLaSlNZkLk7iDqcyZz22giiy40b_usZZBXYciEN1U/edit?usp=sharing"",""ชุ"&amp;"มพร!N733"")+IMPORTRANGE(""https://docs.google.com/spreadsheets/d/16pAz3pOhQEZBhvFNMa5KGgZS6iKWpsKX0pg6tQmwFpo/edit?usp=sharing"",""ตรัง!N733"")+IMPORTRANGE(""https://docs.google.com/spreadsheets/d/1Dj4jcHCTV9JXKCaMoheSXS52JE63kDKyG7bPXnFogHk/edit?usp=shar"&amp;"ing"",""นครศรีธรรมราช!N733"")+IMPORTRANGE(""https://docs.google.com/spreadsheets/d/1iodCdmuK2GR3jzUwk8tpccY2JHQQA-87DLOtJP-ooyU/edit?usp=sharing"",""นราธิวาส!N733"")+IMPORTRANGE(""https://docs.google.com/spreadsheets/d/1SDNX3JhDdYRuIOsj0Wh2M-Qa_eaXl0NbWmh"&amp;"AOTbfQAs/edit?usp=sharing"",""ปัตตานี!N733"")+IMPORTRANGE(""https://docs.google.com/spreadsheets/d/16JDLGguT8s5DsGCND1KcwHP_AWR_zDMTqLHPLJUKhaU/edit?usp=sharing"",""พังงา!N733"")+IMPORTRANGE(""https://docs.google.com/spreadsheets/d/17ht0gPKzzT3PObBL1XJkeR"&amp;"mntBXI7wGjpLV7QorqlTk/edit?usp=sharing"",""พัทลุง!N733"")+IMPORTRANGE(""https://docs.google.com/spreadsheets/d/1rd4qoM1q_hsgaolqNGfrim9gbsoLxQsda4-vOz5x_BM/edit?usp=sharing"",""ภูเก็ต!N733"")+IMPORTRANGE(""https://docs.google.com/spreadsheets/d/1woKwKjgoL"&amp;"ssDvPcPeVyezB5izizAn4X1JDrys69n6xI/edit?usp=sharing"",""ยะลา!N733"")+IMPORTRANGE(""https://docs.google.com/spreadsheets/d/1qfrKjzMhm2HJfxQ-qVlJlJQ25Hne1d0khsySbZyGtPA/edit?usp=sharing"",""ระนอง!N733"")+IMPORTRANGE(""https://docs.google.com/spreadsheets/d/"&amp;"1IbSCnFOKpZsnFogBHJnL_isstZVaOMnFiIN0fGTPZZw/edit?usp=sharing"",""สงขลา!N733"")+IMPORTRANGE(""https://docs.google.com/spreadsheets/d/1q9nWasZJ-K8bFGvbE9n0qSRuKGA4Toe3Y89cKCiVtCU/edit?usp=sharing"",""สตูล!N733"")+IMPORTRANGE(""https://docs.google.com/sprea"&amp;"dsheets/d/18T20gbkS_WBjdscyTOV05cvq_JqvqQ17C81mpxf7Ncs/edit?usp=sharing"",""สุราษฎร์ธานี!N733"")"),0)</f>
        <v>0</v>
      </c>
      <c r="O733" s="47">
        <f t="shared" ca="1" si="505"/>
        <v>0</v>
      </c>
      <c r="P733" s="47">
        <f t="shared" ca="1" si="506"/>
        <v>0</v>
      </c>
      <c r="Q733" s="47">
        <f ca="1">IFERROR(__xludf.DUMMYFUNCTION("IMPORTRANGE(""https://docs.google.com/spreadsheets/d/1kKUcYdkIfrgTSj8iHHHB2MD2FAtwyyocFgqGQn6ADyI/edit?usp=sharing"",""กระบี่!Q733"")+IMPORTRANGE(""https://docs.google.com/spreadsheets/d/1GwtLaSlNZkLk7iDqcyZz22giiy40b_usZZBXYciEN1U/edit?usp=sharing"",""ชุ"&amp;"มพร!Q733"")+IMPORTRANGE(""https://docs.google.com/spreadsheets/d/16pAz3pOhQEZBhvFNMa5KGgZS6iKWpsKX0pg6tQmwFpo/edit?usp=sharing"",""ตรัง!Q733"")+IMPORTRANGE(""https://docs.google.com/spreadsheets/d/1Dj4jcHCTV9JXKCaMoheSXS52JE63kDKyG7bPXnFogHk/edit?usp=shar"&amp;"ing"",""นครศรีธรรมราช!Q733"")+IMPORTRANGE(""https://docs.google.com/spreadsheets/d/1iodCdmuK2GR3jzUwk8tpccY2JHQQA-87DLOtJP-ooyU/edit?usp=sharing"",""นราธิวาส!Q733"")+IMPORTRANGE(""https://docs.google.com/spreadsheets/d/1SDNX3JhDdYRuIOsj0Wh2M-Qa_eaXl0NbWmh"&amp;"AOTbfQAs/edit?usp=sharing"",""ปัตตานี!Q733"")+IMPORTRANGE(""https://docs.google.com/spreadsheets/d/16JDLGguT8s5DsGCND1KcwHP_AWR_zDMTqLHPLJUKhaU/edit?usp=sharing"",""พังงา!Q733"")+IMPORTRANGE(""https://docs.google.com/spreadsheets/d/17ht0gPKzzT3PObBL1XJkeR"&amp;"mntBXI7wGjpLV7QorqlTk/edit?usp=sharing"",""พัทลุง!Q733"")+IMPORTRANGE(""https://docs.google.com/spreadsheets/d/1rd4qoM1q_hsgaolqNGfrim9gbsoLxQsda4-vOz5x_BM/edit?usp=sharing"",""ภูเก็ต!Q733"")+IMPORTRANGE(""https://docs.google.com/spreadsheets/d/1woKwKjgoL"&amp;"ssDvPcPeVyezB5izizAn4X1JDrys69n6xI/edit?usp=sharing"",""ยะลา!Q733"")+IMPORTRANGE(""https://docs.google.com/spreadsheets/d/1qfrKjzMhm2HJfxQ-qVlJlJQ25Hne1d0khsySbZyGtPA/edit?usp=sharing"",""ระนอง!Q733"")+IMPORTRANGE(""https://docs.google.com/spreadsheets/d/"&amp;"1IbSCnFOKpZsnFogBHJnL_isstZVaOMnFiIN0fGTPZZw/edit?usp=sharing"",""สงขลา!Q733"")+IMPORTRANGE(""https://docs.google.com/spreadsheets/d/1q9nWasZJ-K8bFGvbE9n0qSRuKGA4Toe3Y89cKCiVtCU/edit?usp=sharing"",""สตูล!Q733"")+IMPORTRANGE(""https://docs.google.com/sprea"&amp;"dsheets/d/18T20gbkS_WBjdscyTOV05cvq_JqvqQ17C81mpxf7Ncs/edit?usp=sharing"",""สุราษฎร์ธานี!Q733"")"),2422324)</f>
        <v>2422324</v>
      </c>
      <c r="R733" s="47">
        <f ca="1">IFERROR(__xludf.DUMMYFUNCTION("IMPORTRANGE(""https://docs.google.com/spreadsheets/d/1kKUcYdkIfrgTSj8iHHHB2MD2FAtwyyocFgqGQn6ADyI/edit?usp=sharing"",""กระบี่!R733"")+IMPORTRANGE(""https://docs.google.com/spreadsheets/d/1GwtLaSlNZkLk7iDqcyZz22giiy40b_usZZBXYciEN1U/edit?usp=sharing"",""ชุ"&amp;"มพร!R733"")+IMPORTRANGE(""https://docs.google.com/spreadsheets/d/16pAz3pOhQEZBhvFNMa5KGgZS6iKWpsKX0pg6tQmwFpo/edit?usp=sharing"",""ตรัง!R733"")+IMPORTRANGE(""https://docs.google.com/spreadsheets/d/1Dj4jcHCTV9JXKCaMoheSXS52JE63kDKyG7bPXnFogHk/edit?usp=shar"&amp;"ing"",""นครศรีธรรมราช!R733"")+IMPORTRANGE(""https://docs.google.com/spreadsheets/d/1iodCdmuK2GR3jzUwk8tpccY2JHQQA-87DLOtJP-ooyU/edit?usp=sharing"",""นราธิวาส!R733"")+IMPORTRANGE(""https://docs.google.com/spreadsheets/d/1SDNX3JhDdYRuIOsj0Wh2M-Qa_eaXl0NbWmh"&amp;"AOTbfQAs/edit?usp=sharing"",""ปัตตานี!R733"")+IMPORTRANGE(""https://docs.google.com/spreadsheets/d/16JDLGguT8s5DsGCND1KcwHP_AWR_zDMTqLHPLJUKhaU/edit?usp=sharing"",""พังงา!R733"")+IMPORTRANGE(""https://docs.google.com/spreadsheets/d/17ht0gPKzzT3PObBL1XJkeR"&amp;"mntBXI7wGjpLV7QorqlTk/edit?usp=sharing"",""พัทลุง!R733"")+IMPORTRANGE(""https://docs.google.com/spreadsheets/d/1rd4qoM1q_hsgaolqNGfrim9gbsoLxQsda4-vOz5x_BM/edit?usp=sharing"",""ภูเก็ต!R733"")+IMPORTRANGE(""https://docs.google.com/spreadsheets/d/1woKwKjgoL"&amp;"ssDvPcPeVyezB5izizAn4X1JDrys69n6xI/edit?usp=sharing"",""ยะลา!R733"")+IMPORTRANGE(""https://docs.google.com/spreadsheets/d/1qfrKjzMhm2HJfxQ-qVlJlJQ25Hne1d0khsySbZyGtPA/edit?usp=sharing"",""ระนอง!R733"")+IMPORTRANGE(""https://docs.google.com/spreadsheets/d/"&amp;"1IbSCnFOKpZsnFogBHJnL_isstZVaOMnFiIN0fGTPZZw/edit?usp=sharing"",""สงขลา!R733"")+IMPORTRANGE(""https://docs.google.com/spreadsheets/d/1q9nWasZJ-K8bFGvbE9n0qSRuKGA4Toe3Y89cKCiVtCU/edit?usp=sharing"",""สตูล!R733"")+IMPORTRANGE(""https://docs.google.com/sprea"&amp;"dsheets/d/18T20gbkS_WBjdscyTOV05cvq_JqvqQ17C81mpxf7Ncs/edit?usp=sharing"",""สุราษฎร์ธานี!R733"")"),2479224)</f>
        <v>2479224</v>
      </c>
      <c r="S733" s="47">
        <f ca="1">IFERROR(__xludf.DUMMYFUNCTION("IMPORTRANGE(""https://docs.google.com/spreadsheets/d/1kKUcYdkIfrgTSj8iHHHB2MD2FAtwyyocFgqGQn6ADyI/edit?usp=sharing"",""กระบี่!S733"")+IMPORTRANGE(""https://docs.google.com/spreadsheets/d/1GwtLaSlNZkLk7iDqcyZz22giiy40b_usZZBXYciEN1U/edit?usp=sharing"",""ชุ"&amp;"มพร!S733"")+IMPORTRANGE(""https://docs.google.com/spreadsheets/d/16pAz3pOhQEZBhvFNMa5KGgZS6iKWpsKX0pg6tQmwFpo/edit?usp=sharing"",""ตรัง!S733"")+IMPORTRANGE(""https://docs.google.com/spreadsheets/d/1Dj4jcHCTV9JXKCaMoheSXS52JE63kDKyG7bPXnFogHk/edit?usp=shar"&amp;"ing"",""นครศรีธรรมราช!S733"")+IMPORTRANGE(""https://docs.google.com/spreadsheets/d/1iodCdmuK2GR3jzUwk8tpccY2JHQQA-87DLOtJP-ooyU/edit?usp=sharing"",""นราธิวาส!S733"")+IMPORTRANGE(""https://docs.google.com/spreadsheets/d/1SDNX3JhDdYRuIOsj0Wh2M-Qa_eaXl0NbWmh"&amp;"AOTbfQAs/edit?usp=sharing"",""ปัตตานี!S733"")+IMPORTRANGE(""https://docs.google.com/spreadsheets/d/16JDLGguT8s5DsGCND1KcwHP_AWR_zDMTqLHPLJUKhaU/edit?usp=sharing"",""พังงา!S733"")+IMPORTRANGE(""https://docs.google.com/spreadsheets/d/17ht0gPKzzT3PObBL1XJkeR"&amp;"mntBXI7wGjpLV7QorqlTk/edit?usp=sharing"",""พัทลุง!S733"")+IMPORTRANGE(""https://docs.google.com/spreadsheets/d/1rd4qoM1q_hsgaolqNGfrim9gbsoLxQsda4-vOz5x_BM/edit?usp=sharing"",""ภูเก็ต!S733"")+IMPORTRANGE(""https://docs.google.com/spreadsheets/d/1woKwKjgoL"&amp;"ssDvPcPeVyezB5izizAn4X1JDrys69n6xI/edit?usp=sharing"",""ยะลา!S733"")+IMPORTRANGE(""https://docs.google.com/spreadsheets/d/1qfrKjzMhm2HJfxQ-qVlJlJQ25Hne1d0khsySbZyGtPA/edit?usp=sharing"",""ระนอง!S733"")+IMPORTRANGE(""https://docs.google.com/spreadsheets/d/"&amp;"1IbSCnFOKpZsnFogBHJnL_isstZVaOMnFiIN0fGTPZZw/edit?usp=sharing"",""สงขลา!S733"")+IMPORTRANGE(""https://docs.google.com/spreadsheets/d/1q9nWasZJ-K8bFGvbE9n0qSRuKGA4Toe3Y89cKCiVtCU/edit?usp=sharing"",""สตูล!S733"")+IMPORTRANGE(""https://docs.google.com/sprea"&amp;"dsheets/d/18T20gbkS_WBjdscyTOV05cvq_JqvqQ17C81mpxf7Ncs/edit?usp=sharing"",""สุราษฎร์ธานี!S733"")"),425754.61)</f>
        <v>425754.61</v>
      </c>
      <c r="T733" s="47">
        <f t="shared" ca="1" si="508"/>
        <v>17.576286656945975</v>
      </c>
      <c r="U733" s="47">
        <f t="shared" ca="1" si="509"/>
        <v>17.172898051971099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7">
        <f t="shared" ref="L734:N734" ca="1" si="516">L735+L736</f>
        <v>0</v>
      </c>
      <c r="M734" s="47">
        <f t="shared" ca="1" si="516"/>
        <v>0</v>
      </c>
      <c r="N734" s="47">
        <f t="shared" ca="1" si="516"/>
        <v>0</v>
      </c>
      <c r="O734" s="47">
        <f t="shared" ca="1" si="505"/>
        <v>0</v>
      </c>
      <c r="P734" s="47">
        <f t="shared" ca="1" si="506"/>
        <v>0</v>
      </c>
      <c r="Q734" s="47">
        <f t="shared" ref="Q734:S734" ca="1" si="517">Q735+Q736</f>
        <v>0</v>
      </c>
      <c r="R734" s="47">
        <f t="shared" ca="1" si="517"/>
        <v>0</v>
      </c>
      <c r="S734" s="47">
        <f t="shared" ca="1" si="517"/>
        <v>0</v>
      </c>
      <c r="T734" s="47">
        <f t="shared" ca="1" si="508"/>
        <v>0</v>
      </c>
      <c r="U734" s="47">
        <f t="shared" ca="1" si="509"/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49">
        <f ca="1">IFERROR(__xludf.DUMMYFUNCTION("IMPORTRANGE(""https://docs.google.com/spreadsheets/d/1kKUcYdkIfrgTSj8iHHHB2MD2FAtwyyocFgqGQn6ADyI/edit?usp=sharing"",""กระบี่!L735"")+IMPORTRANGE(""https://docs.google.com/spreadsheets/d/1GwtLaSlNZkLk7iDqcyZz22giiy40b_usZZBXYciEN1U/edit?usp=sharing"",""ชุ"&amp;"มพร!L735"")+IMPORTRANGE(""https://docs.google.com/spreadsheets/d/16pAz3pOhQEZBhvFNMa5KGgZS6iKWpsKX0pg6tQmwFpo/edit?usp=sharing"",""ตรัง!L735"")+IMPORTRANGE(""https://docs.google.com/spreadsheets/d/1Dj4jcHCTV9JXKCaMoheSXS52JE63kDKyG7bPXnFogHk/edit?usp=shar"&amp;"ing"",""นครศรีธรรมราช!L735"")+IMPORTRANGE(""https://docs.google.com/spreadsheets/d/1iodCdmuK2GR3jzUwk8tpccY2JHQQA-87DLOtJP-ooyU/edit?usp=sharing"",""นราธิวาส!L735"")+IMPORTRANGE(""https://docs.google.com/spreadsheets/d/1SDNX3JhDdYRuIOsj0Wh2M-Qa_eaXl0NbWmh"&amp;"AOTbfQAs/edit?usp=sharing"",""ปัตตานี!L735"")+IMPORTRANGE(""https://docs.google.com/spreadsheets/d/16JDLGguT8s5DsGCND1KcwHP_AWR_zDMTqLHPLJUKhaU/edit?usp=sharing"",""พังงา!L735"")+IMPORTRANGE(""https://docs.google.com/spreadsheets/d/17ht0gPKzzT3PObBL1XJkeR"&amp;"mntBXI7wGjpLV7QorqlTk/edit?usp=sharing"",""พัทลุง!L735"")+IMPORTRANGE(""https://docs.google.com/spreadsheets/d/1rd4qoM1q_hsgaolqNGfrim9gbsoLxQsda4-vOz5x_BM/edit?usp=sharing"",""ภูเก็ต!L735"")+IMPORTRANGE(""https://docs.google.com/spreadsheets/d/1woKwKjgoL"&amp;"ssDvPcPeVyezB5izizAn4X1JDrys69n6xI/edit?usp=sharing"",""ยะลา!L735"")+IMPORTRANGE(""https://docs.google.com/spreadsheets/d/1qfrKjzMhm2HJfxQ-qVlJlJQ25Hne1d0khsySbZyGtPA/edit?usp=sharing"",""ระนอง!L735"")+IMPORTRANGE(""https://docs.google.com/spreadsheets/d/"&amp;"1IbSCnFOKpZsnFogBHJnL_isstZVaOMnFiIN0fGTPZZw/edit?usp=sharing"",""สงขลา!L735"")+IMPORTRANGE(""https://docs.google.com/spreadsheets/d/1q9nWasZJ-K8bFGvbE9n0qSRuKGA4Toe3Y89cKCiVtCU/edit?usp=sharing"",""สตูล!L735"")+IMPORTRANGE(""https://docs.google.com/sprea"&amp;"dsheets/d/18T20gbkS_WBjdscyTOV05cvq_JqvqQ17C81mpxf7Ncs/edit?usp=sharing"",""สุราษฎร์ธานี!L735"")"),0)</f>
        <v>0</v>
      </c>
      <c r="M735" s="49">
        <f ca="1">IFERROR(__xludf.DUMMYFUNCTION("IMPORTRANGE(""https://docs.google.com/spreadsheets/d/1kKUcYdkIfrgTSj8iHHHB2MD2FAtwyyocFgqGQn6ADyI/edit?usp=sharing"",""กระบี่!M735"")+IMPORTRANGE(""https://docs.google.com/spreadsheets/d/1GwtLaSlNZkLk7iDqcyZz22giiy40b_usZZBXYciEN1U/edit?usp=sharing"",""ชุ"&amp;"มพร!M735"")+IMPORTRANGE(""https://docs.google.com/spreadsheets/d/16pAz3pOhQEZBhvFNMa5KGgZS6iKWpsKX0pg6tQmwFpo/edit?usp=sharing"",""ตรัง!M735"")+IMPORTRANGE(""https://docs.google.com/spreadsheets/d/1Dj4jcHCTV9JXKCaMoheSXS52JE63kDKyG7bPXnFogHk/edit?usp=shar"&amp;"ing"",""นครศรีธรรมราช!M735"")+IMPORTRANGE(""https://docs.google.com/spreadsheets/d/1iodCdmuK2GR3jzUwk8tpccY2JHQQA-87DLOtJP-ooyU/edit?usp=sharing"",""นราธิวาส!M735"")+IMPORTRANGE(""https://docs.google.com/spreadsheets/d/1SDNX3JhDdYRuIOsj0Wh2M-Qa_eaXl0NbWmh"&amp;"AOTbfQAs/edit?usp=sharing"",""ปัตตานี!M735"")+IMPORTRANGE(""https://docs.google.com/spreadsheets/d/16JDLGguT8s5DsGCND1KcwHP_AWR_zDMTqLHPLJUKhaU/edit?usp=sharing"",""พังงา!M735"")+IMPORTRANGE(""https://docs.google.com/spreadsheets/d/17ht0gPKzzT3PObBL1XJkeR"&amp;"mntBXI7wGjpLV7QorqlTk/edit?usp=sharing"",""พัทลุง!M735"")+IMPORTRANGE(""https://docs.google.com/spreadsheets/d/1rd4qoM1q_hsgaolqNGfrim9gbsoLxQsda4-vOz5x_BM/edit?usp=sharing"",""ภูเก็ต!M735"")+IMPORTRANGE(""https://docs.google.com/spreadsheets/d/1woKwKjgoL"&amp;"ssDvPcPeVyezB5izizAn4X1JDrys69n6xI/edit?usp=sharing"",""ยะลา!M735"")+IMPORTRANGE(""https://docs.google.com/spreadsheets/d/1qfrKjzMhm2HJfxQ-qVlJlJQ25Hne1d0khsySbZyGtPA/edit?usp=sharing"",""ระนอง!M735"")+IMPORTRANGE(""https://docs.google.com/spreadsheets/d/"&amp;"1IbSCnFOKpZsnFogBHJnL_isstZVaOMnFiIN0fGTPZZw/edit?usp=sharing"",""สงขลา!M735"")+IMPORTRANGE(""https://docs.google.com/spreadsheets/d/1q9nWasZJ-K8bFGvbE9n0qSRuKGA4Toe3Y89cKCiVtCU/edit?usp=sharing"",""สตูล!M735"")+IMPORTRANGE(""https://docs.google.com/sprea"&amp;"dsheets/d/18T20gbkS_WBjdscyTOV05cvq_JqvqQ17C81mpxf7Ncs/edit?usp=sharing"",""สุราษฎร์ธานี!M735"")"),0)</f>
        <v>0</v>
      </c>
      <c r="N735" s="49">
        <f ca="1">IFERROR(__xludf.DUMMYFUNCTION("IMPORTRANGE(""https://docs.google.com/spreadsheets/d/1kKUcYdkIfrgTSj8iHHHB2MD2FAtwyyocFgqGQn6ADyI/edit?usp=sharing"",""กระบี่!N735"")+IMPORTRANGE(""https://docs.google.com/spreadsheets/d/1GwtLaSlNZkLk7iDqcyZz22giiy40b_usZZBXYciEN1U/edit?usp=sharing"",""ชุ"&amp;"มพร!N735"")+IMPORTRANGE(""https://docs.google.com/spreadsheets/d/16pAz3pOhQEZBhvFNMa5KGgZS6iKWpsKX0pg6tQmwFpo/edit?usp=sharing"",""ตรัง!N735"")+IMPORTRANGE(""https://docs.google.com/spreadsheets/d/1Dj4jcHCTV9JXKCaMoheSXS52JE63kDKyG7bPXnFogHk/edit?usp=shar"&amp;"ing"",""นครศรีธรรมราช!N735"")+IMPORTRANGE(""https://docs.google.com/spreadsheets/d/1iodCdmuK2GR3jzUwk8tpccY2JHQQA-87DLOtJP-ooyU/edit?usp=sharing"",""นราธิวาส!N735"")+IMPORTRANGE(""https://docs.google.com/spreadsheets/d/1SDNX3JhDdYRuIOsj0Wh2M-Qa_eaXl0NbWmh"&amp;"AOTbfQAs/edit?usp=sharing"",""ปัตตานี!N735"")+IMPORTRANGE(""https://docs.google.com/spreadsheets/d/16JDLGguT8s5DsGCND1KcwHP_AWR_zDMTqLHPLJUKhaU/edit?usp=sharing"",""พังงา!N735"")+IMPORTRANGE(""https://docs.google.com/spreadsheets/d/17ht0gPKzzT3PObBL1XJkeR"&amp;"mntBXI7wGjpLV7QorqlTk/edit?usp=sharing"",""พัทลุง!N735"")+IMPORTRANGE(""https://docs.google.com/spreadsheets/d/1rd4qoM1q_hsgaolqNGfrim9gbsoLxQsda4-vOz5x_BM/edit?usp=sharing"",""ภูเก็ต!N735"")+IMPORTRANGE(""https://docs.google.com/spreadsheets/d/1woKwKjgoL"&amp;"ssDvPcPeVyezB5izizAn4X1JDrys69n6xI/edit?usp=sharing"",""ยะลา!N735"")+IMPORTRANGE(""https://docs.google.com/spreadsheets/d/1qfrKjzMhm2HJfxQ-qVlJlJQ25Hne1d0khsySbZyGtPA/edit?usp=sharing"",""ระนอง!N735"")+IMPORTRANGE(""https://docs.google.com/spreadsheets/d/"&amp;"1IbSCnFOKpZsnFogBHJnL_isstZVaOMnFiIN0fGTPZZw/edit?usp=sharing"",""สงขลา!N735"")+IMPORTRANGE(""https://docs.google.com/spreadsheets/d/1q9nWasZJ-K8bFGvbE9n0qSRuKGA4Toe3Y89cKCiVtCU/edit?usp=sharing"",""สตูล!N735"")+IMPORTRANGE(""https://docs.google.com/sprea"&amp;"dsheets/d/18T20gbkS_WBjdscyTOV05cvq_JqvqQ17C81mpxf7Ncs/edit?usp=sharing"",""สุราษฎร์ธานี!N735"")"),0)</f>
        <v>0</v>
      </c>
      <c r="O735" s="49">
        <f t="shared" ca="1" si="505"/>
        <v>0</v>
      </c>
      <c r="P735" s="49">
        <f t="shared" ca="1" si="506"/>
        <v>0</v>
      </c>
      <c r="Q735" s="49">
        <f ca="1">IFERROR(__xludf.DUMMYFUNCTION("IMPORTRANGE(""https://docs.google.com/spreadsheets/d/1kKUcYdkIfrgTSj8iHHHB2MD2FAtwyyocFgqGQn6ADyI/edit?usp=sharing"",""กระบี่!Q735"")+IMPORTRANGE(""https://docs.google.com/spreadsheets/d/1GwtLaSlNZkLk7iDqcyZz22giiy40b_usZZBXYciEN1U/edit?usp=sharing"",""ชุ"&amp;"มพร!Q735"")+IMPORTRANGE(""https://docs.google.com/spreadsheets/d/16pAz3pOhQEZBhvFNMa5KGgZS6iKWpsKX0pg6tQmwFpo/edit?usp=sharing"",""ตรัง!Q735"")+IMPORTRANGE(""https://docs.google.com/spreadsheets/d/1Dj4jcHCTV9JXKCaMoheSXS52JE63kDKyG7bPXnFogHk/edit?usp=shar"&amp;"ing"",""นครศรีธรรมราช!Q735"")+IMPORTRANGE(""https://docs.google.com/spreadsheets/d/1iodCdmuK2GR3jzUwk8tpccY2JHQQA-87DLOtJP-ooyU/edit?usp=sharing"",""นราธิวาส!Q735"")+IMPORTRANGE(""https://docs.google.com/spreadsheets/d/1SDNX3JhDdYRuIOsj0Wh2M-Qa_eaXl0NbWmh"&amp;"AOTbfQAs/edit?usp=sharing"",""ปัตตานี!Q735"")+IMPORTRANGE(""https://docs.google.com/spreadsheets/d/16JDLGguT8s5DsGCND1KcwHP_AWR_zDMTqLHPLJUKhaU/edit?usp=sharing"",""พังงา!Q735"")+IMPORTRANGE(""https://docs.google.com/spreadsheets/d/17ht0gPKzzT3PObBL1XJkeR"&amp;"mntBXI7wGjpLV7QorqlTk/edit?usp=sharing"",""พัทลุง!Q735"")+IMPORTRANGE(""https://docs.google.com/spreadsheets/d/1rd4qoM1q_hsgaolqNGfrim9gbsoLxQsda4-vOz5x_BM/edit?usp=sharing"",""ภูเก็ต!Q735"")+IMPORTRANGE(""https://docs.google.com/spreadsheets/d/1woKwKjgoL"&amp;"ssDvPcPeVyezB5izizAn4X1JDrys69n6xI/edit?usp=sharing"",""ยะลา!Q735"")+IMPORTRANGE(""https://docs.google.com/spreadsheets/d/1qfrKjzMhm2HJfxQ-qVlJlJQ25Hne1d0khsySbZyGtPA/edit?usp=sharing"",""ระนอง!Q735"")+IMPORTRANGE(""https://docs.google.com/spreadsheets/d/"&amp;"1IbSCnFOKpZsnFogBHJnL_isstZVaOMnFiIN0fGTPZZw/edit?usp=sharing"",""สงขลา!Q735"")+IMPORTRANGE(""https://docs.google.com/spreadsheets/d/1q9nWasZJ-K8bFGvbE9n0qSRuKGA4Toe3Y89cKCiVtCU/edit?usp=sharing"",""สตูล!Q735"")+IMPORTRANGE(""https://docs.google.com/sprea"&amp;"dsheets/d/18T20gbkS_WBjdscyTOV05cvq_JqvqQ17C81mpxf7Ncs/edit?usp=sharing"",""สุราษฎร์ธานี!Q735"")"),0)</f>
        <v>0</v>
      </c>
      <c r="R735" s="49">
        <f ca="1">IFERROR(__xludf.DUMMYFUNCTION("IMPORTRANGE(""https://docs.google.com/spreadsheets/d/1kKUcYdkIfrgTSj8iHHHB2MD2FAtwyyocFgqGQn6ADyI/edit?usp=sharing"",""กระบี่!R735"")+IMPORTRANGE(""https://docs.google.com/spreadsheets/d/1GwtLaSlNZkLk7iDqcyZz22giiy40b_usZZBXYciEN1U/edit?usp=sharing"",""ชุ"&amp;"มพร!R735"")+IMPORTRANGE(""https://docs.google.com/spreadsheets/d/16pAz3pOhQEZBhvFNMa5KGgZS6iKWpsKX0pg6tQmwFpo/edit?usp=sharing"",""ตรัง!R735"")+IMPORTRANGE(""https://docs.google.com/spreadsheets/d/1Dj4jcHCTV9JXKCaMoheSXS52JE63kDKyG7bPXnFogHk/edit?usp=shar"&amp;"ing"",""นครศรีธรรมราช!R735"")+IMPORTRANGE(""https://docs.google.com/spreadsheets/d/1iodCdmuK2GR3jzUwk8tpccY2JHQQA-87DLOtJP-ooyU/edit?usp=sharing"",""นราธิวาส!R735"")+IMPORTRANGE(""https://docs.google.com/spreadsheets/d/1SDNX3JhDdYRuIOsj0Wh2M-Qa_eaXl0NbWmh"&amp;"AOTbfQAs/edit?usp=sharing"",""ปัตตานี!R735"")+IMPORTRANGE(""https://docs.google.com/spreadsheets/d/16JDLGguT8s5DsGCND1KcwHP_AWR_zDMTqLHPLJUKhaU/edit?usp=sharing"",""พังงา!R735"")+IMPORTRANGE(""https://docs.google.com/spreadsheets/d/17ht0gPKzzT3PObBL1XJkeR"&amp;"mntBXI7wGjpLV7QorqlTk/edit?usp=sharing"",""พัทลุง!R735"")+IMPORTRANGE(""https://docs.google.com/spreadsheets/d/1rd4qoM1q_hsgaolqNGfrim9gbsoLxQsda4-vOz5x_BM/edit?usp=sharing"",""ภูเก็ต!R735"")+IMPORTRANGE(""https://docs.google.com/spreadsheets/d/1woKwKjgoL"&amp;"ssDvPcPeVyezB5izizAn4X1JDrys69n6xI/edit?usp=sharing"",""ยะลา!R735"")+IMPORTRANGE(""https://docs.google.com/spreadsheets/d/1qfrKjzMhm2HJfxQ-qVlJlJQ25Hne1d0khsySbZyGtPA/edit?usp=sharing"",""ระนอง!R735"")+IMPORTRANGE(""https://docs.google.com/spreadsheets/d/"&amp;"1IbSCnFOKpZsnFogBHJnL_isstZVaOMnFiIN0fGTPZZw/edit?usp=sharing"",""สงขลา!R735"")+IMPORTRANGE(""https://docs.google.com/spreadsheets/d/1q9nWasZJ-K8bFGvbE9n0qSRuKGA4Toe3Y89cKCiVtCU/edit?usp=sharing"",""สตูล!R735"")+IMPORTRANGE(""https://docs.google.com/sprea"&amp;"dsheets/d/18T20gbkS_WBjdscyTOV05cvq_JqvqQ17C81mpxf7Ncs/edit?usp=sharing"",""สุราษฎร์ธานี!R735"")"),0)</f>
        <v>0</v>
      </c>
      <c r="S735" s="49">
        <f ca="1">IFERROR(__xludf.DUMMYFUNCTION("IMPORTRANGE(""https://docs.google.com/spreadsheets/d/1kKUcYdkIfrgTSj8iHHHB2MD2FAtwyyocFgqGQn6ADyI/edit?usp=sharing"",""กระบี่!S735"")+IMPORTRANGE(""https://docs.google.com/spreadsheets/d/1GwtLaSlNZkLk7iDqcyZz22giiy40b_usZZBXYciEN1U/edit?usp=sharing"",""ชุ"&amp;"มพร!S735"")+IMPORTRANGE(""https://docs.google.com/spreadsheets/d/16pAz3pOhQEZBhvFNMa5KGgZS6iKWpsKX0pg6tQmwFpo/edit?usp=sharing"",""ตรัง!S735"")+IMPORTRANGE(""https://docs.google.com/spreadsheets/d/1Dj4jcHCTV9JXKCaMoheSXS52JE63kDKyG7bPXnFogHk/edit?usp=shar"&amp;"ing"",""นครศรีธรรมราช!S735"")+IMPORTRANGE(""https://docs.google.com/spreadsheets/d/1iodCdmuK2GR3jzUwk8tpccY2JHQQA-87DLOtJP-ooyU/edit?usp=sharing"",""นราธิวาส!S735"")+IMPORTRANGE(""https://docs.google.com/spreadsheets/d/1SDNX3JhDdYRuIOsj0Wh2M-Qa_eaXl0NbWmh"&amp;"AOTbfQAs/edit?usp=sharing"",""ปัตตานี!S735"")+IMPORTRANGE(""https://docs.google.com/spreadsheets/d/16JDLGguT8s5DsGCND1KcwHP_AWR_zDMTqLHPLJUKhaU/edit?usp=sharing"",""พังงา!S735"")+IMPORTRANGE(""https://docs.google.com/spreadsheets/d/17ht0gPKzzT3PObBL1XJkeR"&amp;"mntBXI7wGjpLV7QorqlTk/edit?usp=sharing"",""พัทลุง!S735"")+IMPORTRANGE(""https://docs.google.com/spreadsheets/d/1rd4qoM1q_hsgaolqNGfrim9gbsoLxQsda4-vOz5x_BM/edit?usp=sharing"",""ภูเก็ต!S735"")+IMPORTRANGE(""https://docs.google.com/spreadsheets/d/1woKwKjgoL"&amp;"ssDvPcPeVyezB5izizAn4X1JDrys69n6xI/edit?usp=sharing"",""ยะลา!S735"")+IMPORTRANGE(""https://docs.google.com/spreadsheets/d/1qfrKjzMhm2HJfxQ-qVlJlJQ25Hne1d0khsySbZyGtPA/edit?usp=sharing"",""ระนอง!S735"")+IMPORTRANGE(""https://docs.google.com/spreadsheets/d/"&amp;"1IbSCnFOKpZsnFogBHJnL_isstZVaOMnFiIN0fGTPZZw/edit?usp=sharing"",""สงขลา!S735"")+IMPORTRANGE(""https://docs.google.com/spreadsheets/d/1q9nWasZJ-K8bFGvbE9n0qSRuKGA4Toe3Y89cKCiVtCU/edit?usp=sharing"",""สตูล!S735"")+IMPORTRANGE(""https://docs.google.com/sprea"&amp;"dsheets/d/18T20gbkS_WBjdscyTOV05cvq_JqvqQ17C81mpxf7Ncs/edit?usp=sharing"",""สุราษฎร์ธานี!S735"")"),0)</f>
        <v>0</v>
      </c>
      <c r="T735" s="49">
        <f t="shared" ca="1" si="508"/>
        <v>0</v>
      </c>
      <c r="U735" s="49">
        <f t="shared" ca="1" si="509"/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7">
        <f ca="1">IFERROR(__xludf.DUMMYFUNCTION("IMPORTRANGE(""https://docs.google.com/spreadsheets/d/1kKUcYdkIfrgTSj8iHHHB2MD2FAtwyyocFgqGQn6ADyI/edit?usp=sharing"",""กระบี่!L736"")+IMPORTRANGE(""https://docs.google.com/spreadsheets/d/1GwtLaSlNZkLk7iDqcyZz22giiy40b_usZZBXYciEN1U/edit?usp=sharing"",""ชุ"&amp;"มพร!L736"")+IMPORTRANGE(""https://docs.google.com/spreadsheets/d/16pAz3pOhQEZBhvFNMa5KGgZS6iKWpsKX0pg6tQmwFpo/edit?usp=sharing"",""ตรัง!L736"")+IMPORTRANGE(""https://docs.google.com/spreadsheets/d/1Dj4jcHCTV9JXKCaMoheSXS52JE63kDKyG7bPXnFogHk/edit?usp=shar"&amp;"ing"",""นครศรีธรรมราช!L736"")+IMPORTRANGE(""https://docs.google.com/spreadsheets/d/1iodCdmuK2GR3jzUwk8tpccY2JHQQA-87DLOtJP-ooyU/edit?usp=sharing"",""นราธิวาส!L736"")+IMPORTRANGE(""https://docs.google.com/spreadsheets/d/1SDNX3JhDdYRuIOsj0Wh2M-Qa_eaXl0NbWmh"&amp;"AOTbfQAs/edit?usp=sharing"",""ปัตตานี!L736"")+IMPORTRANGE(""https://docs.google.com/spreadsheets/d/16JDLGguT8s5DsGCND1KcwHP_AWR_zDMTqLHPLJUKhaU/edit?usp=sharing"",""พังงา!L736"")+IMPORTRANGE(""https://docs.google.com/spreadsheets/d/17ht0gPKzzT3PObBL1XJkeR"&amp;"mntBXI7wGjpLV7QorqlTk/edit?usp=sharing"",""พัทลุง!L736"")+IMPORTRANGE(""https://docs.google.com/spreadsheets/d/1rd4qoM1q_hsgaolqNGfrim9gbsoLxQsda4-vOz5x_BM/edit?usp=sharing"",""ภูเก็ต!L736"")+IMPORTRANGE(""https://docs.google.com/spreadsheets/d/1woKwKjgoL"&amp;"ssDvPcPeVyezB5izizAn4X1JDrys69n6xI/edit?usp=sharing"",""ยะลา!L736"")+IMPORTRANGE(""https://docs.google.com/spreadsheets/d/1qfrKjzMhm2HJfxQ-qVlJlJQ25Hne1d0khsySbZyGtPA/edit?usp=sharing"",""ระนอง!L736"")+IMPORTRANGE(""https://docs.google.com/spreadsheets/d/"&amp;"1IbSCnFOKpZsnFogBHJnL_isstZVaOMnFiIN0fGTPZZw/edit?usp=sharing"",""สงขลา!L736"")+IMPORTRANGE(""https://docs.google.com/spreadsheets/d/1q9nWasZJ-K8bFGvbE9n0qSRuKGA4Toe3Y89cKCiVtCU/edit?usp=sharing"",""สตูล!L736"")+IMPORTRANGE(""https://docs.google.com/sprea"&amp;"dsheets/d/18T20gbkS_WBjdscyTOV05cvq_JqvqQ17C81mpxf7Ncs/edit?usp=sharing"",""สุราษฎร์ธานี!L736"")"),0)</f>
        <v>0</v>
      </c>
      <c r="M736" s="47">
        <f ca="1">IFERROR(__xludf.DUMMYFUNCTION("IMPORTRANGE(""https://docs.google.com/spreadsheets/d/1kKUcYdkIfrgTSj8iHHHB2MD2FAtwyyocFgqGQn6ADyI/edit?usp=sharing"",""กระบี่!M736"")+IMPORTRANGE(""https://docs.google.com/spreadsheets/d/1GwtLaSlNZkLk7iDqcyZz22giiy40b_usZZBXYciEN1U/edit?usp=sharing"",""ชุ"&amp;"มพร!M736"")+IMPORTRANGE(""https://docs.google.com/spreadsheets/d/16pAz3pOhQEZBhvFNMa5KGgZS6iKWpsKX0pg6tQmwFpo/edit?usp=sharing"",""ตรัง!M736"")+IMPORTRANGE(""https://docs.google.com/spreadsheets/d/1Dj4jcHCTV9JXKCaMoheSXS52JE63kDKyG7bPXnFogHk/edit?usp=shar"&amp;"ing"",""นครศรีธรรมราช!M736"")+IMPORTRANGE(""https://docs.google.com/spreadsheets/d/1iodCdmuK2GR3jzUwk8tpccY2JHQQA-87DLOtJP-ooyU/edit?usp=sharing"",""นราธิวาส!M736"")+IMPORTRANGE(""https://docs.google.com/spreadsheets/d/1SDNX3JhDdYRuIOsj0Wh2M-Qa_eaXl0NbWmh"&amp;"AOTbfQAs/edit?usp=sharing"",""ปัตตานี!M736"")+IMPORTRANGE(""https://docs.google.com/spreadsheets/d/16JDLGguT8s5DsGCND1KcwHP_AWR_zDMTqLHPLJUKhaU/edit?usp=sharing"",""พังงา!M736"")+IMPORTRANGE(""https://docs.google.com/spreadsheets/d/17ht0gPKzzT3PObBL1XJkeR"&amp;"mntBXI7wGjpLV7QorqlTk/edit?usp=sharing"",""พัทลุง!M736"")+IMPORTRANGE(""https://docs.google.com/spreadsheets/d/1rd4qoM1q_hsgaolqNGfrim9gbsoLxQsda4-vOz5x_BM/edit?usp=sharing"",""ภูเก็ต!M736"")+IMPORTRANGE(""https://docs.google.com/spreadsheets/d/1woKwKjgoL"&amp;"ssDvPcPeVyezB5izizAn4X1JDrys69n6xI/edit?usp=sharing"",""ยะลา!M736"")+IMPORTRANGE(""https://docs.google.com/spreadsheets/d/1qfrKjzMhm2HJfxQ-qVlJlJQ25Hne1d0khsySbZyGtPA/edit?usp=sharing"",""ระนอง!M736"")+IMPORTRANGE(""https://docs.google.com/spreadsheets/d/"&amp;"1IbSCnFOKpZsnFogBHJnL_isstZVaOMnFiIN0fGTPZZw/edit?usp=sharing"",""สงขลา!M736"")+IMPORTRANGE(""https://docs.google.com/spreadsheets/d/1q9nWasZJ-K8bFGvbE9n0qSRuKGA4Toe3Y89cKCiVtCU/edit?usp=sharing"",""สตูล!M736"")+IMPORTRANGE(""https://docs.google.com/sprea"&amp;"dsheets/d/18T20gbkS_WBjdscyTOV05cvq_JqvqQ17C81mpxf7Ncs/edit?usp=sharing"",""สุราษฎร์ธานี!M736"")"),0)</f>
        <v>0</v>
      </c>
      <c r="N736" s="47">
        <f ca="1">IFERROR(__xludf.DUMMYFUNCTION("IMPORTRANGE(""https://docs.google.com/spreadsheets/d/1kKUcYdkIfrgTSj8iHHHB2MD2FAtwyyocFgqGQn6ADyI/edit?usp=sharing"",""กระบี่!N736"")+IMPORTRANGE(""https://docs.google.com/spreadsheets/d/1GwtLaSlNZkLk7iDqcyZz22giiy40b_usZZBXYciEN1U/edit?usp=sharing"",""ชุ"&amp;"มพร!N736"")+IMPORTRANGE(""https://docs.google.com/spreadsheets/d/16pAz3pOhQEZBhvFNMa5KGgZS6iKWpsKX0pg6tQmwFpo/edit?usp=sharing"",""ตรัง!N736"")+IMPORTRANGE(""https://docs.google.com/spreadsheets/d/1Dj4jcHCTV9JXKCaMoheSXS52JE63kDKyG7bPXnFogHk/edit?usp=shar"&amp;"ing"",""นครศรีธรรมราช!N736"")+IMPORTRANGE(""https://docs.google.com/spreadsheets/d/1iodCdmuK2GR3jzUwk8tpccY2JHQQA-87DLOtJP-ooyU/edit?usp=sharing"",""นราธิวาส!N736"")+IMPORTRANGE(""https://docs.google.com/spreadsheets/d/1SDNX3JhDdYRuIOsj0Wh2M-Qa_eaXl0NbWmh"&amp;"AOTbfQAs/edit?usp=sharing"",""ปัตตานี!N736"")+IMPORTRANGE(""https://docs.google.com/spreadsheets/d/16JDLGguT8s5DsGCND1KcwHP_AWR_zDMTqLHPLJUKhaU/edit?usp=sharing"",""พังงา!N736"")+IMPORTRANGE(""https://docs.google.com/spreadsheets/d/17ht0gPKzzT3PObBL1XJkeR"&amp;"mntBXI7wGjpLV7QorqlTk/edit?usp=sharing"",""พัทลุง!N736"")+IMPORTRANGE(""https://docs.google.com/spreadsheets/d/1rd4qoM1q_hsgaolqNGfrim9gbsoLxQsda4-vOz5x_BM/edit?usp=sharing"",""ภูเก็ต!N736"")+IMPORTRANGE(""https://docs.google.com/spreadsheets/d/1woKwKjgoL"&amp;"ssDvPcPeVyezB5izizAn4X1JDrys69n6xI/edit?usp=sharing"",""ยะลา!N736"")+IMPORTRANGE(""https://docs.google.com/spreadsheets/d/1qfrKjzMhm2HJfxQ-qVlJlJQ25Hne1d0khsySbZyGtPA/edit?usp=sharing"",""ระนอง!N736"")+IMPORTRANGE(""https://docs.google.com/spreadsheets/d/"&amp;"1IbSCnFOKpZsnFogBHJnL_isstZVaOMnFiIN0fGTPZZw/edit?usp=sharing"",""สงขลา!N736"")+IMPORTRANGE(""https://docs.google.com/spreadsheets/d/1q9nWasZJ-K8bFGvbE9n0qSRuKGA4Toe3Y89cKCiVtCU/edit?usp=sharing"",""สตูล!N736"")+IMPORTRANGE(""https://docs.google.com/sprea"&amp;"dsheets/d/18T20gbkS_WBjdscyTOV05cvq_JqvqQ17C81mpxf7Ncs/edit?usp=sharing"",""สุราษฎร์ธานี!N736"")"),0)</f>
        <v>0</v>
      </c>
      <c r="O736" s="47">
        <f t="shared" ca="1" si="505"/>
        <v>0</v>
      </c>
      <c r="P736" s="47">
        <f t="shared" ca="1" si="506"/>
        <v>0</v>
      </c>
      <c r="Q736" s="47">
        <f ca="1">IFERROR(__xludf.DUMMYFUNCTION("IMPORTRANGE(""https://docs.google.com/spreadsheets/d/1kKUcYdkIfrgTSj8iHHHB2MD2FAtwyyocFgqGQn6ADyI/edit?usp=sharing"",""กระบี่!Q736"")+IMPORTRANGE(""https://docs.google.com/spreadsheets/d/1GwtLaSlNZkLk7iDqcyZz22giiy40b_usZZBXYciEN1U/edit?usp=sharing"",""ชุ"&amp;"มพร!Q736"")+IMPORTRANGE(""https://docs.google.com/spreadsheets/d/16pAz3pOhQEZBhvFNMa5KGgZS6iKWpsKX0pg6tQmwFpo/edit?usp=sharing"",""ตรัง!Q736"")+IMPORTRANGE(""https://docs.google.com/spreadsheets/d/1Dj4jcHCTV9JXKCaMoheSXS52JE63kDKyG7bPXnFogHk/edit?usp=shar"&amp;"ing"",""นครศรีธรรมราช!Q736"")+IMPORTRANGE(""https://docs.google.com/spreadsheets/d/1iodCdmuK2GR3jzUwk8tpccY2JHQQA-87DLOtJP-ooyU/edit?usp=sharing"",""นราธิวาส!Q736"")+IMPORTRANGE(""https://docs.google.com/spreadsheets/d/1SDNX3JhDdYRuIOsj0Wh2M-Qa_eaXl0NbWmh"&amp;"AOTbfQAs/edit?usp=sharing"",""ปัตตานี!Q736"")+IMPORTRANGE(""https://docs.google.com/spreadsheets/d/16JDLGguT8s5DsGCND1KcwHP_AWR_zDMTqLHPLJUKhaU/edit?usp=sharing"",""พังงา!Q736"")+IMPORTRANGE(""https://docs.google.com/spreadsheets/d/17ht0gPKzzT3PObBL1XJkeR"&amp;"mntBXI7wGjpLV7QorqlTk/edit?usp=sharing"",""พัทลุง!Q736"")+IMPORTRANGE(""https://docs.google.com/spreadsheets/d/1rd4qoM1q_hsgaolqNGfrim9gbsoLxQsda4-vOz5x_BM/edit?usp=sharing"",""ภูเก็ต!Q736"")+IMPORTRANGE(""https://docs.google.com/spreadsheets/d/1woKwKjgoL"&amp;"ssDvPcPeVyezB5izizAn4X1JDrys69n6xI/edit?usp=sharing"",""ยะลา!Q736"")+IMPORTRANGE(""https://docs.google.com/spreadsheets/d/1qfrKjzMhm2HJfxQ-qVlJlJQ25Hne1d0khsySbZyGtPA/edit?usp=sharing"",""ระนอง!Q736"")+IMPORTRANGE(""https://docs.google.com/spreadsheets/d/"&amp;"1IbSCnFOKpZsnFogBHJnL_isstZVaOMnFiIN0fGTPZZw/edit?usp=sharing"",""สงขลา!Q736"")+IMPORTRANGE(""https://docs.google.com/spreadsheets/d/1q9nWasZJ-K8bFGvbE9n0qSRuKGA4Toe3Y89cKCiVtCU/edit?usp=sharing"",""สตูล!Q736"")+IMPORTRANGE(""https://docs.google.com/sprea"&amp;"dsheets/d/18T20gbkS_WBjdscyTOV05cvq_JqvqQ17C81mpxf7Ncs/edit?usp=sharing"",""สุราษฎร์ธานี!Q736"")"),0)</f>
        <v>0</v>
      </c>
      <c r="R736" s="47">
        <f ca="1">IFERROR(__xludf.DUMMYFUNCTION("IMPORTRANGE(""https://docs.google.com/spreadsheets/d/1kKUcYdkIfrgTSj8iHHHB2MD2FAtwyyocFgqGQn6ADyI/edit?usp=sharing"",""กระบี่!R736"")+IMPORTRANGE(""https://docs.google.com/spreadsheets/d/1GwtLaSlNZkLk7iDqcyZz22giiy40b_usZZBXYciEN1U/edit?usp=sharing"",""ชุ"&amp;"มพร!R736"")+IMPORTRANGE(""https://docs.google.com/spreadsheets/d/16pAz3pOhQEZBhvFNMa5KGgZS6iKWpsKX0pg6tQmwFpo/edit?usp=sharing"",""ตรัง!R736"")+IMPORTRANGE(""https://docs.google.com/spreadsheets/d/1Dj4jcHCTV9JXKCaMoheSXS52JE63kDKyG7bPXnFogHk/edit?usp=shar"&amp;"ing"",""นครศรีธรรมราช!R736"")+IMPORTRANGE(""https://docs.google.com/spreadsheets/d/1iodCdmuK2GR3jzUwk8tpccY2JHQQA-87DLOtJP-ooyU/edit?usp=sharing"",""นราธิวาส!R736"")+IMPORTRANGE(""https://docs.google.com/spreadsheets/d/1SDNX3JhDdYRuIOsj0Wh2M-Qa_eaXl0NbWmh"&amp;"AOTbfQAs/edit?usp=sharing"",""ปัตตานี!R736"")+IMPORTRANGE(""https://docs.google.com/spreadsheets/d/16JDLGguT8s5DsGCND1KcwHP_AWR_zDMTqLHPLJUKhaU/edit?usp=sharing"",""พังงา!R736"")+IMPORTRANGE(""https://docs.google.com/spreadsheets/d/17ht0gPKzzT3PObBL1XJkeR"&amp;"mntBXI7wGjpLV7QorqlTk/edit?usp=sharing"",""พัทลุง!R736"")+IMPORTRANGE(""https://docs.google.com/spreadsheets/d/1rd4qoM1q_hsgaolqNGfrim9gbsoLxQsda4-vOz5x_BM/edit?usp=sharing"",""ภูเก็ต!R736"")+IMPORTRANGE(""https://docs.google.com/spreadsheets/d/1woKwKjgoL"&amp;"ssDvPcPeVyezB5izizAn4X1JDrys69n6xI/edit?usp=sharing"",""ยะลา!R736"")+IMPORTRANGE(""https://docs.google.com/spreadsheets/d/1qfrKjzMhm2HJfxQ-qVlJlJQ25Hne1d0khsySbZyGtPA/edit?usp=sharing"",""ระนอง!R736"")+IMPORTRANGE(""https://docs.google.com/spreadsheets/d/"&amp;"1IbSCnFOKpZsnFogBHJnL_isstZVaOMnFiIN0fGTPZZw/edit?usp=sharing"",""สงขลา!R736"")+IMPORTRANGE(""https://docs.google.com/spreadsheets/d/1q9nWasZJ-K8bFGvbE9n0qSRuKGA4Toe3Y89cKCiVtCU/edit?usp=sharing"",""สตูล!R736"")+IMPORTRANGE(""https://docs.google.com/sprea"&amp;"dsheets/d/18T20gbkS_WBjdscyTOV05cvq_JqvqQ17C81mpxf7Ncs/edit?usp=sharing"",""สุราษฎร์ธานี!R736"")"),0)</f>
        <v>0</v>
      </c>
      <c r="S736" s="47">
        <f ca="1">IFERROR(__xludf.DUMMYFUNCTION("IMPORTRANGE(""https://docs.google.com/spreadsheets/d/1kKUcYdkIfrgTSj8iHHHB2MD2FAtwyyocFgqGQn6ADyI/edit?usp=sharing"",""กระบี่!S736"")+IMPORTRANGE(""https://docs.google.com/spreadsheets/d/1GwtLaSlNZkLk7iDqcyZz22giiy40b_usZZBXYciEN1U/edit?usp=sharing"",""ชุ"&amp;"มพร!S736"")+IMPORTRANGE(""https://docs.google.com/spreadsheets/d/16pAz3pOhQEZBhvFNMa5KGgZS6iKWpsKX0pg6tQmwFpo/edit?usp=sharing"",""ตรัง!S736"")+IMPORTRANGE(""https://docs.google.com/spreadsheets/d/1Dj4jcHCTV9JXKCaMoheSXS52JE63kDKyG7bPXnFogHk/edit?usp=shar"&amp;"ing"",""นครศรีธรรมราช!S736"")+IMPORTRANGE(""https://docs.google.com/spreadsheets/d/1iodCdmuK2GR3jzUwk8tpccY2JHQQA-87DLOtJP-ooyU/edit?usp=sharing"",""นราธิวาส!S736"")+IMPORTRANGE(""https://docs.google.com/spreadsheets/d/1SDNX3JhDdYRuIOsj0Wh2M-Qa_eaXl0NbWmh"&amp;"AOTbfQAs/edit?usp=sharing"",""ปัตตานี!S736"")+IMPORTRANGE(""https://docs.google.com/spreadsheets/d/16JDLGguT8s5DsGCND1KcwHP_AWR_zDMTqLHPLJUKhaU/edit?usp=sharing"",""พังงา!S736"")+IMPORTRANGE(""https://docs.google.com/spreadsheets/d/17ht0gPKzzT3PObBL1XJkeR"&amp;"mntBXI7wGjpLV7QorqlTk/edit?usp=sharing"",""พัทลุง!S736"")+IMPORTRANGE(""https://docs.google.com/spreadsheets/d/1rd4qoM1q_hsgaolqNGfrim9gbsoLxQsda4-vOz5x_BM/edit?usp=sharing"",""ภูเก็ต!S736"")+IMPORTRANGE(""https://docs.google.com/spreadsheets/d/1woKwKjgoL"&amp;"ssDvPcPeVyezB5izizAn4X1JDrys69n6xI/edit?usp=sharing"",""ยะลา!S736"")+IMPORTRANGE(""https://docs.google.com/spreadsheets/d/1qfrKjzMhm2HJfxQ-qVlJlJQ25Hne1d0khsySbZyGtPA/edit?usp=sharing"",""ระนอง!S736"")+IMPORTRANGE(""https://docs.google.com/spreadsheets/d/"&amp;"1IbSCnFOKpZsnFogBHJnL_isstZVaOMnFiIN0fGTPZZw/edit?usp=sharing"",""สงขลา!S736"")+IMPORTRANGE(""https://docs.google.com/spreadsheets/d/1q9nWasZJ-K8bFGvbE9n0qSRuKGA4Toe3Y89cKCiVtCU/edit?usp=sharing"",""สตูล!S736"")+IMPORTRANGE(""https://docs.google.com/sprea"&amp;"dsheets/d/18T20gbkS_WBjdscyTOV05cvq_JqvqQ17C81mpxf7Ncs/edit?usp=sharing"",""สุราษฎร์ธานี!S736"")"),0)</f>
        <v>0</v>
      </c>
      <c r="T736" s="47">
        <f t="shared" ca="1" si="508"/>
        <v>0</v>
      </c>
      <c r="U736" s="47">
        <f t="shared" ca="1" si="509"/>
        <v>0</v>
      </c>
    </row>
    <row r="737" spans="1:21" ht="19.5" x14ac:dyDescent="0.3">
      <c r="A737" s="138"/>
      <c r="B737" s="139"/>
      <c r="C737" s="188" t="s">
        <v>18</v>
      </c>
      <c r="D737" s="325" t="s">
        <v>38</v>
      </c>
      <c r="E737" s="212"/>
      <c r="F737" s="141"/>
      <c r="G737" s="142"/>
      <c r="H737" s="189"/>
      <c r="I737" s="45"/>
      <c r="J737" s="45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72" t="s">
        <v>274</v>
      </c>
      <c r="G740" s="143"/>
      <c r="H740" s="133" t="s">
        <v>46</v>
      </c>
      <c r="I740" s="152">
        <f ca="1">IFERROR(__xludf.DUMMYFUNCTION("IMPORTRANGE(""https://docs.google.com/spreadsheets/d/1kKUcYdkIfrgTSj8iHHHB2MD2FAtwyyocFgqGQn6ADyI/edit?usp=sharing"",""กระบี่!I740"")+IMPORTRANGE(""https://docs.google.com/spreadsheets/d/1GwtLaSlNZkLk7iDqcyZz22giiy40b_usZZBXYciEN1U/edit?usp=sharing"",""ชุ"&amp;"มพร!I740"")+IMPORTRANGE(""https://docs.google.com/spreadsheets/d/16pAz3pOhQEZBhvFNMa5KGgZS6iKWpsKX0pg6tQmwFpo/edit?usp=sharing"",""ตรัง!I740"")+IMPORTRANGE(""https://docs.google.com/spreadsheets/d/1Dj4jcHCTV9JXKCaMoheSXS52JE63kDKyG7bPXnFogHk/edit?usp=shar"&amp;"ing"",""นครศรีธรรมราช!I740"")+IMPORTRANGE(""https://docs.google.com/spreadsheets/d/1iodCdmuK2GR3jzUwk8tpccY2JHQQA-87DLOtJP-ooyU/edit?usp=sharing"",""นราธิวาส!I740"")+IMPORTRANGE(""https://docs.google.com/spreadsheets/d/1SDNX3JhDdYRuIOsj0Wh2M-Qa_eaXl0NbWmh"&amp;"AOTbfQAs/edit?usp=sharing"",""ปัตตานี!I740"")+IMPORTRANGE(""https://docs.google.com/spreadsheets/d/16JDLGguT8s5DsGCND1KcwHP_AWR_zDMTqLHPLJUKhaU/edit?usp=sharing"",""พังงา!I740"")+IMPORTRANGE(""https://docs.google.com/spreadsheets/d/17ht0gPKzzT3PObBL1XJkeR"&amp;"mntBXI7wGjpLV7QorqlTk/edit?usp=sharing"",""พัทลุง!I740"")+IMPORTRANGE(""https://docs.google.com/spreadsheets/d/1rd4qoM1q_hsgaolqNGfrim9gbsoLxQsda4-vOz5x_BM/edit?usp=sharing"",""ภูเก็ต!I740"")+IMPORTRANGE(""https://docs.google.com/spreadsheets/d/1woKwKjgoL"&amp;"ssDvPcPeVyezB5izizAn4X1JDrys69n6xI/edit?usp=sharing"",""ยะลา!I740"")+IMPORTRANGE(""https://docs.google.com/spreadsheets/d/1qfrKjzMhm2HJfxQ-qVlJlJQ25Hne1d0khsySbZyGtPA/edit?usp=sharing"",""ระนอง!I740"")+IMPORTRANGE(""https://docs.google.com/spreadsheets/d/"&amp;"1IbSCnFOKpZsnFogBHJnL_isstZVaOMnFiIN0fGTPZZw/edit?usp=sharing"",""สงขลา!I740"")+IMPORTRANGE(""https://docs.google.com/spreadsheets/d/1q9nWasZJ-K8bFGvbE9n0qSRuKGA4Toe3Y89cKCiVtCU/edit?usp=sharing"",""สตูล!I740"")+IMPORTRANGE(""https://docs.google.com/sprea"&amp;"dsheets/d/18T20gbkS_WBjdscyTOV05cvq_JqvqQ17C81mpxf7Ncs/edit?usp=sharing"",""สุราษฎร์ธานี!I740"")"),2160)</f>
        <v>2160</v>
      </c>
      <c r="J740" s="167">
        <f ca="1">IFERROR(__xludf.DUMMYFUNCTION("IMPORTRANGE(""https://docs.google.com/spreadsheets/d/1kKUcYdkIfrgTSj8iHHHB2MD2FAtwyyocFgqGQn6ADyI/edit?usp=sharing"",""กระบี่!J740"")+IMPORTRANGE(""https://docs.google.com/spreadsheets/d/1GwtLaSlNZkLk7iDqcyZz22giiy40b_usZZBXYciEN1U/edit?usp=sharing"",""ชุ"&amp;"มพร!J740"")+IMPORTRANGE(""https://docs.google.com/spreadsheets/d/16pAz3pOhQEZBhvFNMa5KGgZS6iKWpsKX0pg6tQmwFpo/edit?usp=sharing"",""ตรัง!J740"")+IMPORTRANGE(""https://docs.google.com/spreadsheets/d/1Dj4jcHCTV9JXKCaMoheSXS52JE63kDKyG7bPXnFogHk/edit?usp=shar"&amp;"ing"",""นครศรีธรรมราช!J740"")+IMPORTRANGE(""https://docs.google.com/spreadsheets/d/1iodCdmuK2GR3jzUwk8tpccY2JHQQA-87DLOtJP-ooyU/edit?usp=sharing"",""นราธิวาส!J740"")+IMPORTRANGE(""https://docs.google.com/spreadsheets/d/1SDNX3JhDdYRuIOsj0Wh2M-Qa_eaXl0NbWmh"&amp;"AOTbfQAs/edit?usp=sharing"",""ปัตตานี!J740"")+IMPORTRANGE(""https://docs.google.com/spreadsheets/d/16JDLGguT8s5DsGCND1KcwHP_AWR_zDMTqLHPLJUKhaU/edit?usp=sharing"",""พังงา!J740"")+IMPORTRANGE(""https://docs.google.com/spreadsheets/d/17ht0gPKzzT3PObBL1XJkeR"&amp;"mntBXI7wGjpLV7QorqlTk/edit?usp=sharing"",""พัทลุง!J740"")+IMPORTRANGE(""https://docs.google.com/spreadsheets/d/1rd4qoM1q_hsgaolqNGfrim9gbsoLxQsda4-vOz5x_BM/edit?usp=sharing"",""ภูเก็ต!J740"")+IMPORTRANGE(""https://docs.google.com/spreadsheets/d/1woKwKjgoL"&amp;"ssDvPcPeVyezB5izizAn4X1JDrys69n6xI/edit?usp=sharing"",""ยะลา!J740"")+IMPORTRANGE(""https://docs.google.com/spreadsheets/d/1qfrKjzMhm2HJfxQ-qVlJlJQ25Hne1d0khsySbZyGtPA/edit?usp=sharing"",""ระนอง!J740"")+IMPORTRANGE(""https://docs.google.com/spreadsheets/d/"&amp;"1IbSCnFOKpZsnFogBHJnL_isstZVaOMnFiIN0fGTPZZw/edit?usp=sharing"",""สงขลา!J740"")+IMPORTRANGE(""https://docs.google.com/spreadsheets/d/1q9nWasZJ-K8bFGvbE9n0qSRuKGA4Toe3Y89cKCiVtCU/edit?usp=sharing"",""สตูล!J740"")+IMPORTRANGE(""https://docs.google.com/sprea"&amp;"dsheets/d/18T20gbkS_WBjdscyTOV05cvq_JqvqQ17C81mpxf7Ncs/edit?usp=sharing"",""สุราษฎร์ธานี!J740"")"),1295)</f>
        <v>1295</v>
      </c>
      <c r="K740" s="47">
        <f ca="1">IF(I740&gt;0,J740*100/I740,0)</f>
        <v>59.953703703703702</v>
      </c>
      <c r="L740" s="46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8"/>
      <c r="B741" s="139"/>
      <c r="C741" s="139"/>
      <c r="D741" s="139"/>
      <c r="E741" s="139"/>
      <c r="F741" s="472" t="s">
        <v>275</v>
      </c>
      <c r="G741" s="143"/>
      <c r="H741" s="133" t="s">
        <v>35</v>
      </c>
      <c r="I741" s="45"/>
      <c r="J741" s="167">
        <f ca="1">IFERROR(__xludf.DUMMYFUNCTION("IMPORTRANGE(""https://docs.google.com/spreadsheets/d/1kKUcYdkIfrgTSj8iHHHB2MD2FAtwyyocFgqGQn6ADyI/edit?usp=sharing"",""กระบี่!J741"")+IMPORTRANGE(""https://docs.google.com/spreadsheets/d/1GwtLaSlNZkLk7iDqcyZz22giiy40b_usZZBXYciEN1U/edit?usp=sharing"",""ชุ"&amp;"มพร!J741"")+IMPORTRANGE(""https://docs.google.com/spreadsheets/d/16pAz3pOhQEZBhvFNMa5KGgZS6iKWpsKX0pg6tQmwFpo/edit?usp=sharing"",""ตรัง!J741"")+IMPORTRANGE(""https://docs.google.com/spreadsheets/d/1Dj4jcHCTV9JXKCaMoheSXS52JE63kDKyG7bPXnFogHk/edit?usp=shar"&amp;"ing"",""นครศรีธรรมราช!J741"")+IMPORTRANGE(""https://docs.google.com/spreadsheets/d/1iodCdmuK2GR3jzUwk8tpccY2JHQQA-87DLOtJP-ooyU/edit?usp=sharing"",""นราธิวาส!J741"")+IMPORTRANGE(""https://docs.google.com/spreadsheets/d/1SDNX3JhDdYRuIOsj0Wh2M-Qa_eaXl0NbWmh"&amp;"AOTbfQAs/edit?usp=sharing"",""ปัตตานี!J741"")+IMPORTRANGE(""https://docs.google.com/spreadsheets/d/16JDLGguT8s5DsGCND1KcwHP_AWR_zDMTqLHPLJUKhaU/edit?usp=sharing"",""พังงา!J741"")+IMPORTRANGE(""https://docs.google.com/spreadsheets/d/17ht0gPKzzT3PObBL1XJkeR"&amp;"mntBXI7wGjpLV7QorqlTk/edit?usp=sharing"",""พัทลุง!J741"")+IMPORTRANGE(""https://docs.google.com/spreadsheets/d/1rd4qoM1q_hsgaolqNGfrim9gbsoLxQsda4-vOz5x_BM/edit?usp=sharing"",""ภูเก็ต!J741"")+IMPORTRANGE(""https://docs.google.com/spreadsheets/d/1woKwKjgoL"&amp;"ssDvPcPeVyezB5izizAn4X1JDrys69n6xI/edit?usp=sharing"",""ยะลา!J741"")+IMPORTRANGE(""https://docs.google.com/spreadsheets/d/1qfrKjzMhm2HJfxQ-qVlJlJQ25Hne1d0khsySbZyGtPA/edit?usp=sharing"",""ระนอง!J741"")+IMPORTRANGE(""https://docs.google.com/spreadsheets/d/"&amp;"1IbSCnFOKpZsnFogBHJnL_isstZVaOMnFiIN0fGTPZZw/edit?usp=sharing"",""สงขลา!J741"")+IMPORTRANGE(""https://docs.google.com/spreadsheets/d/1q9nWasZJ-K8bFGvbE9n0qSRuKGA4Toe3Y89cKCiVtCU/edit?usp=sharing"",""สตูล!J741"")+IMPORTRANGE(""https://docs.google.com/sprea"&amp;"dsheets/d/18T20gbkS_WBjdscyTOV05cvq_JqvqQ17C81mpxf7Ncs/edit?usp=sharing"",""สุราษฎร์ธานี!J741"")"),64)</f>
        <v>64</v>
      </c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8"/>
      <c r="B742" s="139"/>
      <c r="C742" s="139"/>
      <c r="D742" s="139"/>
      <c r="E742" s="139"/>
      <c r="F742" s="472" t="s">
        <v>276</v>
      </c>
      <c r="G742" s="143"/>
      <c r="H742" s="133" t="s">
        <v>35</v>
      </c>
      <c r="I742" s="152">
        <f ca="1">IFERROR(__xludf.DUMMYFUNCTION("IMPORTRANGE(""https://docs.google.com/spreadsheets/d/1kKUcYdkIfrgTSj8iHHHB2MD2FAtwyyocFgqGQn6ADyI/edit?usp=sharing"",""กระบี่!I742"")+IMPORTRANGE(""https://docs.google.com/spreadsheets/d/1GwtLaSlNZkLk7iDqcyZz22giiy40b_usZZBXYciEN1U/edit?usp=sharing"",""ชุ"&amp;"มพร!I742"")+IMPORTRANGE(""https://docs.google.com/spreadsheets/d/16pAz3pOhQEZBhvFNMa5KGgZS6iKWpsKX0pg6tQmwFpo/edit?usp=sharing"",""ตรัง!I742"")+IMPORTRANGE(""https://docs.google.com/spreadsheets/d/1Dj4jcHCTV9JXKCaMoheSXS52JE63kDKyG7bPXnFogHk/edit?usp=shar"&amp;"ing"",""นครศรีธรรมราช!I742"")+IMPORTRANGE(""https://docs.google.com/spreadsheets/d/1iodCdmuK2GR3jzUwk8tpccY2JHQQA-87DLOtJP-ooyU/edit?usp=sharing"",""นราธิวาส!I742"")+IMPORTRANGE(""https://docs.google.com/spreadsheets/d/1SDNX3JhDdYRuIOsj0Wh2M-Qa_eaXl0NbWmh"&amp;"AOTbfQAs/edit?usp=sharing"",""ปัตตานี!I742"")+IMPORTRANGE(""https://docs.google.com/spreadsheets/d/16JDLGguT8s5DsGCND1KcwHP_AWR_zDMTqLHPLJUKhaU/edit?usp=sharing"",""พังงา!I742"")+IMPORTRANGE(""https://docs.google.com/spreadsheets/d/17ht0gPKzzT3PObBL1XJkeR"&amp;"mntBXI7wGjpLV7QorqlTk/edit?usp=sharing"",""พัทลุง!I742"")+IMPORTRANGE(""https://docs.google.com/spreadsheets/d/1rd4qoM1q_hsgaolqNGfrim9gbsoLxQsda4-vOz5x_BM/edit?usp=sharing"",""ภูเก็ต!I742"")+IMPORTRANGE(""https://docs.google.com/spreadsheets/d/1woKwKjgoL"&amp;"ssDvPcPeVyezB5izizAn4X1JDrys69n6xI/edit?usp=sharing"",""ยะลา!I742"")+IMPORTRANGE(""https://docs.google.com/spreadsheets/d/1qfrKjzMhm2HJfxQ-qVlJlJQ25Hne1d0khsySbZyGtPA/edit?usp=sharing"",""ระนอง!I742"")+IMPORTRANGE(""https://docs.google.com/spreadsheets/d/"&amp;"1IbSCnFOKpZsnFogBHJnL_isstZVaOMnFiIN0fGTPZZw/edit?usp=sharing"",""สงขลา!I742"")+IMPORTRANGE(""https://docs.google.com/spreadsheets/d/1q9nWasZJ-K8bFGvbE9n0qSRuKGA4Toe3Y89cKCiVtCU/edit?usp=sharing"",""สตูล!I742"")+IMPORTRANGE(""https://docs.google.com/sprea"&amp;"dsheets/d/18T20gbkS_WBjdscyTOV05cvq_JqvqQ17C81mpxf7Ncs/edit?usp=sharing"",""สุราษฎร์ธานี!I742"")"),216)</f>
        <v>216</v>
      </c>
      <c r="J742" s="167">
        <f ca="1">IFERROR(__xludf.DUMMYFUNCTION("IMPORTRANGE(""https://docs.google.com/spreadsheets/d/1kKUcYdkIfrgTSj8iHHHB2MD2FAtwyyocFgqGQn6ADyI/edit?usp=sharing"",""กระบี่!J742"")+IMPORTRANGE(""https://docs.google.com/spreadsheets/d/1GwtLaSlNZkLk7iDqcyZz22giiy40b_usZZBXYciEN1U/edit?usp=sharing"",""ชุ"&amp;"มพร!J742"")+IMPORTRANGE(""https://docs.google.com/spreadsheets/d/16pAz3pOhQEZBhvFNMa5KGgZS6iKWpsKX0pg6tQmwFpo/edit?usp=sharing"",""ตรัง!J742"")+IMPORTRANGE(""https://docs.google.com/spreadsheets/d/1Dj4jcHCTV9JXKCaMoheSXS52JE63kDKyG7bPXnFogHk/edit?usp=shar"&amp;"ing"",""นครศรีธรรมราช!J742"")+IMPORTRANGE(""https://docs.google.com/spreadsheets/d/1iodCdmuK2GR3jzUwk8tpccY2JHQQA-87DLOtJP-ooyU/edit?usp=sharing"",""นราธิวาส!J742"")+IMPORTRANGE(""https://docs.google.com/spreadsheets/d/1SDNX3JhDdYRuIOsj0Wh2M-Qa_eaXl0NbWmh"&amp;"AOTbfQAs/edit?usp=sharing"",""ปัตตานี!J742"")+IMPORTRANGE(""https://docs.google.com/spreadsheets/d/16JDLGguT8s5DsGCND1KcwHP_AWR_zDMTqLHPLJUKhaU/edit?usp=sharing"",""พังงา!J742"")+IMPORTRANGE(""https://docs.google.com/spreadsheets/d/17ht0gPKzzT3PObBL1XJkeR"&amp;"mntBXI7wGjpLV7QorqlTk/edit?usp=sharing"",""พัทลุง!J742"")+IMPORTRANGE(""https://docs.google.com/spreadsheets/d/1rd4qoM1q_hsgaolqNGfrim9gbsoLxQsda4-vOz5x_BM/edit?usp=sharing"",""ภูเก็ต!J742"")+IMPORTRANGE(""https://docs.google.com/spreadsheets/d/1woKwKjgoL"&amp;"ssDvPcPeVyezB5izizAn4X1JDrys69n6xI/edit?usp=sharing"",""ยะลา!J742"")+IMPORTRANGE(""https://docs.google.com/spreadsheets/d/1qfrKjzMhm2HJfxQ-qVlJlJQ25Hne1d0khsySbZyGtPA/edit?usp=sharing"",""ระนอง!J742"")+IMPORTRANGE(""https://docs.google.com/spreadsheets/d/"&amp;"1IbSCnFOKpZsnFogBHJnL_isstZVaOMnFiIN0fGTPZZw/edit?usp=sharing"",""สงขลา!J742"")+IMPORTRANGE(""https://docs.google.com/spreadsheets/d/1q9nWasZJ-K8bFGvbE9n0qSRuKGA4Toe3Y89cKCiVtCU/edit?usp=sharing"",""สตูล!J742"")+IMPORTRANGE(""https://docs.google.com/sprea"&amp;"dsheets/d/18T20gbkS_WBjdscyTOV05cvq_JqvqQ17C81mpxf7Ncs/edit?usp=sharing"",""สุราษฎร์ธานี!J742"")"),129)</f>
        <v>129</v>
      </c>
      <c r="K742" s="47">
        <f ca="1">IF(I742&gt;0,J742*100/I742,0)</f>
        <v>59.722222222222221</v>
      </c>
      <c r="L742" s="46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8"/>
      <c r="B743" s="139"/>
      <c r="C743" s="139"/>
      <c r="D743" s="139"/>
      <c r="E743" s="472" t="s">
        <v>277</v>
      </c>
      <c r="F743" s="139"/>
      <c r="G743" s="143"/>
      <c r="H743" s="191"/>
      <c r="I743" s="45"/>
      <c r="J743" s="45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8"/>
      <c r="B744" s="139"/>
      <c r="C744" s="139"/>
      <c r="D744" s="139"/>
      <c r="E744" s="139"/>
      <c r="F744" s="472" t="s">
        <v>274</v>
      </c>
      <c r="G744" s="143"/>
      <c r="H744" s="133" t="s">
        <v>46</v>
      </c>
      <c r="I744" s="152">
        <f ca="1">IFERROR(__xludf.DUMMYFUNCTION("IMPORTRANGE(""https://docs.google.com/spreadsheets/d/1kKUcYdkIfrgTSj8iHHHB2MD2FAtwyyocFgqGQn6ADyI/edit?usp=sharing"",""กระบี่!I744"")+IMPORTRANGE(""https://docs.google.com/spreadsheets/d/1GwtLaSlNZkLk7iDqcyZz22giiy40b_usZZBXYciEN1U/edit?usp=sharing"",""ชุ"&amp;"มพร!I744"")+IMPORTRANGE(""https://docs.google.com/spreadsheets/d/16pAz3pOhQEZBhvFNMa5KGgZS6iKWpsKX0pg6tQmwFpo/edit?usp=sharing"",""ตรัง!I744"")+IMPORTRANGE(""https://docs.google.com/spreadsheets/d/1Dj4jcHCTV9JXKCaMoheSXS52JE63kDKyG7bPXnFogHk/edit?usp=shar"&amp;"ing"",""นครศรีธรรมราช!I744"")+IMPORTRANGE(""https://docs.google.com/spreadsheets/d/1iodCdmuK2GR3jzUwk8tpccY2JHQQA-87DLOtJP-ooyU/edit?usp=sharing"",""นราธิวาส!I744"")+IMPORTRANGE(""https://docs.google.com/spreadsheets/d/1SDNX3JhDdYRuIOsj0Wh2M-Qa_eaXl0NbWmh"&amp;"AOTbfQAs/edit?usp=sharing"",""ปัตตานี!I744"")+IMPORTRANGE(""https://docs.google.com/spreadsheets/d/16JDLGguT8s5DsGCND1KcwHP_AWR_zDMTqLHPLJUKhaU/edit?usp=sharing"",""พังงา!I744"")+IMPORTRANGE(""https://docs.google.com/spreadsheets/d/17ht0gPKzzT3PObBL1XJkeR"&amp;"mntBXI7wGjpLV7QorqlTk/edit?usp=sharing"",""พัทลุง!I744"")+IMPORTRANGE(""https://docs.google.com/spreadsheets/d/1rd4qoM1q_hsgaolqNGfrim9gbsoLxQsda4-vOz5x_BM/edit?usp=sharing"",""ภูเก็ต!I744"")+IMPORTRANGE(""https://docs.google.com/spreadsheets/d/1woKwKjgoL"&amp;"ssDvPcPeVyezB5izizAn4X1JDrys69n6xI/edit?usp=sharing"",""ยะลา!I744"")+IMPORTRANGE(""https://docs.google.com/spreadsheets/d/1qfrKjzMhm2HJfxQ-qVlJlJQ25Hne1d0khsySbZyGtPA/edit?usp=sharing"",""ระนอง!I744"")+IMPORTRANGE(""https://docs.google.com/spreadsheets/d/"&amp;"1IbSCnFOKpZsnFogBHJnL_isstZVaOMnFiIN0fGTPZZw/edit?usp=sharing"",""สงขลา!I744"")+IMPORTRANGE(""https://docs.google.com/spreadsheets/d/1q9nWasZJ-K8bFGvbE9n0qSRuKGA4Toe3Y89cKCiVtCU/edit?usp=sharing"",""สตูล!I744"")+IMPORTRANGE(""https://docs.google.com/sprea"&amp;"dsheets/d/18T20gbkS_WBjdscyTOV05cvq_JqvqQ17C81mpxf7Ncs/edit?usp=sharing"",""สุราษฎร์ธานี!I744"")"),540)</f>
        <v>540</v>
      </c>
      <c r="J744" s="167">
        <f ca="1">IFERROR(__xludf.DUMMYFUNCTION("IMPORTRANGE(""https://docs.google.com/spreadsheets/d/1kKUcYdkIfrgTSj8iHHHB2MD2FAtwyyocFgqGQn6ADyI/edit?usp=sharing"",""กระบี่!J744"")+IMPORTRANGE(""https://docs.google.com/spreadsheets/d/1GwtLaSlNZkLk7iDqcyZz22giiy40b_usZZBXYciEN1U/edit?usp=sharing"",""ชุ"&amp;"มพร!J744"")+IMPORTRANGE(""https://docs.google.com/spreadsheets/d/16pAz3pOhQEZBhvFNMa5KGgZS6iKWpsKX0pg6tQmwFpo/edit?usp=sharing"",""ตรัง!J744"")+IMPORTRANGE(""https://docs.google.com/spreadsheets/d/1Dj4jcHCTV9JXKCaMoheSXS52JE63kDKyG7bPXnFogHk/edit?usp=shar"&amp;"ing"",""นครศรีธรรมราช!J744"")+IMPORTRANGE(""https://docs.google.com/spreadsheets/d/1iodCdmuK2GR3jzUwk8tpccY2JHQQA-87DLOtJP-ooyU/edit?usp=sharing"",""นราธิวาส!J744"")+IMPORTRANGE(""https://docs.google.com/spreadsheets/d/1SDNX3JhDdYRuIOsj0Wh2M-Qa_eaXl0NbWmh"&amp;"AOTbfQAs/edit?usp=sharing"",""ปัตตานี!J744"")+IMPORTRANGE(""https://docs.google.com/spreadsheets/d/16JDLGguT8s5DsGCND1KcwHP_AWR_zDMTqLHPLJUKhaU/edit?usp=sharing"",""พังงา!J744"")+IMPORTRANGE(""https://docs.google.com/spreadsheets/d/17ht0gPKzzT3PObBL1XJkeR"&amp;"mntBXI7wGjpLV7QorqlTk/edit?usp=sharing"",""พัทลุง!J744"")+IMPORTRANGE(""https://docs.google.com/spreadsheets/d/1rd4qoM1q_hsgaolqNGfrim9gbsoLxQsda4-vOz5x_BM/edit?usp=sharing"",""ภูเก็ต!J744"")+IMPORTRANGE(""https://docs.google.com/spreadsheets/d/1woKwKjgoL"&amp;"ssDvPcPeVyezB5izizAn4X1JDrys69n6xI/edit?usp=sharing"",""ยะลา!J744"")+IMPORTRANGE(""https://docs.google.com/spreadsheets/d/1qfrKjzMhm2HJfxQ-qVlJlJQ25Hne1d0khsySbZyGtPA/edit?usp=sharing"",""ระนอง!J744"")+IMPORTRANGE(""https://docs.google.com/spreadsheets/d/"&amp;"1IbSCnFOKpZsnFogBHJnL_isstZVaOMnFiIN0fGTPZZw/edit?usp=sharing"",""สงขลา!J744"")+IMPORTRANGE(""https://docs.google.com/spreadsheets/d/1q9nWasZJ-K8bFGvbE9n0qSRuKGA4Toe3Y89cKCiVtCU/edit?usp=sharing"",""สตูล!J744"")+IMPORTRANGE(""https://docs.google.com/sprea"&amp;"dsheets/d/18T20gbkS_WBjdscyTOV05cvq_JqvqQ17C81mpxf7Ncs/edit?usp=sharing"",""สุราษฎร์ธานี!J744"")"),325)</f>
        <v>325</v>
      </c>
      <c r="K744" s="47">
        <f ca="1">IF(I744&gt;0,J744*100/I744,0)</f>
        <v>60.185185185185183</v>
      </c>
      <c r="L744" s="46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8"/>
      <c r="B745" s="139"/>
      <c r="C745" s="139"/>
      <c r="D745" s="139"/>
      <c r="E745" s="139"/>
      <c r="F745" s="472" t="s">
        <v>278</v>
      </c>
      <c r="G745" s="143"/>
      <c r="H745" s="133" t="s">
        <v>35</v>
      </c>
      <c r="I745" s="45"/>
      <c r="J745" s="167">
        <f ca="1">IFERROR(__xludf.DUMMYFUNCTION("IMPORTRANGE(""https://docs.google.com/spreadsheets/d/1kKUcYdkIfrgTSj8iHHHB2MD2FAtwyyocFgqGQn6ADyI/edit?usp=sharing"",""กระบี่!J745"")+IMPORTRANGE(""https://docs.google.com/spreadsheets/d/1GwtLaSlNZkLk7iDqcyZz22giiy40b_usZZBXYciEN1U/edit?usp=sharing"",""ชุ"&amp;"มพร!J745"")+IMPORTRANGE(""https://docs.google.com/spreadsheets/d/16pAz3pOhQEZBhvFNMa5KGgZS6iKWpsKX0pg6tQmwFpo/edit?usp=sharing"",""ตรัง!J745"")+IMPORTRANGE(""https://docs.google.com/spreadsheets/d/1Dj4jcHCTV9JXKCaMoheSXS52JE63kDKyG7bPXnFogHk/edit?usp=shar"&amp;"ing"",""นครศรีธรรมราช!J745"")+IMPORTRANGE(""https://docs.google.com/spreadsheets/d/1iodCdmuK2GR3jzUwk8tpccY2JHQQA-87DLOtJP-ooyU/edit?usp=sharing"",""นราธิวาส!J745"")+IMPORTRANGE(""https://docs.google.com/spreadsheets/d/1SDNX3JhDdYRuIOsj0Wh2M-Qa_eaXl0NbWmh"&amp;"AOTbfQAs/edit?usp=sharing"",""ปัตตานี!J745"")+IMPORTRANGE(""https://docs.google.com/spreadsheets/d/16JDLGguT8s5DsGCND1KcwHP_AWR_zDMTqLHPLJUKhaU/edit?usp=sharing"",""พังงา!J745"")+IMPORTRANGE(""https://docs.google.com/spreadsheets/d/17ht0gPKzzT3PObBL1XJkeR"&amp;"mntBXI7wGjpLV7QorqlTk/edit?usp=sharing"",""พัทลุง!J745"")+IMPORTRANGE(""https://docs.google.com/spreadsheets/d/1rd4qoM1q_hsgaolqNGfrim9gbsoLxQsda4-vOz5x_BM/edit?usp=sharing"",""ภูเก็ต!J745"")+IMPORTRANGE(""https://docs.google.com/spreadsheets/d/1woKwKjgoL"&amp;"ssDvPcPeVyezB5izizAn4X1JDrys69n6xI/edit?usp=sharing"",""ยะลา!J745"")+IMPORTRANGE(""https://docs.google.com/spreadsheets/d/1qfrKjzMhm2HJfxQ-qVlJlJQ25Hne1d0khsySbZyGtPA/edit?usp=sharing"",""ระนอง!J745"")+IMPORTRANGE(""https://docs.google.com/spreadsheets/d/"&amp;"1IbSCnFOKpZsnFogBHJnL_isstZVaOMnFiIN0fGTPZZw/edit?usp=sharing"",""สงขลา!J745"")+IMPORTRANGE(""https://docs.google.com/spreadsheets/d/1q9nWasZJ-K8bFGvbE9n0qSRuKGA4Toe3Y89cKCiVtCU/edit?usp=sharing"",""สตูล!J745"")+IMPORTRANGE(""https://docs.google.com/sprea"&amp;"dsheets/d/18T20gbkS_WBjdscyTOV05cvq_JqvqQ17C81mpxf7Ncs/edit?usp=sharing"",""สุราษฎร์ธานี!J745"")"),16)</f>
        <v>16</v>
      </c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8"/>
      <c r="B746" s="139"/>
      <c r="C746" s="139"/>
      <c r="D746" s="139"/>
      <c r="E746" s="139"/>
      <c r="F746" s="472" t="s">
        <v>279</v>
      </c>
      <c r="G746" s="143"/>
      <c r="H746" s="133" t="s">
        <v>35</v>
      </c>
      <c r="I746" s="152">
        <f ca="1">IFERROR(__xludf.DUMMYFUNCTION("IMPORTRANGE(""https://docs.google.com/spreadsheets/d/1kKUcYdkIfrgTSj8iHHHB2MD2FAtwyyocFgqGQn6ADyI/edit?usp=sharing"",""กระบี่!I746"")+IMPORTRANGE(""https://docs.google.com/spreadsheets/d/1GwtLaSlNZkLk7iDqcyZz22giiy40b_usZZBXYciEN1U/edit?usp=sharing"",""ชุ"&amp;"มพร!I746"")+IMPORTRANGE(""https://docs.google.com/spreadsheets/d/16pAz3pOhQEZBhvFNMa5KGgZS6iKWpsKX0pg6tQmwFpo/edit?usp=sharing"",""ตรัง!I746"")+IMPORTRANGE(""https://docs.google.com/spreadsheets/d/1Dj4jcHCTV9JXKCaMoheSXS52JE63kDKyG7bPXnFogHk/edit?usp=shar"&amp;"ing"",""นครศรีธรรมราช!I746"")+IMPORTRANGE(""https://docs.google.com/spreadsheets/d/1iodCdmuK2GR3jzUwk8tpccY2JHQQA-87DLOtJP-ooyU/edit?usp=sharing"",""นราธิวาส!I746"")+IMPORTRANGE(""https://docs.google.com/spreadsheets/d/1SDNX3JhDdYRuIOsj0Wh2M-Qa_eaXl0NbWmh"&amp;"AOTbfQAs/edit?usp=sharing"",""ปัตตานี!I746"")+IMPORTRANGE(""https://docs.google.com/spreadsheets/d/16JDLGguT8s5DsGCND1KcwHP_AWR_zDMTqLHPLJUKhaU/edit?usp=sharing"",""พังงา!I746"")+IMPORTRANGE(""https://docs.google.com/spreadsheets/d/17ht0gPKzzT3PObBL1XJkeR"&amp;"mntBXI7wGjpLV7QorqlTk/edit?usp=sharing"",""พัทลุง!I746"")+IMPORTRANGE(""https://docs.google.com/spreadsheets/d/1rd4qoM1q_hsgaolqNGfrim9gbsoLxQsda4-vOz5x_BM/edit?usp=sharing"",""ภูเก็ต!I746"")+IMPORTRANGE(""https://docs.google.com/spreadsheets/d/1woKwKjgoL"&amp;"ssDvPcPeVyezB5izizAn4X1JDrys69n6xI/edit?usp=sharing"",""ยะลา!I746"")+IMPORTRANGE(""https://docs.google.com/spreadsheets/d/1qfrKjzMhm2HJfxQ-qVlJlJQ25Hne1d0khsySbZyGtPA/edit?usp=sharing"",""ระนอง!I746"")+IMPORTRANGE(""https://docs.google.com/spreadsheets/d/"&amp;"1IbSCnFOKpZsnFogBHJnL_isstZVaOMnFiIN0fGTPZZw/edit?usp=sharing"",""สงขลา!I746"")+IMPORTRANGE(""https://docs.google.com/spreadsheets/d/1q9nWasZJ-K8bFGvbE9n0qSRuKGA4Toe3Y89cKCiVtCU/edit?usp=sharing"",""สตูล!I746"")+IMPORTRANGE(""https://docs.google.com/sprea"&amp;"dsheets/d/18T20gbkS_WBjdscyTOV05cvq_JqvqQ17C81mpxf7Ncs/edit?usp=sharing"",""สุราษฎร์ธานี!I746"")"),54)</f>
        <v>54</v>
      </c>
      <c r="J746" s="167">
        <f ca="1">IFERROR(__xludf.DUMMYFUNCTION("IMPORTRANGE(""https://docs.google.com/spreadsheets/d/1kKUcYdkIfrgTSj8iHHHB2MD2FAtwyyocFgqGQn6ADyI/edit?usp=sharing"",""กระบี่!J746"")+IMPORTRANGE(""https://docs.google.com/spreadsheets/d/1GwtLaSlNZkLk7iDqcyZz22giiy40b_usZZBXYciEN1U/edit?usp=sharing"",""ชุ"&amp;"มพร!J746"")+IMPORTRANGE(""https://docs.google.com/spreadsheets/d/16pAz3pOhQEZBhvFNMa5KGgZS6iKWpsKX0pg6tQmwFpo/edit?usp=sharing"",""ตรัง!J746"")+IMPORTRANGE(""https://docs.google.com/spreadsheets/d/1Dj4jcHCTV9JXKCaMoheSXS52JE63kDKyG7bPXnFogHk/edit?usp=shar"&amp;"ing"",""นครศรีธรรมราช!J746"")+IMPORTRANGE(""https://docs.google.com/spreadsheets/d/1iodCdmuK2GR3jzUwk8tpccY2JHQQA-87DLOtJP-ooyU/edit?usp=sharing"",""นราธิวาส!J746"")+IMPORTRANGE(""https://docs.google.com/spreadsheets/d/1SDNX3JhDdYRuIOsj0Wh2M-Qa_eaXl0NbWmh"&amp;"AOTbfQAs/edit?usp=sharing"",""ปัตตานี!J746"")+IMPORTRANGE(""https://docs.google.com/spreadsheets/d/16JDLGguT8s5DsGCND1KcwHP_AWR_zDMTqLHPLJUKhaU/edit?usp=sharing"",""พังงา!J746"")+IMPORTRANGE(""https://docs.google.com/spreadsheets/d/17ht0gPKzzT3PObBL1XJkeR"&amp;"mntBXI7wGjpLV7QorqlTk/edit?usp=sharing"",""พัทลุง!J746"")+IMPORTRANGE(""https://docs.google.com/spreadsheets/d/1rd4qoM1q_hsgaolqNGfrim9gbsoLxQsda4-vOz5x_BM/edit?usp=sharing"",""ภูเก็ต!J746"")+IMPORTRANGE(""https://docs.google.com/spreadsheets/d/1woKwKjgoL"&amp;"ssDvPcPeVyezB5izizAn4X1JDrys69n6xI/edit?usp=sharing"",""ยะลา!J746"")+IMPORTRANGE(""https://docs.google.com/spreadsheets/d/1qfrKjzMhm2HJfxQ-qVlJlJQ25Hne1d0khsySbZyGtPA/edit?usp=sharing"",""ระนอง!J746"")+IMPORTRANGE(""https://docs.google.com/spreadsheets/d/"&amp;"1IbSCnFOKpZsnFogBHJnL_isstZVaOMnFiIN0fGTPZZw/edit?usp=sharing"",""สงขลา!J746"")+IMPORTRANGE(""https://docs.google.com/spreadsheets/d/1q9nWasZJ-K8bFGvbE9n0qSRuKGA4Toe3Y89cKCiVtCU/edit?usp=sharing"",""สตูล!J746"")+IMPORTRANGE(""https://docs.google.com/sprea"&amp;"dsheets/d/18T20gbkS_WBjdscyTOV05cvq_JqvqQ17C81mpxf7Ncs/edit?usp=sharing"",""สุราษฎร์ธานี!J746"")"),36)</f>
        <v>36</v>
      </c>
      <c r="K746" s="47">
        <f ca="1">IF(I746&gt;0,J746*100/I746,0)</f>
        <v>66.666666666666671</v>
      </c>
      <c r="L746" s="46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8"/>
      <c r="B747" s="139"/>
      <c r="C747" s="139"/>
      <c r="D747" s="139"/>
      <c r="E747" s="472" t="s">
        <v>280</v>
      </c>
      <c r="F747" s="145"/>
      <c r="G747" s="143"/>
      <c r="H747" s="191"/>
      <c r="I747" s="45"/>
      <c r="J747" s="45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8"/>
      <c r="B748" s="139"/>
      <c r="C748" s="139"/>
      <c r="D748" s="139"/>
      <c r="E748" s="139"/>
      <c r="F748" s="472" t="s">
        <v>281</v>
      </c>
      <c r="G748" s="143"/>
      <c r="H748" s="133" t="s">
        <v>35</v>
      </c>
      <c r="I748" s="45"/>
      <c r="J748" s="167">
        <f ca="1">IFERROR(__xludf.DUMMYFUNCTION("IMPORTRANGE(""https://docs.google.com/spreadsheets/d/1kKUcYdkIfrgTSj8iHHHB2MD2FAtwyyocFgqGQn6ADyI/edit?usp=sharing"",""กระบี่!J748"")+IMPORTRANGE(""https://docs.google.com/spreadsheets/d/1GwtLaSlNZkLk7iDqcyZz22giiy40b_usZZBXYciEN1U/edit?usp=sharing"",""ชุ"&amp;"มพร!J748"")+IMPORTRANGE(""https://docs.google.com/spreadsheets/d/16pAz3pOhQEZBhvFNMa5KGgZS6iKWpsKX0pg6tQmwFpo/edit?usp=sharing"",""ตรัง!J748"")+IMPORTRANGE(""https://docs.google.com/spreadsheets/d/1Dj4jcHCTV9JXKCaMoheSXS52JE63kDKyG7bPXnFogHk/edit?usp=shar"&amp;"ing"",""นครศรีธรรมราช!J748"")+IMPORTRANGE(""https://docs.google.com/spreadsheets/d/1iodCdmuK2GR3jzUwk8tpccY2JHQQA-87DLOtJP-ooyU/edit?usp=sharing"",""นราธิวาส!J748"")+IMPORTRANGE(""https://docs.google.com/spreadsheets/d/1SDNX3JhDdYRuIOsj0Wh2M-Qa_eaXl0NbWmh"&amp;"AOTbfQAs/edit?usp=sharing"",""ปัตตานี!J748"")+IMPORTRANGE(""https://docs.google.com/spreadsheets/d/16JDLGguT8s5DsGCND1KcwHP_AWR_zDMTqLHPLJUKhaU/edit?usp=sharing"",""พังงา!J748"")+IMPORTRANGE(""https://docs.google.com/spreadsheets/d/17ht0gPKzzT3PObBL1XJkeR"&amp;"mntBXI7wGjpLV7QorqlTk/edit?usp=sharing"",""พัทลุง!J748"")+IMPORTRANGE(""https://docs.google.com/spreadsheets/d/1rd4qoM1q_hsgaolqNGfrim9gbsoLxQsda4-vOz5x_BM/edit?usp=sharing"",""ภูเก็ต!J748"")+IMPORTRANGE(""https://docs.google.com/spreadsheets/d/1woKwKjgoL"&amp;"ssDvPcPeVyezB5izizAn4X1JDrys69n6xI/edit?usp=sharing"",""ยะลา!J748"")+IMPORTRANGE(""https://docs.google.com/spreadsheets/d/1qfrKjzMhm2HJfxQ-qVlJlJQ25Hne1d0khsySbZyGtPA/edit?usp=sharing"",""ระนอง!J748"")+IMPORTRANGE(""https://docs.google.com/spreadsheets/d/"&amp;"1IbSCnFOKpZsnFogBHJnL_isstZVaOMnFiIN0fGTPZZw/edit?usp=sharing"",""สงขลา!J748"")+IMPORTRANGE(""https://docs.google.com/spreadsheets/d/1q9nWasZJ-K8bFGvbE9n0qSRuKGA4Toe3Y89cKCiVtCU/edit?usp=sharing"",""สตูล!J748"")+IMPORTRANGE(""https://docs.google.com/sprea"&amp;"dsheets/d/18T20gbkS_WBjdscyTOV05cvq_JqvqQ17C81mpxf7Ncs/edit?usp=sharing"",""สุราษฎร์ธานี!J748"")"),0)</f>
        <v>0</v>
      </c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8"/>
      <c r="B749" s="139"/>
      <c r="C749" s="139"/>
      <c r="D749" s="139"/>
      <c r="E749" s="139"/>
      <c r="F749" s="472" t="s">
        <v>282</v>
      </c>
      <c r="G749" s="143"/>
      <c r="H749" s="133" t="s">
        <v>35</v>
      </c>
      <c r="I749" s="152">
        <f ca="1">IFERROR(__xludf.DUMMYFUNCTION("IMPORTRANGE(""https://docs.google.com/spreadsheets/d/1kKUcYdkIfrgTSj8iHHHB2MD2FAtwyyocFgqGQn6ADyI/edit?usp=sharing"",""กระบี่!I749"")+IMPORTRANGE(""https://docs.google.com/spreadsheets/d/1GwtLaSlNZkLk7iDqcyZz22giiy40b_usZZBXYciEN1U/edit?usp=sharing"",""ชุ"&amp;"มพร!I749"")+IMPORTRANGE(""https://docs.google.com/spreadsheets/d/16pAz3pOhQEZBhvFNMa5KGgZS6iKWpsKX0pg6tQmwFpo/edit?usp=sharing"",""ตรัง!I749"")+IMPORTRANGE(""https://docs.google.com/spreadsheets/d/1Dj4jcHCTV9JXKCaMoheSXS52JE63kDKyG7bPXnFogHk/edit?usp=shar"&amp;"ing"",""นครศรีธรรมราช!I749"")+IMPORTRANGE(""https://docs.google.com/spreadsheets/d/1iodCdmuK2GR3jzUwk8tpccY2JHQQA-87DLOtJP-ooyU/edit?usp=sharing"",""นราธิวาส!I749"")+IMPORTRANGE(""https://docs.google.com/spreadsheets/d/1SDNX3JhDdYRuIOsj0Wh2M-Qa_eaXl0NbWmh"&amp;"AOTbfQAs/edit?usp=sharing"",""ปัตตานี!I749"")+IMPORTRANGE(""https://docs.google.com/spreadsheets/d/16JDLGguT8s5DsGCND1KcwHP_AWR_zDMTqLHPLJUKhaU/edit?usp=sharing"",""พังงา!I749"")+IMPORTRANGE(""https://docs.google.com/spreadsheets/d/17ht0gPKzzT3PObBL1XJkeR"&amp;"mntBXI7wGjpLV7QorqlTk/edit?usp=sharing"",""พัทลุง!I749"")+IMPORTRANGE(""https://docs.google.com/spreadsheets/d/1rd4qoM1q_hsgaolqNGfrim9gbsoLxQsda4-vOz5x_BM/edit?usp=sharing"",""ภูเก็ต!I749"")+IMPORTRANGE(""https://docs.google.com/spreadsheets/d/1woKwKjgoL"&amp;"ssDvPcPeVyezB5izizAn4X1JDrys69n6xI/edit?usp=sharing"",""ยะลา!I749"")+IMPORTRANGE(""https://docs.google.com/spreadsheets/d/1qfrKjzMhm2HJfxQ-qVlJlJQ25Hne1d0khsySbZyGtPA/edit?usp=sharing"",""ระนอง!I749"")+IMPORTRANGE(""https://docs.google.com/spreadsheets/d/"&amp;"1IbSCnFOKpZsnFogBHJnL_isstZVaOMnFiIN0fGTPZZw/edit?usp=sharing"",""สงขลา!I749"")+IMPORTRANGE(""https://docs.google.com/spreadsheets/d/1q9nWasZJ-K8bFGvbE9n0qSRuKGA4Toe3Y89cKCiVtCU/edit?usp=sharing"",""สตูล!I749"")+IMPORTRANGE(""https://docs.google.com/sprea"&amp;"dsheets/d/18T20gbkS_WBjdscyTOV05cvq_JqvqQ17C81mpxf7Ncs/edit?usp=sharing"",""สุราษฎร์ธานี!I749"")"),14)</f>
        <v>14</v>
      </c>
      <c r="J749" s="167">
        <f ca="1">IFERROR(__xludf.DUMMYFUNCTION("IMPORTRANGE(""https://docs.google.com/spreadsheets/d/1kKUcYdkIfrgTSj8iHHHB2MD2FAtwyyocFgqGQn6ADyI/edit?usp=sharing"",""กระบี่!J749"")+IMPORTRANGE(""https://docs.google.com/spreadsheets/d/1GwtLaSlNZkLk7iDqcyZz22giiy40b_usZZBXYciEN1U/edit?usp=sharing"",""ชุ"&amp;"มพร!J749"")+IMPORTRANGE(""https://docs.google.com/spreadsheets/d/16pAz3pOhQEZBhvFNMa5KGgZS6iKWpsKX0pg6tQmwFpo/edit?usp=sharing"",""ตรัง!J749"")+IMPORTRANGE(""https://docs.google.com/spreadsheets/d/1Dj4jcHCTV9JXKCaMoheSXS52JE63kDKyG7bPXnFogHk/edit?usp=shar"&amp;"ing"",""นครศรีธรรมราช!J749"")+IMPORTRANGE(""https://docs.google.com/spreadsheets/d/1iodCdmuK2GR3jzUwk8tpccY2JHQQA-87DLOtJP-ooyU/edit?usp=sharing"",""นราธิวาส!J749"")+IMPORTRANGE(""https://docs.google.com/spreadsheets/d/1SDNX3JhDdYRuIOsj0Wh2M-Qa_eaXl0NbWmh"&amp;"AOTbfQAs/edit?usp=sharing"",""ปัตตานี!J749"")+IMPORTRANGE(""https://docs.google.com/spreadsheets/d/16JDLGguT8s5DsGCND1KcwHP_AWR_zDMTqLHPLJUKhaU/edit?usp=sharing"",""พังงา!J749"")+IMPORTRANGE(""https://docs.google.com/spreadsheets/d/17ht0gPKzzT3PObBL1XJkeR"&amp;"mntBXI7wGjpLV7QorqlTk/edit?usp=sharing"",""พัทลุง!J749"")+IMPORTRANGE(""https://docs.google.com/spreadsheets/d/1rd4qoM1q_hsgaolqNGfrim9gbsoLxQsda4-vOz5x_BM/edit?usp=sharing"",""ภูเก็ต!J749"")+IMPORTRANGE(""https://docs.google.com/spreadsheets/d/1woKwKjgoL"&amp;"ssDvPcPeVyezB5izizAn4X1JDrys69n6xI/edit?usp=sharing"",""ยะลา!J749"")+IMPORTRANGE(""https://docs.google.com/spreadsheets/d/1qfrKjzMhm2HJfxQ-qVlJlJQ25Hne1d0khsySbZyGtPA/edit?usp=sharing"",""ระนอง!J749"")+IMPORTRANGE(""https://docs.google.com/spreadsheets/d/"&amp;"1IbSCnFOKpZsnFogBHJnL_isstZVaOMnFiIN0fGTPZZw/edit?usp=sharing"",""สงขลา!J749"")+IMPORTRANGE(""https://docs.google.com/spreadsheets/d/1q9nWasZJ-K8bFGvbE9n0qSRuKGA4Toe3Y89cKCiVtCU/edit?usp=sharing"",""สตูล!J749"")+IMPORTRANGE(""https://docs.google.com/sprea"&amp;"dsheets/d/18T20gbkS_WBjdscyTOV05cvq_JqvqQ17C81mpxf7Ncs/edit?usp=sharing"",""สุราษฎร์ธานี!J749"")"),12)</f>
        <v>12</v>
      </c>
      <c r="K749" s="47">
        <f ca="1">IF(I749&gt;0,J749*100/I749,0)</f>
        <v>85.714285714285708</v>
      </c>
      <c r="L749" s="46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9.5" x14ac:dyDescent="0.3">
      <c r="A750" s="138"/>
      <c r="B750" s="139"/>
      <c r="C750" s="139"/>
      <c r="D750" s="500" t="s">
        <v>50</v>
      </c>
      <c r="E750" s="139"/>
      <c r="F750" s="145"/>
      <c r="G750" s="143"/>
      <c r="H750" s="191"/>
      <c r="I750" s="45"/>
      <c r="J750" s="45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8.75" x14ac:dyDescent="0.25">
      <c r="A751" s="138"/>
      <c r="B751" s="139"/>
      <c r="C751" s="139"/>
      <c r="D751" s="139"/>
      <c r="E751" s="472" t="s">
        <v>273</v>
      </c>
      <c r="F751" s="145"/>
      <c r="G751" s="143"/>
      <c r="H751" s="191"/>
      <c r="I751" s="45"/>
      <c r="J751" s="45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8"/>
      <c r="B752" s="139"/>
      <c r="C752" s="139"/>
      <c r="D752" s="139"/>
      <c r="E752" s="139"/>
      <c r="F752" s="149" t="s">
        <v>283</v>
      </c>
      <c r="G752" s="143"/>
      <c r="H752" s="133" t="s">
        <v>46</v>
      </c>
      <c r="I752" s="152">
        <f ca="1">IFERROR(__xludf.DUMMYFUNCTION("IMPORTRANGE(""https://docs.google.com/spreadsheets/d/1kKUcYdkIfrgTSj8iHHHB2MD2FAtwyyocFgqGQn6ADyI/edit?usp=sharing"",""กระบี่!I752"")+IMPORTRANGE(""https://docs.google.com/spreadsheets/d/1GwtLaSlNZkLk7iDqcyZz22giiy40b_usZZBXYciEN1U/edit?usp=sharing"",""ชุ"&amp;"มพร!I752"")+IMPORTRANGE(""https://docs.google.com/spreadsheets/d/16pAz3pOhQEZBhvFNMa5KGgZS6iKWpsKX0pg6tQmwFpo/edit?usp=sharing"",""ตรัง!I752"")+IMPORTRANGE(""https://docs.google.com/spreadsheets/d/1Dj4jcHCTV9JXKCaMoheSXS52JE63kDKyG7bPXnFogHk/edit?usp=shar"&amp;"ing"",""นครศรีธรรมราช!I752"")+IMPORTRANGE(""https://docs.google.com/spreadsheets/d/1iodCdmuK2GR3jzUwk8tpccY2JHQQA-87DLOtJP-ooyU/edit?usp=sharing"",""นราธิวาส!I752"")+IMPORTRANGE(""https://docs.google.com/spreadsheets/d/1SDNX3JhDdYRuIOsj0Wh2M-Qa_eaXl0NbWmh"&amp;"AOTbfQAs/edit?usp=sharing"",""ปัตตานี!I752"")+IMPORTRANGE(""https://docs.google.com/spreadsheets/d/16JDLGguT8s5DsGCND1KcwHP_AWR_zDMTqLHPLJUKhaU/edit?usp=sharing"",""พังงา!I752"")+IMPORTRANGE(""https://docs.google.com/spreadsheets/d/17ht0gPKzzT3PObBL1XJkeR"&amp;"mntBXI7wGjpLV7QorqlTk/edit?usp=sharing"",""พัทลุง!I752"")+IMPORTRANGE(""https://docs.google.com/spreadsheets/d/1rd4qoM1q_hsgaolqNGfrim9gbsoLxQsda4-vOz5x_BM/edit?usp=sharing"",""ภูเก็ต!I752"")+IMPORTRANGE(""https://docs.google.com/spreadsheets/d/1woKwKjgoL"&amp;"ssDvPcPeVyezB5izizAn4X1JDrys69n6xI/edit?usp=sharing"",""ยะลา!I752"")+IMPORTRANGE(""https://docs.google.com/spreadsheets/d/1qfrKjzMhm2HJfxQ-qVlJlJQ25Hne1d0khsySbZyGtPA/edit?usp=sharing"",""ระนอง!I752"")+IMPORTRANGE(""https://docs.google.com/spreadsheets/d/"&amp;"1IbSCnFOKpZsnFogBHJnL_isstZVaOMnFiIN0fGTPZZw/edit?usp=sharing"",""สงขลา!I752"")+IMPORTRANGE(""https://docs.google.com/spreadsheets/d/1q9nWasZJ-K8bFGvbE9n0qSRuKGA4Toe3Y89cKCiVtCU/edit?usp=sharing"",""สตูล!I752"")+IMPORTRANGE(""https://docs.google.com/sprea"&amp;"dsheets/d/18T20gbkS_WBjdscyTOV05cvq_JqvqQ17C81mpxf7Ncs/edit?usp=sharing"",""สุราษฎร์ธานี!I752"")"),2160)</f>
        <v>2160</v>
      </c>
      <c r="J752" s="167">
        <f ca="1">IFERROR(__xludf.DUMMYFUNCTION("IMPORTRANGE(""https://docs.google.com/spreadsheets/d/1kKUcYdkIfrgTSj8iHHHB2MD2FAtwyyocFgqGQn6ADyI/edit?usp=sharing"",""กระบี่!J752"")+IMPORTRANGE(""https://docs.google.com/spreadsheets/d/1GwtLaSlNZkLk7iDqcyZz22giiy40b_usZZBXYciEN1U/edit?usp=sharing"",""ชุ"&amp;"มพร!J752"")+IMPORTRANGE(""https://docs.google.com/spreadsheets/d/16pAz3pOhQEZBhvFNMa5KGgZS6iKWpsKX0pg6tQmwFpo/edit?usp=sharing"",""ตรัง!J752"")+IMPORTRANGE(""https://docs.google.com/spreadsheets/d/1Dj4jcHCTV9JXKCaMoheSXS52JE63kDKyG7bPXnFogHk/edit?usp=shar"&amp;"ing"",""นครศรีธรรมราช!J752"")+IMPORTRANGE(""https://docs.google.com/spreadsheets/d/1iodCdmuK2GR3jzUwk8tpccY2JHQQA-87DLOtJP-ooyU/edit?usp=sharing"",""นราธิวาส!J752"")+IMPORTRANGE(""https://docs.google.com/spreadsheets/d/1SDNX3JhDdYRuIOsj0Wh2M-Qa_eaXl0NbWmh"&amp;"AOTbfQAs/edit?usp=sharing"",""ปัตตานี!J752"")+IMPORTRANGE(""https://docs.google.com/spreadsheets/d/16JDLGguT8s5DsGCND1KcwHP_AWR_zDMTqLHPLJUKhaU/edit?usp=sharing"",""พังงา!J752"")+IMPORTRANGE(""https://docs.google.com/spreadsheets/d/17ht0gPKzzT3PObBL1XJkeR"&amp;"mntBXI7wGjpLV7QorqlTk/edit?usp=sharing"",""พัทลุง!J752"")+IMPORTRANGE(""https://docs.google.com/spreadsheets/d/1rd4qoM1q_hsgaolqNGfrim9gbsoLxQsda4-vOz5x_BM/edit?usp=sharing"",""ภูเก็ต!J752"")+IMPORTRANGE(""https://docs.google.com/spreadsheets/d/1woKwKjgoL"&amp;"ssDvPcPeVyezB5izizAn4X1JDrys69n6xI/edit?usp=sharing"",""ยะลา!J752"")+IMPORTRANGE(""https://docs.google.com/spreadsheets/d/1qfrKjzMhm2HJfxQ-qVlJlJQ25Hne1d0khsySbZyGtPA/edit?usp=sharing"",""ระนอง!J752"")+IMPORTRANGE(""https://docs.google.com/spreadsheets/d/"&amp;"1IbSCnFOKpZsnFogBHJnL_isstZVaOMnFiIN0fGTPZZw/edit?usp=sharing"",""สงขลา!J752"")+IMPORTRANGE(""https://docs.google.com/spreadsheets/d/1q9nWasZJ-K8bFGvbE9n0qSRuKGA4Toe3Y89cKCiVtCU/edit?usp=sharing"",""สตูล!J752"")+IMPORTRANGE(""https://docs.google.com/sprea"&amp;"dsheets/d/18T20gbkS_WBjdscyTOV05cvq_JqvqQ17C81mpxf7Ncs/edit?usp=sharing"",""สุราษฎร์ธานี!J752"")"),0)</f>
        <v>0</v>
      </c>
      <c r="K752" s="47">
        <f ca="1">IF(I752&gt;0,J752*100/I752,0)</f>
        <v>0</v>
      </c>
      <c r="L752" s="46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8"/>
      <c r="B753" s="139"/>
      <c r="C753" s="139"/>
      <c r="D753" s="139"/>
      <c r="E753" s="139"/>
      <c r="F753" s="149" t="s">
        <v>284</v>
      </c>
      <c r="G753" s="143"/>
      <c r="H753" s="133" t="s">
        <v>46</v>
      </c>
      <c r="I753" s="45"/>
      <c r="J753" s="167">
        <f ca="1">IFERROR(__xludf.DUMMYFUNCTION("IMPORTRANGE(""https://docs.google.com/spreadsheets/d/1kKUcYdkIfrgTSj8iHHHB2MD2FAtwyyocFgqGQn6ADyI/edit?usp=sharing"",""กระบี่!J753"")+IMPORTRANGE(""https://docs.google.com/spreadsheets/d/1GwtLaSlNZkLk7iDqcyZz22giiy40b_usZZBXYciEN1U/edit?usp=sharing"",""ชุ"&amp;"มพร!J753"")+IMPORTRANGE(""https://docs.google.com/spreadsheets/d/16pAz3pOhQEZBhvFNMa5KGgZS6iKWpsKX0pg6tQmwFpo/edit?usp=sharing"",""ตรัง!J753"")+IMPORTRANGE(""https://docs.google.com/spreadsheets/d/1Dj4jcHCTV9JXKCaMoheSXS52JE63kDKyG7bPXnFogHk/edit?usp=shar"&amp;"ing"",""นครศรีธรรมราช!J753"")+IMPORTRANGE(""https://docs.google.com/spreadsheets/d/1iodCdmuK2GR3jzUwk8tpccY2JHQQA-87DLOtJP-ooyU/edit?usp=sharing"",""นราธิวาส!J753"")+IMPORTRANGE(""https://docs.google.com/spreadsheets/d/1SDNX3JhDdYRuIOsj0Wh2M-Qa_eaXl0NbWmh"&amp;"AOTbfQAs/edit?usp=sharing"",""ปัตตานี!J753"")+IMPORTRANGE(""https://docs.google.com/spreadsheets/d/16JDLGguT8s5DsGCND1KcwHP_AWR_zDMTqLHPLJUKhaU/edit?usp=sharing"",""พังงา!J753"")+IMPORTRANGE(""https://docs.google.com/spreadsheets/d/17ht0gPKzzT3PObBL1XJkeR"&amp;"mntBXI7wGjpLV7QorqlTk/edit?usp=sharing"",""พัทลุง!J753"")+IMPORTRANGE(""https://docs.google.com/spreadsheets/d/1rd4qoM1q_hsgaolqNGfrim9gbsoLxQsda4-vOz5x_BM/edit?usp=sharing"",""ภูเก็ต!J753"")+IMPORTRANGE(""https://docs.google.com/spreadsheets/d/1woKwKjgoL"&amp;"ssDvPcPeVyezB5izizAn4X1JDrys69n6xI/edit?usp=sharing"",""ยะลา!J753"")+IMPORTRANGE(""https://docs.google.com/spreadsheets/d/1qfrKjzMhm2HJfxQ-qVlJlJQ25Hne1d0khsySbZyGtPA/edit?usp=sharing"",""ระนอง!J753"")+IMPORTRANGE(""https://docs.google.com/spreadsheets/d/"&amp;"1IbSCnFOKpZsnFogBHJnL_isstZVaOMnFiIN0fGTPZZw/edit?usp=sharing"",""สงขลา!J753"")+IMPORTRANGE(""https://docs.google.com/spreadsheets/d/1q9nWasZJ-K8bFGvbE9n0qSRuKGA4Toe3Y89cKCiVtCU/edit?usp=sharing"",""สตูล!J753"")+IMPORTRANGE(""https://docs.google.com/sprea"&amp;"dsheets/d/18T20gbkS_WBjdscyTOV05cvq_JqvqQ17C81mpxf7Ncs/edit?usp=sharing"",""สุราษฎร์ธานี!J753"")"),0)</f>
        <v>0</v>
      </c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8"/>
      <c r="B754" s="139"/>
      <c r="C754" s="139"/>
      <c r="D754" s="139"/>
      <c r="E754" s="472" t="s">
        <v>277</v>
      </c>
      <c r="F754" s="145"/>
      <c r="G754" s="143"/>
      <c r="H754" s="191"/>
      <c r="I754" s="45"/>
      <c r="J754" s="45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8"/>
      <c r="B755" s="139"/>
      <c r="C755" s="139"/>
      <c r="D755" s="139"/>
      <c r="E755" s="145"/>
      <c r="F755" s="149" t="s">
        <v>285</v>
      </c>
      <c r="G755" s="143"/>
      <c r="H755" s="133" t="s">
        <v>46</v>
      </c>
      <c r="I755" s="152">
        <f ca="1">IFERROR(__xludf.DUMMYFUNCTION("IMPORTRANGE(""https://docs.google.com/spreadsheets/d/1kKUcYdkIfrgTSj8iHHHB2MD2FAtwyyocFgqGQn6ADyI/edit?usp=sharing"",""กระบี่!I755"")+IMPORTRANGE(""https://docs.google.com/spreadsheets/d/1GwtLaSlNZkLk7iDqcyZz22giiy40b_usZZBXYciEN1U/edit?usp=sharing"",""ชุ"&amp;"มพร!I755"")+IMPORTRANGE(""https://docs.google.com/spreadsheets/d/16pAz3pOhQEZBhvFNMa5KGgZS6iKWpsKX0pg6tQmwFpo/edit?usp=sharing"",""ตรัง!I755"")+IMPORTRANGE(""https://docs.google.com/spreadsheets/d/1Dj4jcHCTV9JXKCaMoheSXS52JE63kDKyG7bPXnFogHk/edit?usp=shar"&amp;"ing"",""นครศรีธรรมราช!I755"")+IMPORTRANGE(""https://docs.google.com/spreadsheets/d/1iodCdmuK2GR3jzUwk8tpccY2JHQQA-87DLOtJP-ooyU/edit?usp=sharing"",""นราธิวาส!I755"")+IMPORTRANGE(""https://docs.google.com/spreadsheets/d/1SDNX3JhDdYRuIOsj0Wh2M-Qa_eaXl0NbWmh"&amp;"AOTbfQAs/edit?usp=sharing"",""ปัตตานี!I755"")+IMPORTRANGE(""https://docs.google.com/spreadsheets/d/16JDLGguT8s5DsGCND1KcwHP_AWR_zDMTqLHPLJUKhaU/edit?usp=sharing"",""พังงา!I755"")+IMPORTRANGE(""https://docs.google.com/spreadsheets/d/17ht0gPKzzT3PObBL1XJkeR"&amp;"mntBXI7wGjpLV7QorqlTk/edit?usp=sharing"",""พัทลุง!I755"")+IMPORTRANGE(""https://docs.google.com/spreadsheets/d/1rd4qoM1q_hsgaolqNGfrim9gbsoLxQsda4-vOz5x_BM/edit?usp=sharing"",""ภูเก็ต!I755"")+IMPORTRANGE(""https://docs.google.com/spreadsheets/d/1woKwKjgoL"&amp;"ssDvPcPeVyezB5izizAn4X1JDrys69n6xI/edit?usp=sharing"",""ยะลา!I755"")+IMPORTRANGE(""https://docs.google.com/spreadsheets/d/1qfrKjzMhm2HJfxQ-qVlJlJQ25Hne1d0khsySbZyGtPA/edit?usp=sharing"",""ระนอง!I755"")+IMPORTRANGE(""https://docs.google.com/spreadsheets/d/"&amp;"1IbSCnFOKpZsnFogBHJnL_isstZVaOMnFiIN0fGTPZZw/edit?usp=sharing"",""สงขลา!I755"")+IMPORTRANGE(""https://docs.google.com/spreadsheets/d/1q9nWasZJ-K8bFGvbE9n0qSRuKGA4Toe3Y89cKCiVtCU/edit?usp=sharing"",""สตูล!I755"")+IMPORTRANGE(""https://docs.google.com/sprea"&amp;"dsheets/d/18T20gbkS_WBjdscyTOV05cvq_JqvqQ17C81mpxf7Ncs/edit?usp=sharing"",""สุราษฎร์ธานี!I755"")"),540)</f>
        <v>540</v>
      </c>
      <c r="J755" s="167">
        <f ca="1">IFERROR(__xludf.DUMMYFUNCTION("IMPORTRANGE(""https://docs.google.com/spreadsheets/d/1kKUcYdkIfrgTSj8iHHHB2MD2FAtwyyocFgqGQn6ADyI/edit?usp=sharing"",""กระบี่!J755"")+IMPORTRANGE(""https://docs.google.com/spreadsheets/d/1GwtLaSlNZkLk7iDqcyZz22giiy40b_usZZBXYciEN1U/edit?usp=sharing"",""ชุ"&amp;"มพร!J755"")+IMPORTRANGE(""https://docs.google.com/spreadsheets/d/16pAz3pOhQEZBhvFNMa5KGgZS6iKWpsKX0pg6tQmwFpo/edit?usp=sharing"",""ตรัง!J755"")+IMPORTRANGE(""https://docs.google.com/spreadsheets/d/1Dj4jcHCTV9JXKCaMoheSXS52JE63kDKyG7bPXnFogHk/edit?usp=shar"&amp;"ing"",""นครศรีธรรมราช!J755"")+IMPORTRANGE(""https://docs.google.com/spreadsheets/d/1iodCdmuK2GR3jzUwk8tpccY2JHQQA-87DLOtJP-ooyU/edit?usp=sharing"",""นราธิวาส!J755"")+IMPORTRANGE(""https://docs.google.com/spreadsheets/d/1SDNX3JhDdYRuIOsj0Wh2M-Qa_eaXl0NbWmh"&amp;"AOTbfQAs/edit?usp=sharing"",""ปัตตานี!J755"")+IMPORTRANGE(""https://docs.google.com/spreadsheets/d/16JDLGguT8s5DsGCND1KcwHP_AWR_zDMTqLHPLJUKhaU/edit?usp=sharing"",""พังงา!J755"")+IMPORTRANGE(""https://docs.google.com/spreadsheets/d/17ht0gPKzzT3PObBL1XJkeR"&amp;"mntBXI7wGjpLV7QorqlTk/edit?usp=sharing"",""พัทลุง!J755"")+IMPORTRANGE(""https://docs.google.com/spreadsheets/d/1rd4qoM1q_hsgaolqNGfrim9gbsoLxQsda4-vOz5x_BM/edit?usp=sharing"",""ภูเก็ต!J755"")+IMPORTRANGE(""https://docs.google.com/spreadsheets/d/1woKwKjgoL"&amp;"ssDvPcPeVyezB5izizAn4X1JDrys69n6xI/edit?usp=sharing"",""ยะลา!J755"")+IMPORTRANGE(""https://docs.google.com/spreadsheets/d/1qfrKjzMhm2HJfxQ-qVlJlJQ25Hne1d0khsySbZyGtPA/edit?usp=sharing"",""ระนอง!J755"")+IMPORTRANGE(""https://docs.google.com/spreadsheets/d/"&amp;"1IbSCnFOKpZsnFogBHJnL_isstZVaOMnFiIN0fGTPZZw/edit?usp=sharing"",""สงขลา!J755"")+IMPORTRANGE(""https://docs.google.com/spreadsheets/d/1q9nWasZJ-K8bFGvbE9n0qSRuKGA4Toe3Y89cKCiVtCU/edit?usp=sharing"",""สตูล!J755"")+IMPORTRANGE(""https://docs.google.com/sprea"&amp;"dsheets/d/18T20gbkS_WBjdscyTOV05cvq_JqvqQ17C81mpxf7Ncs/edit?usp=sharing"",""สุราษฎร์ธานี!J755"")"),0)</f>
        <v>0</v>
      </c>
      <c r="K755" s="47">
        <f ca="1">IF(I755&gt;0,J755*100/I755,0)</f>
        <v>0</v>
      </c>
      <c r="L755" s="46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8"/>
      <c r="B756" s="139"/>
      <c r="C756" s="139"/>
      <c r="D756" s="139"/>
      <c r="E756" s="145"/>
      <c r="F756" s="149" t="s">
        <v>286</v>
      </c>
      <c r="G756" s="143"/>
      <c r="H756" s="133" t="s">
        <v>46</v>
      </c>
      <c r="I756" s="45"/>
      <c r="J756" s="167">
        <f ca="1">IFERROR(__xludf.DUMMYFUNCTION("IMPORTRANGE(""https://docs.google.com/spreadsheets/d/1kKUcYdkIfrgTSj8iHHHB2MD2FAtwyyocFgqGQn6ADyI/edit?usp=sharing"",""กระบี่!J756"")+IMPORTRANGE(""https://docs.google.com/spreadsheets/d/1GwtLaSlNZkLk7iDqcyZz22giiy40b_usZZBXYciEN1U/edit?usp=sharing"",""ชุ"&amp;"มพร!J756"")+IMPORTRANGE(""https://docs.google.com/spreadsheets/d/16pAz3pOhQEZBhvFNMa5KGgZS6iKWpsKX0pg6tQmwFpo/edit?usp=sharing"",""ตรัง!J756"")+IMPORTRANGE(""https://docs.google.com/spreadsheets/d/1Dj4jcHCTV9JXKCaMoheSXS52JE63kDKyG7bPXnFogHk/edit?usp=shar"&amp;"ing"",""นครศรีธรรมราช!J756"")+IMPORTRANGE(""https://docs.google.com/spreadsheets/d/1iodCdmuK2GR3jzUwk8tpccY2JHQQA-87DLOtJP-ooyU/edit?usp=sharing"",""นราธิวาส!J756"")+IMPORTRANGE(""https://docs.google.com/spreadsheets/d/1SDNX3JhDdYRuIOsj0Wh2M-Qa_eaXl0NbWmh"&amp;"AOTbfQAs/edit?usp=sharing"",""ปัตตานี!J756"")+IMPORTRANGE(""https://docs.google.com/spreadsheets/d/16JDLGguT8s5DsGCND1KcwHP_AWR_zDMTqLHPLJUKhaU/edit?usp=sharing"",""พังงา!J756"")+IMPORTRANGE(""https://docs.google.com/spreadsheets/d/17ht0gPKzzT3PObBL1XJkeR"&amp;"mntBXI7wGjpLV7QorqlTk/edit?usp=sharing"",""พัทลุง!J756"")+IMPORTRANGE(""https://docs.google.com/spreadsheets/d/1rd4qoM1q_hsgaolqNGfrim9gbsoLxQsda4-vOz5x_BM/edit?usp=sharing"",""ภูเก็ต!J756"")+IMPORTRANGE(""https://docs.google.com/spreadsheets/d/1woKwKjgoL"&amp;"ssDvPcPeVyezB5izizAn4X1JDrys69n6xI/edit?usp=sharing"",""ยะลา!J756"")+IMPORTRANGE(""https://docs.google.com/spreadsheets/d/1qfrKjzMhm2HJfxQ-qVlJlJQ25Hne1d0khsySbZyGtPA/edit?usp=sharing"",""ระนอง!J756"")+IMPORTRANGE(""https://docs.google.com/spreadsheets/d/"&amp;"1IbSCnFOKpZsnFogBHJnL_isstZVaOMnFiIN0fGTPZZw/edit?usp=sharing"",""สงขลา!J756"")+IMPORTRANGE(""https://docs.google.com/spreadsheets/d/1q9nWasZJ-K8bFGvbE9n0qSRuKGA4Toe3Y89cKCiVtCU/edit?usp=sharing"",""สตูล!J756"")+IMPORTRANGE(""https://docs.google.com/sprea"&amp;"dsheets/d/18T20gbkS_WBjdscyTOV05cvq_JqvqQ17C81mpxf7Ncs/edit?usp=sharing"",""สุราษฎร์ธานี!J756"")"),0)</f>
        <v>0</v>
      </c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69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56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t="shared" ref="I758:J758" ca="1" si="518">I772</f>
        <v>240</v>
      </c>
      <c r="J758" s="483">
        <f t="shared" ca="1" si="518"/>
        <v>130</v>
      </c>
      <c r="K758" s="484">
        <f t="shared" ref="K758:K759" ca="1" si="519">IF(I758&gt;0,J758*100/I758,0)</f>
        <v>54.166666666666664</v>
      </c>
      <c r="L758" s="46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t="shared" ref="I759:J759" ca="1" si="520">I774</f>
        <v>625</v>
      </c>
      <c r="J759" s="483">
        <f t="shared" ca="1" si="520"/>
        <v>350</v>
      </c>
      <c r="K759" s="484">
        <f t="shared" ca="1" si="519"/>
        <v>56</v>
      </c>
      <c r="L759" s="46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188" t="s">
        <v>18</v>
      </c>
      <c r="D760" s="532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132">
        <f t="shared" ref="L760:N760" ca="1" si="521">L761+L762</f>
        <v>0</v>
      </c>
      <c r="M760" s="132">
        <f t="shared" ca="1" si="521"/>
        <v>0</v>
      </c>
      <c r="N760" s="132">
        <f t="shared" ca="1" si="521"/>
        <v>0</v>
      </c>
      <c r="O760" s="132">
        <f t="shared" ref="O760:O768" ca="1" si="522">IF(L760&gt;0,N760*100/L760,0)</f>
        <v>0</v>
      </c>
      <c r="P760" s="132">
        <f t="shared" ref="P760:P768" ca="1" si="523">IF(M760&gt;0,N760*100/M760,0)</f>
        <v>0</v>
      </c>
      <c r="Q760" s="132">
        <f t="shared" ref="Q760:S760" ca="1" si="524">Q761+Q762</f>
        <v>2015140</v>
      </c>
      <c r="R760" s="132">
        <f t="shared" ca="1" si="524"/>
        <v>2015140</v>
      </c>
      <c r="S760" s="132">
        <f t="shared" ca="1" si="524"/>
        <v>865639.8</v>
      </c>
      <c r="T760" s="132">
        <f t="shared" ref="T760:T768" ca="1" si="525">IF(Q760&gt;0,S760*100/Q760,0)</f>
        <v>42.956806971227806</v>
      </c>
      <c r="U760" s="132">
        <f t="shared" ref="U760:U768" ca="1" si="526">IF(R760&gt;0,S760*100/R760,0)</f>
        <v>42.956806971227806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9">
        <f t="shared" ref="L761:N761" ca="1" si="527">L764+L767</f>
        <v>0</v>
      </c>
      <c r="M761" s="49">
        <f t="shared" ca="1" si="527"/>
        <v>0</v>
      </c>
      <c r="N761" s="49">
        <f t="shared" ca="1" si="527"/>
        <v>0</v>
      </c>
      <c r="O761" s="49">
        <f t="shared" ca="1" si="522"/>
        <v>0</v>
      </c>
      <c r="P761" s="49">
        <f t="shared" ca="1" si="523"/>
        <v>0</v>
      </c>
      <c r="Q761" s="49">
        <f t="shared" ref="Q761:S761" ca="1" si="528">Q764+Q767</f>
        <v>0</v>
      </c>
      <c r="R761" s="49">
        <f t="shared" ca="1" si="528"/>
        <v>0</v>
      </c>
      <c r="S761" s="49">
        <f t="shared" ca="1" si="528"/>
        <v>0</v>
      </c>
      <c r="T761" s="49">
        <f t="shared" ca="1" si="525"/>
        <v>0</v>
      </c>
      <c r="U761" s="49">
        <f t="shared" ca="1" si="526"/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7">
        <f t="shared" ref="L762:N762" ca="1" si="529">L765+L768</f>
        <v>0</v>
      </c>
      <c r="M762" s="47">
        <f t="shared" ca="1" si="529"/>
        <v>0</v>
      </c>
      <c r="N762" s="47">
        <f t="shared" ca="1" si="529"/>
        <v>0</v>
      </c>
      <c r="O762" s="47">
        <f t="shared" ca="1" si="522"/>
        <v>0</v>
      </c>
      <c r="P762" s="47">
        <f t="shared" ca="1" si="523"/>
        <v>0</v>
      </c>
      <c r="Q762" s="47">
        <f t="shared" ref="Q762:S762" ca="1" si="530">Q765+Q768</f>
        <v>2015140</v>
      </c>
      <c r="R762" s="47">
        <f t="shared" ca="1" si="530"/>
        <v>2015140</v>
      </c>
      <c r="S762" s="47">
        <f t="shared" ca="1" si="530"/>
        <v>865639.8</v>
      </c>
      <c r="T762" s="47">
        <f t="shared" ca="1" si="525"/>
        <v>42.956806971227806</v>
      </c>
      <c r="U762" s="47">
        <f t="shared" ca="1" si="526"/>
        <v>42.956806971227806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7">
        <f t="shared" ref="L763:N763" ca="1" si="531">L764+L765</f>
        <v>0</v>
      </c>
      <c r="M763" s="47">
        <f t="shared" ca="1" si="531"/>
        <v>0</v>
      </c>
      <c r="N763" s="47">
        <f t="shared" ca="1" si="531"/>
        <v>0</v>
      </c>
      <c r="O763" s="47">
        <f t="shared" ca="1" si="522"/>
        <v>0</v>
      </c>
      <c r="P763" s="47">
        <f t="shared" ca="1" si="523"/>
        <v>0</v>
      </c>
      <c r="Q763" s="47">
        <f t="shared" ref="Q763:S763" ca="1" si="532">Q764+Q765</f>
        <v>2015140</v>
      </c>
      <c r="R763" s="47">
        <f t="shared" ca="1" si="532"/>
        <v>2015140</v>
      </c>
      <c r="S763" s="47">
        <f t="shared" ca="1" si="532"/>
        <v>865639.8</v>
      </c>
      <c r="T763" s="47">
        <f t="shared" ca="1" si="525"/>
        <v>42.956806971227806</v>
      </c>
      <c r="U763" s="47">
        <f t="shared" ca="1" si="526"/>
        <v>42.956806971227806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9">
        <f ca="1">IFERROR(__xludf.DUMMYFUNCTION("IMPORTRANGE(""https://docs.google.com/spreadsheets/d/1kKUcYdkIfrgTSj8iHHHB2MD2FAtwyyocFgqGQn6ADyI/edit?usp=sharing"",""กระบี่!L764"")+IMPORTRANGE(""https://docs.google.com/spreadsheets/d/1GwtLaSlNZkLk7iDqcyZz22giiy40b_usZZBXYciEN1U/edit?usp=sharing"",""ชุ"&amp;"มพร!L764"")+IMPORTRANGE(""https://docs.google.com/spreadsheets/d/16pAz3pOhQEZBhvFNMa5KGgZS6iKWpsKX0pg6tQmwFpo/edit?usp=sharing"",""ตรัง!L764"")+IMPORTRANGE(""https://docs.google.com/spreadsheets/d/1Dj4jcHCTV9JXKCaMoheSXS52JE63kDKyG7bPXnFogHk/edit?usp=shar"&amp;"ing"",""นครศรีธรรมราช!L764"")+IMPORTRANGE(""https://docs.google.com/spreadsheets/d/1iodCdmuK2GR3jzUwk8tpccY2JHQQA-87DLOtJP-ooyU/edit?usp=sharing"",""นราธิวาส!L764"")+IMPORTRANGE(""https://docs.google.com/spreadsheets/d/1SDNX3JhDdYRuIOsj0Wh2M-Qa_eaXl0NbWmh"&amp;"AOTbfQAs/edit?usp=sharing"",""ปัตตานี!L764"")+IMPORTRANGE(""https://docs.google.com/spreadsheets/d/16JDLGguT8s5DsGCND1KcwHP_AWR_zDMTqLHPLJUKhaU/edit?usp=sharing"",""พังงา!L764"")+IMPORTRANGE(""https://docs.google.com/spreadsheets/d/17ht0gPKzzT3PObBL1XJkeR"&amp;"mntBXI7wGjpLV7QorqlTk/edit?usp=sharing"",""พัทลุง!L764"")+IMPORTRANGE(""https://docs.google.com/spreadsheets/d/1rd4qoM1q_hsgaolqNGfrim9gbsoLxQsda4-vOz5x_BM/edit?usp=sharing"",""ภูเก็ต!L764"")+IMPORTRANGE(""https://docs.google.com/spreadsheets/d/1woKwKjgoL"&amp;"ssDvPcPeVyezB5izizAn4X1JDrys69n6xI/edit?usp=sharing"",""ยะลา!L764"")+IMPORTRANGE(""https://docs.google.com/spreadsheets/d/1qfrKjzMhm2HJfxQ-qVlJlJQ25Hne1d0khsySbZyGtPA/edit?usp=sharing"",""ระนอง!L764"")+IMPORTRANGE(""https://docs.google.com/spreadsheets/d/"&amp;"1IbSCnFOKpZsnFogBHJnL_isstZVaOMnFiIN0fGTPZZw/edit?usp=sharing"",""สงขลา!L764"")+IMPORTRANGE(""https://docs.google.com/spreadsheets/d/1q9nWasZJ-K8bFGvbE9n0qSRuKGA4Toe3Y89cKCiVtCU/edit?usp=sharing"",""สตูล!L764"")+IMPORTRANGE(""https://docs.google.com/sprea"&amp;"dsheets/d/18T20gbkS_WBjdscyTOV05cvq_JqvqQ17C81mpxf7Ncs/edit?usp=sharing"",""สุราษฎร์ธานี!L764"")"),0)</f>
        <v>0</v>
      </c>
      <c r="M764" s="49">
        <f ca="1">IFERROR(__xludf.DUMMYFUNCTION("IMPORTRANGE(""https://docs.google.com/spreadsheets/d/1kKUcYdkIfrgTSj8iHHHB2MD2FAtwyyocFgqGQn6ADyI/edit?usp=sharing"",""กระบี่!M764"")+IMPORTRANGE(""https://docs.google.com/spreadsheets/d/1GwtLaSlNZkLk7iDqcyZz22giiy40b_usZZBXYciEN1U/edit?usp=sharing"",""ชุ"&amp;"มพร!M764"")+IMPORTRANGE(""https://docs.google.com/spreadsheets/d/16pAz3pOhQEZBhvFNMa5KGgZS6iKWpsKX0pg6tQmwFpo/edit?usp=sharing"",""ตรัง!M764"")+IMPORTRANGE(""https://docs.google.com/spreadsheets/d/1Dj4jcHCTV9JXKCaMoheSXS52JE63kDKyG7bPXnFogHk/edit?usp=shar"&amp;"ing"",""นครศรีธรรมราช!M764"")+IMPORTRANGE(""https://docs.google.com/spreadsheets/d/1iodCdmuK2GR3jzUwk8tpccY2JHQQA-87DLOtJP-ooyU/edit?usp=sharing"",""นราธิวาส!M764"")+IMPORTRANGE(""https://docs.google.com/spreadsheets/d/1SDNX3JhDdYRuIOsj0Wh2M-Qa_eaXl0NbWmh"&amp;"AOTbfQAs/edit?usp=sharing"",""ปัตตานี!M764"")+IMPORTRANGE(""https://docs.google.com/spreadsheets/d/16JDLGguT8s5DsGCND1KcwHP_AWR_zDMTqLHPLJUKhaU/edit?usp=sharing"",""พังงา!M764"")+IMPORTRANGE(""https://docs.google.com/spreadsheets/d/17ht0gPKzzT3PObBL1XJkeR"&amp;"mntBXI7wGjpLV7QorqlTk/edit?usp=sharing"",""พัทลุง!M764"")+IMPORTRANGE(""https://docs.google.com/spreadsheets/d/1rd4qoM1q_hsgaolqNGfrim9gbsoLxQsda4-vOz5x_BM/edit?usp=sharing"",""ภูเก็ต!M764"")+IMPORTRANGE(""https://docs.google.com/spreadsheets/d/1woKwKjgoL"&amp;"ssDvPcPeVyezB5izizAn4X1JDrys69n6xI/edit?usp=sharing"",""ยะลา!M764"")+IMPORTRANGE(""https://docs.google.com/spreadsheets/d/1qfrKjzMhm2HJfxQ-qVlJlJQ25Hne1d0khsySbZyGtPA/edit?usp=sharing"",""ระนอง!M764"")+IMPORTRANGE(""https://docs.google.com/spreadsheets/d/"&amp;"1IbSCnFOKpZsnFogBHJnL_isstZVaOMnFiIN0fGTPZZw/edit?usp=sharing"",""สงขลา!M764"")+IMPORTRANGE(""https://docs.google.com/spreadsheets/d/1q9nWasZJ-K8bFGvbE9n0qSRuKGA4Toe3Y89cKCiVtCU/edit?usp=sharing"",""สตูล!M764"")+IMPORTRANGE(""https://docs.google.com/sprea"&amp;"dsheets/d/18T20gbkS_WBjdscyTOV05cvq_JqvqQ17C81mpxf7Ncs/edit?usp=sharing"",""สุราษฎร์ธานี!M764"")"),0)</f>
        <v>0</v>
      </c>
      <c r="N764" s="49">
        <f ca="1">IFERROR(__xludf.DUMMYFUNCTION("IMPORTRANGE(""https://docs.google.com/spreadsheets/d/1kKUcYdkIfrgTSj8iHHHB2MD2FAtwyyocFgqGQn6ADyI/edit?usp=sharing"",""กระบี่!N764"")+IMPORTRANGE(""https://docs.google.com/spreadsheets/d/1GwtLaSlNZkLk7iDqcyZz22giiy40b_usZZBXYciEN1U/edit?usp=sharing"",""ชุ"&amp;"มพร!N764"")+IMPORTRANGE(""https://docs.google.com/spreadsheets/d/16pAz3pOhQEZBhvFNMa5KGgZS6iKWpsKX0pg6tQmwFpo/edit?usp=sharing"",""ตรัง!N764"")+IMPORTRANGE(""https://docs.google.com/spreadsheets/d/1Dj4jcHCTV9JXKCaMoheSXS52JE63kDKyG7bPXnFogHk/edit?usp=shar"&amp;"ing"",""นครศรีธรรมราช!N764"")+IMPORTRANGE(""https://docs.google.com/spreadsheets/d/1iodCdmuK2GR3jzUwk8tpccY2JHQQA-87DLOtJP-ooyU/edit?usp=sharing"",""นราธิวาส!N764"")+IMPORTRANGE(""https://docs.google.com/spreadsheets/d/1SDNX3JhDdYRuIOsj0Wh2M-Qa_eaXl0NbWmh"&amp;"AOTbfQAs/edit?usp=sharing"",""ปัตตานี!N764"")+IMPORTRANGE(""https://docs.google.com/spreadsheets/d/16JDLGguT8s5DsGCND1KcwHP_AWR_zDMTqLHPLJUKhaU/edit?usp=sharing"",""พังงา!N764"")+IMPORTRANGE(""https://docs.google.com/spreadsheets/d/17ht0gPKzzT3PObBL1XJkeR"&amp;"mntBXI7wGjpLV7QorqlTk/edit?usp=sharing"",""พัทลุง!N764"")+IMPORTRANGE(""https://docs.google.com/spreadsheets/d/1rd4qoM1q_hsgaolqNGfrim9gbsoLxQsda4-vOz5x_BM/edit?usp=sharing"",""ภูเก็ต!N764"")+IMPORTRANGE(""https://docs.google.com/spreadsheets/d/1woKwKjgoL"&amp;"ssDvPcPeVyezB5izizAn4X1JDrys69n6xI/edit?usp=sharing"",""ยะลา!N764"")+IMPORTRANGE(""https://docs.google.com/spreadsheets/d/1qfrKjzMhm2HJfxQ-qVlJlJQ25Hne1d0khsySbZyGtPA/edit?usp=sharing"",""ระนอง!N764"")+IMPORTRANGE(""https://docs.google.com/spreadsheets/d/"&amp;"1IbSCnFOKpZsnFogBHJnL_isstZVaOMnFiIN0fGTPZZw/edit?usp=sharing"",""สงขลา!N764"")+IMPORTRANGE(""https://docs.google.com/spreadsheets/d/1q9nWasZJ-K8bFGvbE9n0qSRuKGA4Toe3Y89cKCiVtCU/edit?usp=sharing"",""สตูล!N764"")+IMPORTRANGE(""https://docs.google.com/sprea"&amp;"dsheets/d/18T20gbkS_WBjdscyTOV05cvq_JqvqQ17C81mpxf7Ncs/edit?usp=sharing"",""สุราษฎร์ธานี!N764"")"),0)</f>
        <v>0</v>
      </c>
      <c r="O764" s="49">
        <f t="shared" ca="1" si="522"/>
        <v>0</v>
      </c>
      <c r="P764" s="49">
        <f t="shared" ca="1" si="523"/>
        <v>0</v>
      </c>
      <c r="Q764" s="49">
        <f ca="1">IFERROR(__xludf.DUMMYFUNCTION("IMPORTRANGE(""https://docs.google.com/spreadsheets/d/1kKUcYdkIfrgTSj8iHHHB2MD2FAtwyyocFgqGQn6ADyI/edit?usp=sharing"",""กระบี่!Q764"")+IMPORTRANGE(""https://docs.google.com/spreadsheets/d/1GwtLaSlNZkLk7iDqcyZz22giiy40b_usZZBXYciEN1U/edit?usp=sharing"",""ชุ"&amp;"มพร!Q764"")+IMPORTRANGE(""https://docs.google.com/spreadsheets/d/16pAz3pOhQEZBhvFNMa5KGgZS6iKWpsKX0pg6tQmwFpo/edit?usp=sharing"",""ตรัง!Q764"")+IMPORTRANGE(""https://docs.google.com/spreadsheets/d/1Dj4jcHCTV9JXKCaMoheSXS52JE63kDKyG7bPXnFogHk/edit?usp=shar"&amp;"ing"",""นครศรีธรรมราช!Q764"")+IMPORTRANGE(""https://docs.google.com/spreadsheets/d/1iodCdmuK2GR3jzUwk8tpccY2JHQQA-87DLOtJP-ooyU/edit?usp=sharing"",""นราธิวาส!Q764"")+IMPORTRANGE(""https://docs.google.com/spreadsheets/d/1SDNX3JhDdYRuIOsj0Wh2M-Qa_eaXl0NbWmh"&amp;"AOTbfQAs/edit?usp=sharing"",""ปัตตานี!Q764"")+IMPORTRANGE(""https://docs.google.com/spreadsheets/d/16JDLGguT8s5DsGCND1KcwHP_AWR_zDMTqLHPLJUKhaU/edit?usp=sharing"",""พังงา!Q764"")+IMPORTRANGE(""https://docs.google.com/spreadsheets/d/17ht0gPKzzT3PObBL1XJkeR"&amp;"mntBXI7wGjpLV7QorqlTk/edit?usp=sharing"",""พัทลุง!Q764"")+IMPORTRANGE(""https://docs.google.com/spreadsheets/d/1rd4qoM1q_hsgaolqNGfrim9gbsoLxQsda4-vOz5x_BM/edit?usp=sharing"",""ภูเก็ต!Q764"")+IMPORTRANGE(""https://docs.google.com/spreadsheets/d/1woKwKjgoL"&amp;"ssDvPcPeVyezB5izizAn4X1JDrys69n6xI/edit?usp=sharing"",""ยะลา!Q764"")+IMPORTRANGE(""https://docs.google.com/spreadsheets/d/1qfrKjzMhm2HJfxQ-qVlJlJQ25Hne1d0khsySbZyGtPA/edit?usp=sharing"",""ระนอง!Q764"")+IMPORTRANGE(""https://docs.google.com/spreadsheets/d/"&amp;"1IbSCnFOKpZsnFogBHJnL_isstZVaOMnFiIN0fGTPZZw/edit?usp=sharing"",""สงขลา!Q764"")+IMPORTRANGE(""https://docs.google.com/spreadsheets/d/1q9nWasZJ-K8bFGvbE9n0qSRuKGA4Toe3Y89cKCiVtCU/edit?usp=sharing"",""สตูล!Q764"")+IMPORTRANGE(""https://docs.google.com/sprea"&amp;"dsheets/d/18T20gbkS_WBjdscyTOV05cvq_JqvqQ17C81mpxf7Ncs/edit?usp=sharing"",""สุราษฎร์ธานี!Q764"")"),0)</f>
        <v>0</v>
      </c>
      <c r="R764" s="49">
        <f ca="1">IFERROR(__xludf.DUMMYFUNCTION("IMPORTRANGE(""https://docs.google.com/spreadsheets/d/1kKUcYdkIfrgTSj8iHHHB2MD2FAtwyyocFgqGQn6ADyI/edit?usp=sharing"",""กระบี่!R764"")+IMPORTRANGE(""https://docs.google.com/spreadsheets/d/1GwtLaSlNZkLk7iDqcyZz22giiy40b_usZZBXYciEN1U/edit?usp=sharing"",""ชุ"&amp;"มพร!R764"")+IMPORTRANGE(""https://docs.google.com/spreadsheets/d/16pAz3pOhQEZBhvFNMa5KGgZS6iKWpsKX0pg6tQmwFpo/edit?usp=sharing"",""ตรัง!R764"")+IMPORTRANGE(""https://docs.google.com/spreadsheets/d/1Dj4jcHCTV9JXKCaMoheSXS52JE63kDKyG7bPXnFogHk/edit?usp=shar"&amp;"ing"",""นครศรีธรรมราช!R764"")+IMPORTRANGE(""https://docs.google.com/spreadsheets/d/1iodCdmuK2GR3jzUwk8tpccY2JHQQA-87DLOtJP-ooyU/edit?usp=sharing"",""นราธิวาส!R764"")+IMPORTRANGE(""https://docs.google.com/spreadsheets/d/1SDNX3JhDdYRuIOsj0Wh2M-Qa_eaXl0NbWmh"&amp;"AOTbfQAs/edit?usp=sharing"",""ปัตตานี!R764"")+IMPORTRANGE(""https://docs.google.com/spreadsheets/d/16JDLGguT8s5DsGCND1KcwHP_AWR_zDMTqLHPLJUKhaU/edit?usp=sharing"",""พังงา!R764"")+IMPORTRANGE(""https://docs.google.com/spreadsheets/d/17ht0gPKzzT3PObBL1XJkeR"&amp;"mntBXI7wGjpLV7QorqlTk/edit?usp=sharing"",""พัทลุง!R764"")+IMPORTRANGE(""https://docs.google.com/spreadsheets/d/1rd4qoM1q_hsgaolqNGfrim9gbsoLxQsda4-vOz5x_BM/edit?usp=sharing"",""ภูเก็ต!R764"")+IMPORTRANGE(""https://docs.google.com/spreadsheets/d/1woKwKjgoL"&amp;"ssDvPcPeVyezB5izizAn4X1JDrys69n6xI/edit?usp=sharing"",""ยะลา!R764"")+IMPORTRANGE(""https://docs.google.com/spreadsheets/d/1qfrKjzMhm2HJfxQ-qVlJlJQ25Hne1d0khsySbZyGtPA/edit?usp=sharing"",""ระนอง!R764"")+IMPORTRANGE(""https://docs.google.com/spreadsheets/d/"&amp;"1IbSCnFOKpZsnFogBHJnL_isstZVaOMnFiIN0fGTPZZw/edit?usp=sharing"",""สงขลา!R764"")+IMPORTRANGE(""https://docs.google.com/spreadsheets/d/1q9nWasZJ-K8bFGvbE9n0qSRuKGA4Toe3Y89cKCiVtCU/edit?usp=sharing"",""สตูล!R764"")+IMPORTRANGE(""https://docs.google.com/sprea"&amp;"dsheets/d/18T20gbkS_WBjdscyTOV05cvq_JqvqQ17C81mpxf7Ncs/edit?usp=sharing"",""สุราษฎร์ธานี!R764"")"),0)</f>
        <v>0</v>
      </c>
      <c r="S764" s="49">
        <f ca="1">IFERROR(__xludf.DUMMYFUNCTION("IMPORTRANGE(""https://docs.google.com/spreadsheets/d/1kKUcYdkIfrgTSj8iHHHB2MD2FAtwyyocFgqGQn6ADyI/edit?usp=sharing"",""กระบี่!S764"")+IMPORTRANGE(""https://docs.google.com/spreadsheets/d/1GwtLaSlNZkLk7iDqcyZz22giiy40b_usZZBXYciEN1U/edit?usp=sharing"",""ชุ"&amp;"มพร!S764"")+IMPORTRANGE(""https://docs.google.com/spreadsheets/d/16pAz3pOhQEZBhvFNMa5KGgZS6iKWpsKX0pg6tQmwFpo/edit?usp=sharing"",""ตรัง!S764"")+IMPORTRANGE(""https://docs.google.com/spreadsheets/d/1Dj4jcHCTV9JXKCaMoheSXS52JE63kDKyG7bPXnFogHk/edit?usp=shar"&amp;"ing"",""นครศรีธรรมราช!S764"")+IMPORTRANGE(""https://docs.google.com/spreadsheets/d/1iodCdmuK2GR3jzUwk8tpccY2JHQQA-87DLOtJP-ooyU/edit?usp=sharing"",""นราธิวาส!S764"")+IMPORTRANGE(""https://docs.google.com/spreadsheets/d/1SDNX3JhDdYRuIOsj0Wh2M-Qa_eaXl0NbWmh"&amp;"AOTbfQAs/edit?usp=sharing"",""ปัตตานี!S764"")+IMPORTRANGE(""https://docs.google.com/spreadsheets/d/16JDLGguT8s5DsGCND1KcwHP_AWR_zDMTqLHPLJUKhaU/edit?usp=sharing"",""พังงา!S764"")+IMPORTRANGE(""https://docs.google.com/spreadsheets/d/17ht0gPKzzT3PObBL1XJkeR"&amp;"mntBXI7wGjpLV7QorqlTk/edit?usp=sharing"",""พัทลุง!S764"")+IMPORTRANGE(""https://docs.google.com/spreadsheets/d/1rd4qoM1q_hsgaolqNGfrim9gbsoLxQsda4-vOz5x_BM/edit?usp=sharing"",""ภูเก็ต!S764"")+IMPORTRANGE(""https://docs.google.com/spreadsheets/d/1woKwKjgoL"&amp;"ssDvPcPeVyezB5izizAn4X1JDrys69n6xI/edit?usp=sharing"",""ยะลา!S764"")+IMPORTRANGE(""https://docs.google.com/spreadsheets/d/1qfrKjzMhm2HJfxQ-qVlJlJQ25Hne1d0khsySbZyGtPA/edit?usp=sharing"",""ระนอง!S764"")+IMPORTRANGE(""https://docs.google.com/spreadsheets/d/"&amp;"1IbSCnFOKpZsnFogBHJnL_isstZVaOMnFiIN0fGTPZZw/edit?usp=sharing"",""สงขลา!S764"")+IMPORTRANGE(""https://docs.google.com/spreadsheets/d/1q9nWasZJ-K8bFGvbE9n0qSRuKGA4Toe3Y89cKCiVtCU/edit?usp=sharing"",""สตูล!S764"")+IMPORTRANGE(""https://docs.google.com/sprea"&amp;"dsheets/d/18T20gbkS_WBjdscyTOV05cvq_JqvqQ17C81mpxf7Ncs/edit?usp=sharing"",""สุราษฎร์ธานี!S764"")"),0)</f>
        <v>0</v>
      </c>
      <c r="T764" s="49">
        <f t="shared" ca="1" si="525"/>
        <v>0</v>
      </c>
      <c r="U764" s="49">
        <f t="shared" ca="1" si="526"/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7">
        <f ca="1">IFERROR(__xludf.DUMMYFUNCTION("IMPORTRANGE(""https://docs.google.com/spreadsheets/d/1kKUcYdkIfrgTSj8iHHHB2MD2FAtwyyocFgqGQn6ADyI/edit?usp=sharing"",""กระบี่!L765"")+IMPORTRANGE(""https://docs.google.com/spreadsheets/d/1GwtLaSlNZkLk7iDqcyZz22giiy40b_usZZBXYciEN1U/edit?usp=sharing"",""ชุ"&amp;"มพร!L765"")+IMPORTRANGE(""https://docs.google.com/spreadsheets/d/16pAz3pOhQEZBhvFNMa5KGgZS6iKWpsKX0pg6tQmwFpo/edit?usp=sharing"",""ตรัง!L765"")+IMPORTRANGE(""https://docs.google.com/spreadsheets/d/1Dj4jcHCTV9JXKCaMoheSXS52JE63kDKyG7bPXnFogHk/edit?usp=shar"&amp;"ing"",""นครศรีธรรมราช!L765"")+IMPORTRANGE(""https://docs.google.com/spreadsheets/d/1iodCdmuK2GR3jzUwk8tpccY2JHQQA-87DLOtJP-ooyU/edit?usp=sharing"",""นราธิวาส!L765"")+IMPORTRANGE(""https://docs.google.com/spreadsheets/d/1SDNX3JhDdYRuIOsj0Wh2M-Qa_eaXl0NbWmh"&amp;"AOTbfQAs/edit?usp=sharing"",""ปัตตานี!L765"")+IMPORTRANGE(""https://docs.google.com/spreadsheets/d/16JDLGguT8s5DsGCND1KcwHP_AWR_zDMTqLHPLJUKhaU/edit?usp=sharing"",""พังงา!L765"")+IMPORTRANGE(""https://docs.google.com/spreadsheets/d/17ht0gPKzzT3PObBL1XJkeR"&amp;"mntBXI7wGjpLV7QorqlTk/edit?usp=sharing"",""พัทลุง!L765"")+IMPORTRANGE(""https://docs.google.com/spreadsheets/d/1rd4qoM1q_hsgaolqNGfrim9gbsoLxQsda4-vOz5x_BM/edit?usp=sharing"",""ภูเก็ต!L765"")+IMPORTRANGE(""https://docs.google.com/spreadsheets/d/1woKwKjgoL"&amp;"ssDvPcPeVyezB5izizAn4X1JDrys69n6xI/edit?usp=sharing"",""ยะลา!L765"")+IMPORTRANGE(""https://docs.google.com/spreadsheets/d/1qfrKjzMhm2HJfxQ-qVlJlJQ25Hne1d0khsySbZyGtPA/edit?usp=sharing"",""ระนอง!L765"")+IMPORTRANGE(""https://docs.google.com/spreadsheets/d/"&amp;"1IbSCnFOKpZsnFogBHJnL_isstZVaOMnFiIN0fGTPZZw/edit?usp=sharing"",""สงขลา!L765"")+IMPORTRANGE(""https://docs.google.com/spreadsheets/d/1q9nWasZJ-K8bFGvbE9n0qSRuKGA4Toe3Y89cKCiVtCU/edit?usp=sharing"",""สตูล!L765"")+IMPORTRANGE(""https://docs.google.com/sprea"&amp;"dsheets/d/18T20gbkS_WBjdscyTOV05cvq_JqvqQ17C81mpxf7Ncs/edit?usp=sharing"",""สุราษฎร์ธานี!L765"")"),0)</f>
        <v>0</v>
      </c>
      <c r="M765" s="47">
        <f ca="1">IFERROR(__xludf.DUMMYFUNCTION("IMPORTRANGE(""https://docs.google.com/spreadsheets/d/1kKUcYdkIfrgTSj8iHHHB2MD2FAtwyyocFgqGQn6ADyI/edit?usp=sharing"",""กระบี่!M765"")+IMPORTRANGE(""https://docs.google.com/spreadsheets/d/1GwtLaSlNZkLk7iDqcyZz22giiy40b_usZZBXYciEN1U/edit?usp=sharing"",""ชุ"&amp;"มพร!M765"")+IMPORTRANGE(""https://docs.google.com/spreadsheets/d/16pAz3pOhQEZBhvFNMa5KGgZS6iKWpsKX0pg6tQmwFpo/edit?usp=sharing"",""ตรัง!M765"")+IMPORTRANGE(""https://docs.google.com/spreadsheets/d/1Dj4jcHCTV9JXKCaMoheSXS52JE63kDKyG7bPXnFogHk/edit?usp=shar"&amp;"ing"",""นครศรีธรรมราช!M765"")+IMPORTRANGE(""https://docs.google.com/spreadsheets/d/1iodCdmuK2GR3jzUwk8tpccY2JHQQA-87DLOtJP-ooyU/edit?usp=sharing"",""นราธิวาส!M765"")+IMPORTRANGE(""https://docs.google.com/spreadsheets/d/1SDNX3JhDdYRuIOsj0Wh2M-Qa_eaXl0NbWmh"&amp;"AOTbfQAs/edit?usp=sharing"",""ปัตตานี!M765"")+IMPORTRANGE(""https://docs.google.com/spreadsheets/d/16JDLGguT8s5DsGCND1KcwHP_AWR_zDMTqLHPLJUKhaU/edit?usp=sharing"",""พังงา!M765"")+IMPORTRANGE(""https://docs.google.com/spreadsheets/d/17ht0gPKzzT3PObBL1XJkeR"&amp;"mntBXI7wGjpLV7QorqlTk/edit?usp=sharing"",""พัทลุง!M765"")+IMPORTRANGE(""https://docs.google.com/spreadsheets/d/1rd4qoM1q_hsgaolqNGfrim9gbsoLxQsda4-vOz5x_BM/edit?usp=sharing"",""ภูเก็ต!M765"")+IMPORTRANGE(""https://docs.google.com/spreadsheets/d/1woKwKjgoL"&amp;"ssDvPcPeVyezB5izizAn4X1JDrys69n6xI/edit?usp=sharing"",""ยะลา!M765"")+IMPORTRANGE(""https://docs.google.com/spreadsheets/d/1qfrKjzMhm2HJfxQ-qVlJlJQ25Hne1d0khsySbZyGtPA/edit?usp=sharing"",""ระนอง!M765"")+IMPORTRANGE(""https://docs.google.com/spreadsheets/d/"&amp;"1IbSCnFOKpZsnFogBHJnL_isstZVaOMnFiIN0fGTPZZw/edit?usp=sharing"",""สงขลา!M765"")+IMPORTRANGE(""https://docs.google.com/spreadsheets/d/1q9nWasZJ-K8bFGvbE9n0qSRuKGA4Toe3Y89cKCiVtCU/edit?usp=sharing"",""สตูล!M765"")+IMPORTRANGE(""https://docs.google.com/sprea"&amp;"dsheets/d/18T20gbkS_WBjdscyTOV05cvq_JqvqQ17C81mpxf7Ncs/edit?usp=sharing"",""สุราษฎร์ธานี!M765"")"),0)</f>
        <v>0</v>
      </c>
      <c r="N765" s="47">
        <f ca="1">IFERROR(__xludf.DUMMYFUNCTION("IMPORTRANGE(""https://docs.google.com/spreadsheets/d/1kKUcYdkIfrgTSj8iHHHB2MD2FAtwyyocFgqGQn6ADyI/edit?usp=sharing"",""กระบี่!N765"")+IMPORTRANGE(""https://docs.google.com/spreadsheets/d/1GwtLaSlNZkLk7iDqcyZz22giiy40b_usZZBXYciEN1U/edit?usp=sharing"",""ชุ"&amp;"มพร!N765"")+IMPORTRANGE(""https://docs.google.com/spreadsheets/d/16pAz3pOhQEZBhvFNMa5KGgZS6iKWpsKX0pg6tQmwFpo/edit?usp=sharing"",""ตรัง!N765"")+IMPORTRANGE(""https://docs.google.com/spreadsheets/d/1Dj4jcHCTV9JXKCaMoheSXS52JE63kDKyG7bPXnFogHk/edit?usp=shar"&amp;"ing"",""นครศรีธรรมราช!N765"")+IMPORTRANGE(""https://docs.google.com/spreadsheets/d/1iodCdmuK2GR3jzUwk8tpccY2JHQQA-87DLOtJP-ooyU/edit?usp=sharing"",""นราธิวาส!N765"")+IMPORTRANGE(""https://docs.google.com/spreadsheets/d/1SDNX3JhDdYRuIOsj0Wh2M-Qa_eaXl0NbWmh"&amp;"AOTbfQAs/edit?usp=sharing"",""ปัตตานี!N765"")+IMPORTRANGE(""https://docs.google.com/spreadsheets/d/16JDLGguT8s5DsGCND1KcwHP_AWR_zDMTqLHPLJUKhaU/edit?usp=sharing"",""พังงา!N765"")+IMPORTRANGE(""https://docs.google.com/spreadsheets/d/17ht0gPKzzT3PObBL1XJkeR"&amp;"mntBXI7wGjpLV7QorqlTk/edit?usp=sharing"",""พัทลุง!N765"")+IMPORTRANGE(""https://docs.google.com/spreadsheets/d/1rd4qoM1q_hsgaolqNGfrim9gbsoLxQsda4-vOz5x_BM/edit?usp=sharing"",""ภูเก็ต!N765"")+IMPORTRANGE(""https://docs.google.com/spreadsheets/d/1woKwKjgoL"&amp;"ssDvPcPeVyezB5izizAn4X1JDrys69n6xI/edit?usp=sharing"",""ยะลา!N765"")+IMPORTRANGE(""https://docs.google.com/spreadsheets/d/1qfrKjzMhm2HJfxQ-qVlJlJQ25Hne1d0khsySbZyGtPA/edit?usp=sharing"",""ระนอง!N765"")+IMPORTRANGE(""https://docs.google.com/spreadsheets/d/"&amp;"1IbSCnFOKpZsnFogBHJnL_isstZVaOMnFiIN0fGTPZZw/edit?usp=sharing"",""สงขลา!N765"")+IMPORTRANGE(""https://docs.google.com/spreadsheets/d/1q9nWasZJ-K8bFGvbE9n0qSRuKGA4Toe3Y89cKCiVtCU/edit?usp=sharing"",""สตูล!N765"")+IMPORTRANGE(""https://docs.google.com/sprea"&amp;"dsheets/d/18T20gbkS_WBjdscyTOV05cvq_JqvqQ17C81mpxf7Ncs/edit?usp=sharing"",""สุราษฎร์ธานี!N765"")"),0)</f>
        <v>0</v>
      </c>
      <c r="O765" s="47">
        <f t="shared" ca="1" si="522"/>
        <v>0</v>
      </c>
      <c r="P765" s="47">
        <f t="shared" ca="1" si="523"/>
        <v>0</v>
      </c>
      <c r="Q765" s="47">
        <f ca="1">IFERROR(__xludf.DUMMYFUNCTION("IMPORTRANGE(""https://docs.google.com/spreadsheets/d/1kKUcYdkIfrgTSj8iHHHB2MD2FAtwyyocFgqGQn6ADyI/edit?usp=sharing"",""กระบี่!Q765"")+IMPORTRANGE(""https://docs.google.com/spreadsheets/d/1GwtLaSlNZkLk7iDqcyZz22giiy40b_usZZBXYciEN1U/edit?usp=sharing"",""ชุ"&amp;"มพร!Q765"")+IMPORTRANGE(""https://docs.google.com/spreadsheets/d/16pAz3pOhQEZBhvFNMa5KGgZS6iKWpsKX0pg6tQmwFpo/edit?usp=sharing"",""ตรัง!Q765"")+IMPORTRANGE(""https://docs.google.com/spreadsheets/d/1Dj4jcHCTV9JXKCaMoheSXS52JE63kDKyG7bPXnFogHk/edit?usp=shar"&amp;"ing"",""นครศรีธรรมราช!Q765"")+IMPORTRANGE(""https://docs.google.com/spreadsheets/d/1iodCdmuK2GR3jzUwk8tpccY2JHQQA-87DLOtJP-ooyU/edit?usp=sharing"",""นราธิวาส!Q765"")+IMPORTRANGE(""https://docs.google.com/spreadsheets/d/1SDNX3JhDdYRuIOsj0Wh2M-Qa_eaXl0NbWmh"&amp;"AOTbfQAs/edit?usp=sharing"",""ปัตตานี!Q765"")+IMPORTRANGE(""https://docs.google.com/spreadsheets/d/16JDLGguT8s5DsGCND1KcwHP_AWR_zDMTqLHPLJUKhaU/edit?usp=sharing"",""พังงา!Q765"")+IMPORTRANGE(""https://docs.google.com/spreadsheets/d/17ht0gPKzzT3PObBL1XJkeR"&amp;"mntBXI7wGjpLV7QorqlTk/edit?usp=sharing"",""พัทลุง!Q765"")+IMPORTRANGE(""https://docs.google.com/spreadsheets/d/1rd4qoM1q_hsgaolqNGfrim9gbsoLxQsda4-vOz5x_BM/edit?usp=sharing"",""ภูเก็ต!Q765"")+IMPORTRANGE(""https://docs.google.com/spreadsheets/d/1woKwKjgoL"&amp;"ssDvPcPeVyezB5izizAn4X1JDrys69n6xI/edit?usp=sharing"",""ยะลา!Q765"")+IMPORTRANGE(""https://docs.google.com/spreadsheets/d/1qfrKjzMhm2HJfxQ-qVlJlJQ25Hne1d0khsySbZyGtPA/edit?usp=sharing"",""ระนอง!Q765"")+IMPORTRANGE(""https://docs.google.com/spreadsheets/d/"&amp;"1IbSCnFOKpZsnFogBHJnL_isstZVaOMnFiIN0fGTPZZw/edit?usp=sharing"",""สงขลา!Q765"")+IMPORTRANGE(""https://docs.google.com/spreadsheets/d/1q9nWasZJ-K8bFGvbE9n0qSRuKGA4Toe3Y89cKCiVtCU/edit?usp=sharing"",""สตูล!Q765"")+IMPORTRANGE(""https://docs.google.com/sprea"&amp;"dsheets/d/18T20gbkS_WBjdscyTOV05cvq_JqvqQ17C81mpxf7Ncs/edit?usp=sharing"",""สุราษฎร์ธานี!Q765"")"),2015140)</f>
        <v>2015140</v>
      </c>
      <c r="R765" s="47">
        <f ca="1">IFERROR(__xludf.DUMMYFUNCTION("IMPORTRANGE(""https://docs.google.com/spreadsheets/d/1kKUcYdkIfrgTSj8iHHHB2MD2FAtwyyocFgqGQn6ADyI/edit?usp=sharing"",""กระบี่!R765"")+IMPORTRANGE(""https://docs.google.com/spreadsheets/d/1GwtLaSlNZkLk7iDqcyZz22giiy40b_usZZBXYciEN1U/edit?usp=sharing"",""ชุ"&amp;"มพร!R765"")+IMPORTRANGE(""https://docs.google.com/spreadsheets/d/16pAz3pOhQEZBhvFNMa5KGgZS6iKWpsKX0pg6tQmwFpo/edit?usp=sharing"",""ตรัง!R765"")+IMPORTRANGE(""https://docs.google.com/spreadsheets/d/1Dj4jcHCTV9JXKCaMoheSXS52JE63kDKyG7bPXnFogHk/edit?usp=shar"&amp;"ing"",""นครศรีธรรมราช!R765"")+IMPORTRANGE(""https://docs.google.com/spreadsheets/d/1iodCdmuK2GR3jzUwk8tpccY2JHQQA-87DLOtJP-ooyU/edit?usp=sharing"",""นราธิวาส!R765"")+IMPORTRANGE(""https://docs.google.com/spreadsheets/d/1SDNX3JhDdYRuIOsj0Wh2M-Qa_eaXl0NbWmh"&amp;"AOTbfQAs/edit?usp=sharing"",""ปัตตานี!R765"")+IMPORTRANGE(""https://docs.google.com/spreadsheets/d/16JDLGguT8s5DsGCND1KcwHP_AWR_zDMTqLHPLJUKhaU/edit?usp=sharing"",""พังงา!R765"")+IMPORTRANGE(""https://docs.google.com/spreadsheets/d/17ht0gPKzzT3PObBL1XJkeR"&amp;"mntBXI7wGjpLV7QorqlTk/edit?usp=sharing"",""พัทลุง!R765"")+IMPORTRANGE(""https://docs.google.com/spreadsheets/d/1rd4qoM1q_hsgaolqNGfrim9gbsoLxQsda4-vOz5x_BM/edit?usp=sharing"",""ภูเก็ต!R765"")+IMPORTRANGE(""https://docs.google.com/spreadsheets/d/1woKwKjgoL"&amp;"ssDvPcPeVyezB5izizAn4X1JDrys69n6xI/edit?usp=sharing"",""ยะลา!R765"")+IMPORTRANGE(""https://docs.google.com/spreadsheets/d/1qfrKjzMhm2HJfxQ-qVlJlJQ25Hne1d0khsySbZyGtPA/edit?usp=sharing"",""ระนอง!R765"")+IMPORTRANGE(""https://docs.google.com/spreadsheets/d/"&amp;"1IbSCnFOKpZsnFogBHJnL_isstZVaOMnFiIN0fGTPZZw/edit?usp=sharing"",""สงขลา!R765"")+IMPORTRANGE(""https://docs.google.com/spreadsheets/d/1q9nWasZJ-K8bFGvbE9n0qSRuKGA4Toe3Y89cKCiVtCU/edit?usp=sharing"",""สตูล!R765"")+IMPORTRANGE(""https://docs.google.com/sprea"&amp;"dsheets/d/18T20gbkS_WBjdscyTOV05cvq_JqvqQ17C81mpxf7Ncs/edit?usp=sharing"",""สุราษฎร์ธานี!R765"")"),2015140)</f>
        <v>2015140</v>
      </c>
      <c r="S765" s="47">
        <f ca="1">IFERROR(__xludf.DUMMYFUNCTION("IMPORTRANGE(""https://docs.google.com/spreadsheets/d/1kKUcYdkIfrgTSj8iHHHB2MD2FAtwyyocFgqGQn6ADyI/edit?usp=sharing"",""กระบี่!S765"")+IMPORTRANGE(""https://docs.google.com/spreadsheets/d/1GwtLaSlNZkLk7iDqcyZz22giiy40b_usZZBXYciEN1U/edit?usp=sharing"",""ชุ"&amp;"มพร!S765"")+IMPORTRANGE(""https://docs.google.com/spreadsheets/d/16pAz3pOhQEZBhvFNMa5KGgZS6iKWpsKX0pg6tQmwFpo/edit?usp=sharing"",""ตรัง!S765"")+IMPORTRANGE(""https://docs.google.com/spreadsheets/d/1Dj4jcHCTV9JXKCaMoheSXS52JE63kDKyG7bPXnFogHk/edit?usp=shar"&amp;"ing"",""นครศรีธรรมราช!S765"")+IMPORTRANGE(""https://docs.google.com/spreadsheets/d/1iodCdmuK2GR3jzUwk8tpccY2JHQQA-87DLOtJP-ooyU/edit?usp=sharing"",""นราธิวาส!S765"")+IMPORTRANGE(""https://docs.google.com/spreadsheets/d/1SDNX3JhDdYRuIOsj0Wh2M-Qa_eaXl0NbWmh"&amp;"AOTbfQAs/edit?usp=sharing"",""ปัตตานี!S765"")+IMPORTRANGE(""https://docs.google.com/spreadsheets/d/16JDLGguT8s5DsGCND1KcwHP_AWR_zDMTqLHPLJUKhaU/edit?usp=sharing"",""พังงา!S765"")+IMPORTRANGE(""https://docs.google.com/spreadsheets/d/17ht0gPKzzT3PObBL1XJkeR"&amp;"mntBXI7wGjpLV7QorqlTk/edit?usp=sharing"",""พัทลุง!S765"")+IMPORTRANGE(""https://docs.google.com/spreadsheets/d/1rd4qoM1q_hsgaolqNGfrim9gbsoLxQsda4-vOz5x_BM/edit?usp=sharing"",""ภูเก็ต!S765"")+IMPORTRANGE(""https://docs.google.com/spreadsheets/d/1woKwKjgoL"&amp;"ssDvPcPeVyezB5izizAn4X1JDrys69n6xI/edit?usp=sharing"",""ยะลา!S765"")+IMPORTRANGE(""https://docs.google.com/spreadsheets/d/1qfrKjzMhm2HJfxQ-qVlJlJQ25Hne1d0khsySbZyGtPA/edit?usp=sharing"",""ระนอง!S765"")+IMPORTRANGE(""https://docs.google.com/spreadsheets/d/"&amp;"1IbSCnFOKpZsnFogBHJnL_isstZVaOMnFiIN0fGTPZZw/edit?usp=sharing"",""สงขลา!S765"")+IMPORTRANGE(""https://docs.google.com/spreadsheets/d/1q9nWasZJ-K8bFGvbE9n0qSRuKGA4Toe3Y89cKCiVtCU/edit?usp=sharing"",""สตูล!S765"")+IMPORTRANGE(""https://docs.google.com/sprea"&amp;"dsheets/d/18T20gbkS_WBjdscyTOV05cvq_JqvqQ17C81mpxf7Ncs/edit?usp=sharing"",""สุราษฎร์ธานี!S765"")"),865639.8)</f>
        <v>865639.8</v>
      </c>
      <c r="T765" s="47">
        <f t="shared" ca="1" si="525"/>
        <v>42.956806971227806</v>
      </c>
      <c r="U765" s="47">
        <f t="shared" ca="1" si="526"/>
        <v>42.956806971227806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7">
        <f t="shared" ref="L766:N766" ca="1" si="533">L767+L768</f>
        <v>0</v>
      </c>
      <c r="M766" s="47">
        <f t="shared" ca="1" si="533"/>
        <v>0</v>
      </c>
      <c r="N766" s="47">
        <f t="shared" ca="1" si="533"/>
        <v>0</v>
      </c>
      <c r="O766" s="47">
        <f t="shared" ca="1" si="522"/>
        <v>0</v>
      </c>
      <c r="P766" s="47">
        <f t="shared" ca="1" si="523"/>
        <v>0</v>
      </c>
      <c r="Q766" s="47">
        <f t="shared" ref="Q766:S766" ca="1" si="534">Q767+Q768</f>
        <v>0</v>
      </c>
      <c r="R766" s="47">
        <f t="shared" ca="1" si="534"/>
        <v>0</v>
      </c>
      <c r="S766" s="47">
        <f t="shared" ca="1" si="534"/>
        <v>0</v>
      </c>
      <c r="T766" s="47">
        <f t="shared" ca="1" si="525"/>
        <v>0</v>
      </c>
      <c r="U766" s="47">
        <f t="shared" ca="1" si="526"/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49">
        <f ca="1">IFERROR(__xludf.DUMMYFUNCTION("IMPORTRANGE(""https://docs.google.com/spreadsheets/d/1kKUcYdkIfrgTSj8iHHHB2MD2FAtwyyocFgqGQn6ADyI/edit?usp=sharing"",""กระบี่!L767"")+IMPORTRANGE(""https://docs.google.com/spreadsheets/d/1GwtLaSlNZkLk7iDqcyZz22giiy40b_usZZBXYciEN1U/edit?usp=sharing"",""ชุ"&amp;"มพร!L767"")+IMPORTRANGE(""https://docs.google.com/spreadsheets/d/16pAz3pOhQEZBhvFNMa5KGgZS6iKWpsKX0pg6tQmwFpo/edit?usp=sharing"",""ตรัง!L767"")+IMPORTRANGE(""https://docs.google.com/spreadsheets/d/1Dj4jcHCTV9JXKCaMoheSXS52JE63kDKyG7bPXnFogHk/edit?usp=shar"&amp;"ing"",""นครศรีธรรมราช!L767"")+IMPORTRANGE(""https://docs.google.com/spreadsheets/d/1iodCdmuK2GR3jzUwk8tpccY2JHQQA-87DLOtJP-ooyU/edit?usp=sharing"",""นราธิวาส!L767"")+IMPORTRANGE(""https://docs.google.com/spreadsheets/d/1SDNX3JhDdYRuIOsj0Wh2M-Qa_eaXl0NbWmh"&amp;"AOTbfQAs/edit?usp=sharing"",""ปัตตานี!L767"")+IMPORTRANGE(""https://docs.google.com/spreadsheets/d/16JDLGguT8s5DsGCND1KcwHP_AWR_zDMTqLHPLJUKhaU/edit?usp=sharing"",""พังงา!L767"")+IMPORTRANGE(""https://docs.google.com/spreadsheets/d/17ht0gPKzzT3PObBL1XJkeR"&amp;"mntBXI7wGjpLV7QorqlTk/edit?usp=sharing"",""พัทลุง!L767"")+IMPORTRANGE(""https://docs.google.com/spreadsheets/d/1rd4qoM1q_hsgaolqNGfrim9gbsoLxQsda4-vOz5x_BM/edit?usp=sharing"",""ภูเก็ต!L767"")+IMPORTRANGE(""https://docs.google.com/spreadsheets/d/1woKwKjgoL"&amp;"ssDvPcPeVyezB5izizAn4X1JDrys69n6xI/edit?usp=sharing"",""ยะลา!L767"")+IMPORTRANGE(""https://docs.google.com/spreadsheets/d/1qfrKjzMhm2HJfxQ-qVlJlJQ25Hne1d0khsySbZyGtPA/edit?usp=sharing"",""ระนอง!L767"")+IMPORTRANGE(""https://docs.google.com/spreadsheets/d/"&amp;"1IbSCnFOKpZsnFogBHJnL_isstZVaOMnFiIN0fGTPZZw/edit?usp=sharing"",""สงขลา!L767"")+IMPORTRANGE(""https://docs.google.com/spreadsheets/d/1q9nWasZJ-K8bFGvbE9n0qSRuKGA4Toe3Y89cKCiVtCU/edit?usp=sharing"",""สตูล!L767"")+IMPORTRANGE(""https://docs.google.com/sprea"&amp;"dsheets/d/18T20gbkS_WBjdscyTOV05cvq_JqvqQ17C81mpxf7Ncs/edit?usp=sharing"",""สุราษฎร์ธานี!L767"")"),0)</f>
        <v>0</v>
      </c>
      <c r="M767" s="49">
        <f ca="1">IFERROR(__xludf.DUMMYFUNCTION("IMPORTRANGE(""https://docs.google.com/spreadsheets/d/1kKUcYdkIfrgTSj8iHHHB2MD2FAtwyyocFgqGQn6ADyI/edit?usp=sharing"",""กระบี่!M767"")+IMPORTRANGE(""https://docs.google.com/spreadsheets/d/1GwtLaSlNZkLk7iDqcyZz22giiy40b_usZZBXYciEN1U/edit?usp=sharing"",""ชุ"&amp;"มพร!M767"")+IMPORTRANGE(""https://docs.google.com/spreadsheets/d/16pAz3pOhQEZBhvFNMa5KGgZS6iKWpsKX0pg6tQmwFpo/edit?usp=sharing"",""ตรัง!M767"")+IMPORTRANGE(""https://docs.google.com/spreadsheets/d/1Dj4jcHCTV9JXKCaMoheSXS52JE63kDKyG7bPXnFogHk/edit?usp=shar"&amp;"ing"",""นครศรีธรรมราช!M767"")+IMPORTRANGE(""https://docs.google.com/spreadsheets/d/1iodCdmuK2GR3jzUwk8tpccY2JHQQA-87DLOtJP-ooyU/edit?usp=sharing"",""นราธิวาส!M767"")+IMPORTRANGE(""https://docs.google.com/spreadsheets/d/1SDNX3JhDdYRuIOsj0Wh2M-Qa_eaXl0NbWmh"&amp;"AOTbfQAs/edit?usp=sharing"",""ปัตตานี!M767"")+IMPORTRANGE(""https://docs.google.com/spreadsheets/d/16JDLGguT8s5DsGCND1KcwHP_AWR_zDMTqLHPLJUKhaU/edit?usp=sharing"",""พังงา!M767"")+IMPORTRANGE(""https://docs.google.com/spreadsheets/d/17ht0gPKzzT3PObBL1XJkeR"&amp;"mntBXI7wGjpLV7QorqlTk/edit?usp=sharing"",""พัทลุง!M767"")+IMPORTRANGE(""https://docs.google.com/spreadsheets/d/1rd4qoM1q_hsgaolqNGfrim9gbsoLxQsda4-vOz5x_BM/edit?usp=sharing"",""ภูเก็ต!M767"")+IMPORTRANGE(""https://docs.google.com/spreadsheets/d/1woKwKjgoL"&amp;"ssDvPcPeVyezB5izizAn4X1JDrys69n6xI/edit?usp=sharing"",""ยะลา!M767"")+IMPORTRANGE(""https://docs.google.com/spreadsheets/d/1qfrKjzMhm2HJfxQ-qVlJlJQ25Hne1d0khsySbZyGtPA/edit?usp=sharing"",""ระนอง!M767"")+IMPORTRANGE(""https://docs.google.com/spreadsheets/d/"&amp;"1IbSCnFOKpZsnFogBHJnL_isstZVaOMnFiIN0fGTPZZw/edit?usp=sharing"",""สงขลา!M767"")+IMPORTRANGE(""https://docs.google.com/spreadsheets/d/1q9nWasZJ-K8bFGvbE9n0qSRuKGA4Toe3Y89cKCiVtCU/edit?usp=sharing"",""สตูล!M767"")+IMPORTRANGE(""https://docs.google.com/sprea"&amp;"dsheets/d/18T20gbkS_WBjdscyTOV05cvq_JqvqQ17C81mpxf7Ncs/edit?usp=sharing"",""สุราษฎร์ธานี!M767"")"),0)</f>
        <v>0</v>
      </c>
      <c r="N767" s="49">
        <f ca="1">IFERROR(__xludf.DUMMYFUNCTION("IMPORTRANGE(""https://docs.google.com/spreadsheets/d/1kKUcYdkIfrgTSj8iHHHB2MD2FAtwyyocFgqGQn6ADyI/edit?usp=sharing"",""กระบี่!N767"")+IMPORTRANGE(""https://docs.google.com/spreadsheets/d/1GwtLaSlNZkLk7iDqcyZz22giiy40b_usZZBXYciEN1U/edit?usp=sharing"",""ชุ"&amp;"มพร!N767"")+IMPORTRANGE(""https://docs.google.com/spreadsheets/d/16pAz3pOhQEZBhvFNMa5KGgZS6iKWpsKX0pg6tQmwFpo/edit?usp=sharing"",""ตรัง!N767"")+IMPORTRANGE(""https://docs.google.com/spreadsheets/d/1Dj4jcHCTV9JXKCaMoheSXS52JE63kDKyG7bPXnFogHk/edit?usp=shar"&amp;"ing"",""นครศรีธรรมราช!N767"")+IMPORTRANGE(""https://docs.google.com/spreadsheets/d/1iodCdmuK2GR3jzUwk8tpccY2JHQQA-87DLOtJP-ooyU/edit?usp=sharing"",""นราธิวาส!N767"")+IMPORTRANGE(""https://docs.google.com/spreadsheets/d/1SDNX3JhDdYRuIOsj0Wh2M-Qa_eaXl0NbWmh"&amp;"AOTbfQAs/edit?usp=sharing"",""ปัตตานี!N767"")+IMPORTRANGE(""https://docs.google.com/spreadsheets/d/16JDLGguT8s5DsGCND1KcwHP_AWR_zDMTqLHPLJUKhaU/edit?usp=sharing"",""พังงา!N767"")+IMPORTRANGE(""https://docs.google.com/spreadsheets/d/17ht0gPKzzT3PObBL1XJkeR"&amp;"mntBXI7wGjpLV7QorqlTk/edit?usp=sharing"",""พัทลุง!N767"")+IMPORTRANGE(""https://docs.google.com/spreadsheets/d/1rd4qoM1q_hsgaolqNGfrim9gbsoLxQsda4-vOz5x_BM/edit?usp=sharing"",""ภูเก็ต!N767"")+IMPORTRANGE(""https://docs.google.com/spreadsheets/d/1woKwKjgoL"&amp;"ssDvPcPeVyezB5izizAn4X1JDrys69n6xI/edit?usp=sharing"",""ยะลา!N767"")+IMPORTRANGE(""https://docs.google.com/spreadsheets/d/1qfrKjzMhm2HJfxQ-qVlJlJQ25Hne1d0khsySbZyGtPA/edit?usp=sharing"",""ระนอง!N767"")+IMPORTRANGE(""https://docs.google.com/spreadsheets/d/"&amp;"1IbSCnFOKpZsnFogBHJnL_isstZVaOMnFiIN0fGTPZZw/edit?usp=sharing"",""สงขลา!N767"")+IMPORTRANGE(""https://docs.google.com/spreadsheets/d/1q9nWasZJ-K8bFGvbE9n0qSRuKGA4Toe3Y89cKCiVtCU/edit?usp=sharing"",""สตูล!N767"")+IMPORTRANGE(""https://docs.google.com/sprea"&amp;"dsheets/d/18T20gbkS_WBjdscyTOV05cvq_JqvqQ17C81mpxf7Ncs/edit?usp=sharing"",""สุราษฎร์ธานี!N767"")"),0)</f>
        <v>0</v>
      </c>
      <c r="O767" s="49">
        <f t="shared" ca="1" si="522"/>
        <v>0</v>
      </c>
      <c r="P767" s="49">
        <f t="shared" ca="1" si="523"/>
        <v>0</v>
      </c>
      <c r="Q767" s="49">
        <f ca="1">IFERROR(__xludf.DUMMYFUNCTION("IMPORTRANGE(""https://docs.google.com/spreadsheets/d/1kKUcYdkIfrgTSj8iHHHB2MD2FAtwyyocFgqGQn6ADyI/edit?usp=sharing"",""กระบี่!Q767"")+IMPORTRANGE(""https://docs.google.com/spreadsheets/d/1GwtLaSlNZkLk7iDqcyZz22giiy40b_usZZBXYciEN1U/edit?usp=sharing"",""ชุ"&amp;"มพร!Q767"")+IMPORTRANGE(""https://docs.google.com/spreadsheets/d/16pAz3pOhQEZBhvFNMa5KGgZS6iKWpsKX0pg6tQmwFpo/edit?usp=sharing"",""ตรัง!Q767"")+IMPORTRANGE(""https://docs.google.com/spreadsheets/d/1Dj4jcHCTV9JXKCaMoheSXS52JE63kDKyG7bPXnFogHk/edit?usp=shar"&amp;"ing"",""นครศรีธรรมราช!Q767"")+IMPORTRANGE(""https://docs.google.com/spreadsheets/d/1iodCdmuK2GR3jzUwk8tpccY2JHQQA-87DLOtJP-ooyU/edit?usp=sharing"",""นราธิวาส!Q767"")+IMPORTRANGE(""https://docs.google.com/spreadsheets/d/1SDNX3JhDdYRuIOsj0Wh2M-Qa_eaXl0NbWmh"&amp;"AOTbfQAs/edit?usp=sharing"",""ปัตตานี!Q767"")+IMPORTRANGE(""https://docs.google.com/spreadsheets/d/16JDLGguT8s5DsGCND1KcwHP_AWR_zDMTqLHPLJUKhaU/edit?usp=sharing"",""พังงา!Q767"")+IMPORTRANGE(""https://docs.google.com/spreadsheets/d/17ht0gPKzzT3PObBL1XJkeR"&amp;"mntBXI7wGjpLV7QorqlTk/edit?usp=sharing"",""พัทลุง!Q767"")+IMPORTRANGE(""https://docs.google.com/spreadsheets/d/1rd4qoM1q_hsgaolqNGfrim9gbsoLxQsda4-vOz5x_BM/edit?usp=sharing"",""ภูเก็ต!Q767"")+IMPORTRANGE(""https://docs.google.com/spreadsheets/d/1woKwKjgoL"&amp;"ssDvPcPeVyezB5izizAn4X1JDrys69n6xI/edit?usp=sharing"",""ยะลา!Q767"")+IMPORTRANGE(""https://docs.google.com/spreadsheets/d/1qfrKjzMhm2HJfxQ-qVlJlJQ25Hne1d0khsySbZyGtPA/edit?usp=sharing"",""ระนอง!Q767"")+IMPORTRANGE(""https://docs.google.com/spreadsheets/d/"&amp;"1IbSCnFOKpZsnFogBHJnL_isstZVaOMnFiIN0fGTPZZw/edit?usp=sharing"",""สงขลา!Q767"")+IMPORTRANGE(""https://docs.google.com/spreadsheets/d/1q9nWasZJ-K8bFGvbE9n0qSRuKGA4Toe3Y89cKCiVtCU/edit?usp=sharing"",""สตูล!Q767"")+IMPORTRANGE(""https://docs.google.com/sprea"&amp;"dsheets/d/18T20gbkS_WBjdscyTOV05cvq_JqvqQ17C81mpxf7Ncs/edit?usp=sharing"",""สุราษฎร์ธานี!Q767"")"),0)</f>
        <v>0</v>
      </c>
      <c r="R767" s="49">
        <f ca="1">IFERROR(__xludf.DUMMYFUNCTION("IMPORTRANGE(""https://docs.google.com/spreadsheets/d/1kKUcYdkIfrgTSj8iHHHB2MD2FAtwyyocFgqGQn6ADyI/edit?usp=sharing"",""กระบี่!R767"")+IMPORTRANGE(""https://docs.google.com/spreadsheets/d/1GwtLaSlNZkLk7iDqcyZz22giiy40b_usZZBXYciEN1U/edit?usp=sharing"",""ชุ"&amp;"มพร!R767"")+IMPORTRANGE(""https://docs.google.com/spreadsheets/d/16pAz3pOhQEZBhvFNMa5KGgZS6iKWpsKX0pg6tQmwFpo/edit?usp=sharing"",""ตรัง!R767"")+IMPORTRANGE(""https://docs.google.com/spreadsheets/d/1Dj4jcHCTV9JXKCaMoheSXS52JE63kDKyG7bPXnFogHk/edit?usp=shar"&amp;"ing"",""นครศรีธรรมราช!R767"")+IMPORTRANGE(""https://docs.google.com/spreadsheets/d/1iodCdmuK2GR3jzUwk8tpccY2JHQQA-87DLOtJP-ooyU/edit?usp=sharing"",""นราธิวาส!R767"")+IMPORTRANGE(""https://docs.google.com/spreadsheets/d/1SDNX3JhDdYRuIOsj0Wh2M-Qa_eaXl0NbWmh"&amp;"AOTbfQAs/edit?usp=sharing"",""ปัตตานี!R767"")+IMPORTRANGE(""https://docs.google.com/spreadsheets/d/16JDLGguT8s5DsGCND1KcwHP_AWR_zDMTqLHPLJUKhaU/edit?usp=sharing"",""พังงา!R767"")+IMPORTRANGE(""https://docs.google.com/spreadsheets/d/17ht0gPKzzT3PObBL1XJkeR"&amp;"mntBXI7wGjpLV7QorqlTk/edit?usp=sharing"",""พัทลุง!R767"")+IMPORTRANGE(""https://docs.google.com/spreadsheets/d/1rd4qoM1q_hsgaolqNGfrim9gbsoLxQsda4-vOz5x_BM/edit?usp=sharing"",""ภูเก็ต!R767"")+IMPORTRANGE(""https://docs.google.com/spreadsheets/d/1woKwKjgoL"&amp;"ssDvPcPeVyezB5izizAn4X1JDrys69n6xI/edit?usp=sharing"",""ยะลา!R767"")+IMPORTRANGE(""https://docs.google.com/spreadsheets/d/1qfrKjzMhm2HJfxQ-qVlJlJQ25Hne1d0khsySbZyGtPA/edit?usp=sharing"",""ระนอง!R767"")+IMPORTRANGE(""https://docs.google.com/spreadsheets/d/"&amp;"1IbSCnFOKpZsnFogBHJnL_isstZVaOMnFiIN0fGTPZZw/edit?usp=sharing"",""สงขลา!R767"")+IMPORTRANGE(""https://docs.google.com/spreadsheets/d/1q9nWasZJ-K8bFGvbE9n0qSRuKGA4Toe3Y89cKCiVtCU/edit?usp=sharing"",""สตูล!R767"")+IMPORTRANGE(""https://docs.google.com/sprea"&amp;"dsheets/d/18T20gbkS_WBjdscyTOV05cvq_JqvqQ17C81mpxf7Ncs/edit?usp=sharing"",""สุราษฎร์ธานี!R767"")"),0)</f>
        <v>0</v>
      </c>
      <c r="S767" s="49">
        <f ca="1">IFERROR(__xludf.DUMMYFUNCTION("IMPORTRANGE(""https://docs.google.com/spreadsheets/d/1kKUcYdkIfrgTSj8iHHHB2MD2FAtwyyocFgqGQn6ADyI/edit?usp=sharing"",""กระบี่!S767"")+IMPORTRANGE(""https://docs.google.com/spreadsheets/d/1GwtLaSlNZkLk7iDqcyZz22giiy40b_usZZBXYciEN1U/edit?usp=sharing"",""ชุ"&amp;"มพร!S767"")+IMPORTRANGE(""https://docs.google.com/spreadsheets/d/16pAz3pOhQEZBhvFNMa5KGgZS6iKWpsKX0pg6tQmwFpo/edit?usp=sharing"",""ตรัง!S767"")+IMPORTRANGE(""https://docs.google.com/spreadsheets/d/1Dj4jcHCTV9JXKCaMoheSXS52JE63kDKyG7bPXnFogHk/edit?usp=shar"&amp;"ing"",""นครศรีธรรมราช!S767"")+IMPORTRANGE(""https://docs.google.com/spreadsheets/d/1iodCdmuK2GR3jzUwk8tpccY2JHQQA-87DLOtJP-ooyU/edit?usp=sharing"",""นราธิวาส!S767"")+IMPORTRANGE(""https://docs.google.com/spreadsheets/d/1SDNX3JhDdYRuIOsj0Wh2M-Qa_eaXl0NbWmh"&amp;"AOTbfQAs/edit?usp=sharing"",""ปัตตานี!S767"")+IMPORTRANGE(""https://docs.google.com/spreadsheets/d/16JDLGguT8s5DsGCND1KcwHP_AWR_zDMTqLHPLJUKhaU/edit?usp=sharing"",""พังงา!S767"")+IMPORTRANGE(""https://docs.google.com/spreadsheets/d/17ht0gPKzzT3PObBL1XJkeR"&amp;"mntBXI7wGjpLV7QorqlTk/edit?usp=sharing"",""พัทลุง!S767"")+IMPORTRANGE(""https://docs.google.com/spreadsheets/d/1rd4qoM1q_hsgaolqNGfrim9gbsoLxQsda4-vOz5x_BM/edit?usp=sharing"",""ภูเก็ต!S767"")+IMPORTRANGE(""https://docs.google.com/spreadsheets/d/1woKwKjgoL"&amp;"ssDvPcPeVyezB5izizAn4X1JDrys69n6xI/edit?usp=sharing"",""ยะลา!S767"")+IMPORTRANGE(""https://docs.google.com/spreadsheets/d/1qfrKjzMhm2HJfxQ-qVlJlJQ25Hne1d0khsySbZyGtPA/edit?usp=sharing"",""ระนอง!S767"")+IMPORTRANGE(""https://docs.google.com/spreadsheets/d/"&amp;"1IbSCnFOKpZsnFogBHJnL_isstZVaOMnFiIN0fGTPZZw/edit?usp=sharing"",""สงขลา!S767"")+IMPORTRANGE(""https://docs.google.com/spreadsheets/d/1q9nWasZJ-K8bFGvbE9n0qSRuKGA4Toe3Y89cKCiVtCU/edit?usp=sharing"",""สตูล!S767"")+IMPORTRANGE(""https://docs.google.com/sprea"&amp;"dsheets/d/18T20gbkS_WBjdscyTOV05cvq_JqvqQ17C81mpxf7Ncs/edit?usp=sharing"",""สุราษฎร์ธานี!S767"")"),0)</f>
        <v>0</v>
      </c>
      <c r="T767" s="49">
        <f t="shared" ca="1" si="525"/>
        <v>0</v>
      </c>
      <c r="U767" s="49">
        <f t="shared" ca="1" si="526"/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7">
        <f ca="1">IFERROR(__xludf.DUMMYFUNCTION("IMPORTRANGE(""https://docs.google.com/spreadsheets/d/1kKUcYdkIfrgTSj8iHHHB2MD2FAtwyyocFgqGQn6ADyI/edit?usp=sharing"",""กระบี่!L768"")+IMPORTRANGE(""https://docs.google.com/spreadsheets/d/1GwtLaSlNZkLk7iDqcyZz22giiy40b_usZZBXYciEN1U/edit?usp=sharing"",""ชุ"&amp;"มพร!L768"")+IMPORTRANGE(""https://docs.google.com/spreadsheets/d/16pAz3pOhQEZBhvFNMa5KGgZS6iKWpsKX0pg6tQmwFpo/edit?usp=sharing"",""ตรัง!L768"")+IMPORTRANGE(""https://docs.google.com/spreadsheets/d/1Dj4jcHCTV9JXKCaMoheSXS52JE63kDKyG7bPXnFogHk/edit?usp=shar"&amp;"ing"",""นครศรีธรรมราช!L768"")+IMPORTRANGE(""https://docs.google.com/spreadsheets/d/1iodCdmuK2GR3jzUwk8tpccY2JHQQA-87DLOtJP-ooyU/edit?usp=sharing"",""นราธิวาส!L768"")+IMPORTRANGE(""https://docs.google.com/spreadsheets/d/1SDNX3JhDdYRuIOsj0Wh2M-Qa_eaXl0NbWmh"&amp;"AOTbfQAs/edit?usp=sharing"",""ปัตตานี!L768"")+IMPORTRANGE(""https://docs.google.com/spreadsheets/d/16JDLGguT8s5DsGCND1KcwHP_AWR_zDMTqLHPLJUKhaU/edit?usp=sharing"",""พังงา!L768"")+IMPORTRANGE(""https://docs.google.com/spreadsheets/d/17ht0gPKzzT3PObBL1XJkeR"&amp;"mntBXI7wGjpLV7QorqlTk/edit?usp=sharing"",""พัทลุง!L768"")+IMPORTRANGE(""https://docs.google.com/spreadsheets/d/1rd4qoM1q_hsgaolqNGfrim9gbsoLxQsda4-vOz5x_BM/edit?usp=sharing"",""ภูเก็ต!L768"")+IMPORTRANGE(""https://docs.google.com/spreadsheets/d/1woKwKjgoL"&amp;"ssDvPcPeVyezB5izizAn4X1JDrys69n6xI/edit?usp=sharing"",""ยะลา!L768"")+IMPORTRANGE(""https://docs.google.com/spreadsheets/d/1qfrKjzMhm2HJfxQ-qVlJlJQ25Hne1d0khsySbZyGtPA/edit?usp=sharing"",""ระนอง!L768"")+IMPORTRANGE(""https://docs.google.com/spreadsheets/d/"&amp;"1IbSCnFOKpZsnFogBHJnL_isstZVaOMnFiIN0fGTPZZw/edit?usp=sharing"",""สงขลา!L768"")+IMPORTRANGE(""https://docs.google.com/spreadsheets/d/1q9nWasZJ-K8bFGvbE9n0qSRuKGA4Toe3Y89cKCiVtCU/edit?usp=sharing"",""สตูล!L768"")+IMPORTRANGE(""https://docs.google.com/sprea"&amp;"dsheets/d/18T20gbkS_WBjdscyTOV05cvq_JqvqQ17C81mpxf7Ncs/edit?usp=sharing"",""สุราษฎร์ธานี!L768"")"),0)</f>
        <v>0</v>
      </c>
      <c r="M768" s="47">
        <f ca="1">IFERROR(__xludf.DUMMYFUNCTION("IMPORTRANGE(""https://docs.google.com/spreadsheets/d/1kKUcYdkIfrgTSj8iHHHB2MD2FAtwyyocFgqGQn6ADyI/edit?usp=sharing"",""กระบี่!M768"")+IMPORTRANGE(""https://docs.google.com/spreadsheets/d/1GwtLaSlNZkLk7iDqcyZz22giiy40b_usZZBXYciEN1U/edit?usp=sharing"",""ชุ"&amp;"มพร!M768"")+IMPORTRANGE(""https://docs.google.com/spreadsheets/d/16pAz3pOhQEZBhvFNMa5KGgZS6iKWpsKX0pg6tQmwFpo/edit?usp=sharing"",""ตรัง!M768"")+IMPORTRANGE(""https://docs.google.com/spreadsheets/d/1Dj4jcHCTV9JXKCaMoheSXS52JE63kDKyG7bPXnFogHk/edit?usp=shar"&amp;"ing"",""นครศรีธรรมราช!M768"")+IMPORTRANGE(""https://docs.google.com/spreadsheets/d/1iodCdmuK2GR3jzUwk8tpccY2JHQQA-87DLOtJP-ooyU/edit?usp=sharing"",""นราธิวาส!M768"")+IMPORTRANGE(""https://docs.google.com/spreadsheets/d/1SDNX3JhDdYRuIOsj0Wh2M-Qa_eaXl0NbWmh"&amp;"AOTbfQAs/edit?usp=sharing"",""ปัตตานี!M768"")+IMPORTRANGE(""https://docs.google.com/spreadsheets/d/16JDLGguT8s5DsGCND1KcwHP_AWR_zDMTqLHPLJUKhaU/edit?usp=sharing"",""พังงา!M768"")+IMPORTRANGE(""https://docs.google.com/spreadsheets/d/17ht0gPKzzT3PObBL1XJkeR"&amp;"mntBXI7wGjpLV7QorqlTk/edit?usp=sharing"",""พัทลุง!M768"")+IMPORTRANGE(""https://docs.google.com/spreadsheets/d/1rd4qoM1q_hsgaolqNGfrim9gbsoLxQsda4-vOz5x_BM/edit?usp=sharing"",""ภูเก็ต!M768"")+IMPORTRANGE(""https://docs.google.com/spreadsheets/d/1woKwKjgoL"&amp;"ssDvPcPeVyezB5izizAn4X1JDrys69n6xI/edit?usp=sharing"",""ยะลา!M768"")+IMPORTRANGE(""https://docs.google.com/spreadsheets/d/1qfrKjzMhm2HJfxQ-qVlJlJQ25Hne1d0khsySbZyGtPA/edit?usp=sharing"",""ระนอง!M768"")+IMPORTRANGE(""https://docs.google.com/spreadsheets/d/"&amp;"1IbSCnFOKpZsnFogBHJnL_isstZVaOMnFiIN0fGTPZZw/edit?usp=sharing"",""สงขลา!M768"")+IMPORTRANGE(""https://docs.google.com/spreadsheets/d/1q9nWasZJ-K8bFGvbE9n0qSRuKGA4Toe3Y89cKCiVtCU/edit?usp=sharing"",""สตูล!M768"")+IMPORTRANGE(""https://docs.google.com/sprea"&amp;"dsheets/d/18T20gbkS_WBjdscyTOV05cvq_JqvqQ17C81mpxf7Ncs/edit?usp=sharing"",""สุราษฎร์ธานี!M768"")"),0)</f>
        <v>0</v>
      </c>
      <c r="N768" s="47">
        <f ca="1">IFERROR(__xludf.DUMMYFUNCTION("IMPORTRANGE(""https://docs.google.com/spreadsheets/d/1kKUcYdkIfrgTSj8iHHHB2MD2FAtwyyocFgqGQn6ADyI/edit?usp=sharing"",""กระบี่!N768"")+IMPORTRANGE(""https://docs.google.com/spreadsheets/d/1GwtLaSlNZkLk7iDqcyZz22giiy40b_usZZBXYciEN1U/edit?usp=sharing"",""ชุ"&amp;"มพร!N768"")+IMPORTRANGE(""https://docs.google.com/spreadsheets/d/16pAz3pOhQEZBhvFNMa5KGgZS6iKWpsKX0pg6tQmwFpo/edit?usp=sharing"",""ตรัง!N768"")+IMPORTRANGE(""https://docs.google.com/spreadsheets/d/1Dj4jcHCTV9JXKCaMoheSXS52JE63kDKyG7bPXnFogHk/edit?usp=shar"&amp;"ing"",""นครศรีธรรมราช!N768"")+IMPORTRANGE(""https://docs.google.com/spreadsheets/d/1iodCdmuK2GR3jzUwk8tpccY2JHQQA-87DLOtJP-ooyU/edit?usp=sharing"",""นราธิวาส!N768"")+IMPORTRANGE(""https://docs.google.com/spreadsheets/d/1SDNX3JhDdYRuIOsj0Wh2M-Qa_eaXl0NbWmh"&amp;"AOTbfQAs/edit?usp=sharing"",""ปัตตานี!N768"")+IMPORTRANGE(""https://docs.google.com/spreadsheets/d/16JDLGguT8s5DsGCND1KcwHP_AWR_zDMTqLHPLJUKhaU/edit?usp=sharing"",""พังงา!N768"")+IMPORTRANGE(""https://docs.google.com/spreadsheets/d/17ht0gPKzzT3PObBL1XJkeR"&amp;"mntBXI7wGjpLV7QorqlTk/edit?usp=sharing"",""พัทลุง!N768"")+IMPORTRANGE(""https://docs.google.com/spreadsheets/d/1rd4qoM1q_hsgaolqNGfrim9gbsoLxQsda4-vOz5x_BM/edit?usp=sharing"",""ภูเก็ต!N768"")+IMPORTRANGE(""https://docs.google.com/spreadsheets/d/1woKwKjgoL"&amp;"ssDvPcPeVyezB5izizAn4X1JDrys69n6xI/edit?usp=sharing"",""ยะลา!N768"")+IMPORTRANGE(""https://docs.google.com/spreadsheets/d/1qfrKjzMhm2HJfxQ-qVlJlJQ25Hne1d0khsySbZyGtPA/edit?usp=sharing"",""ระนอง!N768"")+IMPORTRANGE(""https://docs.google.com/spreadsheets/d/"&amp;"1IbSCnFOKpZsnFogBHJnL_isstZVaOMnFiIN0fGTPZZw/edit?usp=sharing"",""สงขลา!N768"")+IMPORTRANGE(""https://docs.google.com/spreadsheets/d/1q9nWasZJ-K8bFGvbE9n0qSRuKGA4Toe3Y89cKCiVtCU/edit?usp=sharing"",""สตูล!N768"")+IMPORTRANGE(""https://docs.google.com/sprea"&amp;"dsheets/d/18T20gbkS_WBjdscyTOV05cvq_JqvqQ17C81mpxf7Ncs/edit?usp=sharing"",""สุราษฎร์ธานี!N768"")"),0)</f>
        <v>0</v>
      </c>
      <c r="O768" s="47">
        <f t="shared" ca="1" si="522"/>
        <v>0</v>
      </c>
      <c r="P768" s="47">
        <f t="shared" ca="1" si="523"/>
        <v>0</v>
      </c>
      <c r="Q768" s="47">
        <f ca="1">IFERROR(__xludf.DUMMYFUNCTION("IMPORTRANGE(""https://docs.google.com/spreadsheets/d/1kKUcYdkIfrgTSj8iHHHB2MD2FAtwyyocFgqGQn6ADyI/edit?usp=sharing"",""กระบี่!Q768"")+IMPORTRANGE(""https://docs.google.com/spreadsheets/d/1GwtLaSlNZkLk7iDqcyZz22giiy40b_usZZBXYciEN1U/edit?usp=sharing"",""ชุ"&amp;"มพร!Q768"")+IMPORTRANGE(""https://docs.google.com/spreadsheets/d/16pAz3pOhQEZBhvFNMa5KGgZS6iKWpsKX0pg6tQmwFpo/edit?usp=sharing"",""ตรัง!Q768"")+IMPORTRANGE(""https://docs.google.com/spreadsheets/d/1Dj4jcHCTV9JXKCaMoheSXS52JE63kDKyG7bPXnFogHk/edit?usp=shar"&amp;"ing"",""นครศรีธรรมราช!Q768"")+IMPORTRANGE(""https://docs.google.com/spreadsheets/d/1iodCdmuK2GR3jzUwk8tpccY2JHQQA-87DLOtJP-ooyU/edit?usp=sharing"",""นราธิวาส!Q768"")+IMPORTRANGE(""https://docs.google.com/spreadsheets/d/1SDNX3JhDdYRuIOsj0Wh2M-Qa_eaXl0NbWmh"&amp;"AOTbfQAs/edit?usp=sharing"",""ปัตตานี!Q768"")+IMPORTRANGE(""https://docs.google.com/spreadsheets/d/16JDLGguT8s5DsGCND1KcwHP_AWR_zDMTqLHPLJUKhaU/edit?usp=sharing"",""พังงา!Q768"")+IMPORTRANGE(""https://docs.google.com/spreadsheets/d/17ht0gPKzzT3PObBL1XJkeR"&amp;"mntBXI7wGjpLV7QorqlTk/edit?usp=sharing"",""พัทลุง!Q768"")+IMPORTRANGE(""https://docs.google.com/spreadsheets/d/1rd4qoM1q_hsgaolqNGfrim9gbsoLxQsda4-vOz5x_BM/edit?usp=sharing"",""ภูเก็ต!Q768"")+IMPORTRANGE(""https://docs.google.com/spreadsheets/d/1woKwKjgoL"&amp;"ssDvPcPeVyezB5izizAn4X1JDrys69n6xI/edit?usp=sharing"",""ยะลา!Q768"")+IMPORTRANGE(""https://docs.google.com/spreadsheets/d/1qfrKjzMhm2HJfxQ-qVlJlJQ25Hne1d0khsySbZyGtPA/edit?usp=sharing"",""ระนอง!Q768"")+IMPORTRANGE(""https://docs.google.com/spreadsheets/d/"&amp;"1IbSCnFOKpZsnFogBHJnL_isstZVaOMnFiIN0fGTPZZw/edit?usp=sharing"",""สงขลา!Q768"")+IMPORTRANGE(""https://docs.google.com/spreadsheets/d/1q9nWasZJ-K8bFGvbE9n0qSRuKGA4Toe3Y89cKCiVtCU/edit?usp=sharing"",""สตูล!Q768"")+IMPORTRANGE(""https://docs.google.com/sprea"&amp;"dsheets/d/18T20gbkS_WBjdscyTOV05cvq_JqvqQ17C81mpxf7Ncs/edit?usp=sharing"",""สุราษฎร์ธานี!Q768"")"),0)</f>
        <v>0</v>
      </c>
      <c r="R768" s="47">
        <f ca="1">IFERROR(__xludf.DUMMYFUNCTION("IMPORTRANGE(""https://docs.google.com/spreadsheets/d/1kKUcYdkIfrgTSj8iHHHB2MD2FAtwyyocFgqGQn6ADyI/edit?usp=sharing"",""กระบี่!R768"")+IMPORTRANGE(""https://docs.google.com/spreadsheets/d/1GwtLaSlNZkLk7iDqcyZz22giiy40b_usZZBXYciEN1U/edit?usp=sharing"",""ชุ"&amp;"มพร!R768"")+IMPORTRANGE(""https://docs.google.com/spreadsheets/d/16pAz3pOhQEZBhvFNMa5KGgZS6iKWpsKX0pg6tQmwFpo/edit?usp=sharing"",""ตรัง!R768"")+IMPORTRANGE(""https://docs.google.com/spreadsheets/d/1Dj4jcHCTV9JXKCaMoheSXS52JE63kDKyG7bPXnFogHk/edit?usp=shar"&amp;"ing"",""นครศรีธรรมราช!R768"")+IMPORTRANGE(""https://docs.google.com/spreadsheets/d/1iodCdmuK2GR3jzUwk8tpccY2JHQQA-87DLOtJP-ooyU/edit?usp=sharing"",""นราธิวาส!R768"")+IMPORTRANGE(""https://docs.google.com/spreadsheets/d/1SDNX3JhDdYRuIOsj0Wh2M-Qa_eaXl0NbWmh"&amp;"AOTbfQAs/edit?usp=sharing"",""ปัตตานี!R768"")+IMPORTRANGE(""https://docs.google.com/spreadsheets/d/16JDLGguT8s5DsGCND1KcwHP_AWR_zDMTqLHPLJUKhaU/edit?usp=sharing"",""พังงา!R768"")+IMPORTRANGE(""https://docs.google.com/spreadsheets/d/17ht0gPKzzT3PObBL1XJkeR"&amp;"mntBXI7wGjpLV7QorqlTk/edit?usp=sharing"",""พัทลุง!R768"")+IMPORTRANGE(""https://docs.google.com/spreadsheets/d/1rd4qoM1q_hsgaolqNGfrim9gbsoLxQsda4-vOz5x_BM/edit?usp=sharing"",""ภูเก็ต!R768"")+IMPORTRANGE(""https://docs.google.com/spreadsheets/d/1woKwKjgoL"&amp;"ssDvPcPeVyezB5izizAn4X1JDrys69n6xI/edit?usp=sharing"",""ยะลา!R768"")+IMPORTRANGE(""https://docs.google.com/spreadsheets/d/1qfrKjzMhm2HJfxQ-qVlJlJQ25Hne1d0khsySbZyGtPA/edit?usp=sharing"",""ระนอง!R768"")+IMPORTRANGE(""https://docs.google.com/spreadsheets/d/"&amp;"1IbSCnFOKpZsnFogBHJnL_isstZVaOMnFiIN0fGTPZZw/edit?usp=sharing"",""สงขลา!R768"")+IMPORTRANGE(""https://docs.google.com/spreadsheets/d/1q9nWasZJ-K8bFGvbE9n0qSRuKGA4Toe3Y89cKCiVtCU/edit?usp=sharing"",""สตูล!R768"")+IMPORTRANGE(""https://docs.google.com/sprea"&amp;"dsheets/d/18T20gbkS_WBjdscyTOV05cvq_JqvqQ17C81mpxf7Ncs/edit?usp=sharing"",""สุราษฎร์ธานี!R768"")"),0)</f>
        <v>0</v>
      </c>
      <c r="S768" s="47">
        <f ca="1">IFERROR(__xludf.DUMMYFUNCTION("IMPORTRANGE(""https://docs.google.com/spreadsheets/d/1kKUcYdkIfrgTSj8iHHHB2MD2FAtwyyocFgqGQn6ADyI/edit?usp=sharing"",""กระบี่!S768"")+IMPORTRANGE(""https://docs.google.com/spreadsheets/d/1GwtLaSlNZkLk7iDqcyZz22giiy40b_usZZBXYciEN1U/edit?usp=sharing"",""ชุ"&amp;"มพร!S768"")+IMPORTRANGE(""https://docs.google.com/spreadsheets/d/16pAz3pOhQEZBhvFNMa5KGgZS6iKWpsKX0pg6tQmwFpo/edit?usp=sharing"",""ตรัง!S768"")+IMPORTRANGE(""https://docs.google.com/spreadsheets/d/1Dj4jcHCTV9JXKCaMoheSXS52JE63kDKyG7bPXnFogHk/edit?usp=shar"&amp;"ing"",""นครศรีธรรมราช!S768"")+IMPORTRANGE(""https://docs.google.com/spreadsheets/d/1iodCdmuK2GR3jzUwk8tpccY2JHQQA-87DLOtJP-ooyU/edit?usp=sharing"",""นราธิวาส!S768"")+IMPORTRANGE(""https://docs.google.com/spreadsheets/d/1SDNX3JhDdYRuIOsj0Wh2M-Qa_eaXl0NbWmh"&amp;"AOTbfQAs/edit?usp=sharing"",""ปัตตานี!S768"")+IMPORTRANGE(""https://docs.google.com/spreadsheets/d/16JDLGguT8s5DsGCND1KcwHP_AWR_zDMTqLHPLJUKhaU/edit?usp=sharing"",""พังงา!S768"")+IMPORTRANGE(""https://docs.google.com/spreadsheets/d/17ht0gPKzzT3PObBL1XJkeR"&amp;"mntBXI7wGjpLV7QorqlTk/edit?usp=sharing"",""พัทลุง!S768"")+IMPORTRANGE(""https://docs.google.com/spreadsheets/d/1rd4qoM1q_hsgaolqNGfrim9gbsoLxQsda4-vOz5x_BM/edit?usp=sharing"",""ภูเก็ต!S768"")+IMPORTRANGE(""https://docs.google.com/spreadsheets/d/1woKwKjgoL"&amp;"ssDvPcPeVyezB5izizAn4X1JDrys69n6xI/edit?usp=sharing"",""ยะลา!S768"")+IMPORTRANGE(""https://docs.google.com/spreadsheets/d/1qfrKjzMhm2HJfxQ-qVlJlJQ25Hne1d0khsySbZyGtPA/edit?usp=sharing"",""ระนอง!S768"")+IMPORTRANGE(""https://docs.google.com/spreadsheets/d/"&amp;"1IbSCnFOKpZsnFogBHJnL_isstZVaOMnFiIN0fGTPZZw/edit?usp=sharing"",""สงขลา!S768"")+IMPORTRANGE(""https://docs.google.com/spreadsheets/d/1q9nWasZJ-K8bFGvbE9n0qSRuKGA4Toe3Y89cKCiVtCU/edit?usp=sharing"",""สตูล!S768"")+IMPORTRANGE(""https://docs.google.com/sprea"&amp;"dsheets/d/18T20gbkS_WBjdscyTOV05cvq_JqvqQ17C81mpxf7Ncs/edit?usp=sharing"",""สุราษฎร์ธานี!S768"")"),0)</f>
        <v>0</v>
      </c>
      <c r="T768" s="47">
        <f t="shared" ca="1" si="525"/>
        <v>0</v>
      </c>
      <c r="U768" s="47">
        <f t="shared" ca="1" si="526"/>
        <v>0</v>
      </c>
    </row>
    <row r="769" spans="1:21" ht="19.5" x14ac:dyDescent="0.3">
      <c r="A769" s="138"/>
      <c r="B769" s="139"/>
      <c r="C769" s="503" t="s">
        <v>18</v>
      </c>
      <c r="D769" s="471" t="s">
        <v>38</v>
      </c>
      <c r="E769" s="212"/>
      <c r="F769" s="141"/>
      <c r="G769" s="142"/>
      <c r="H769" s="189"/>
      <c r="I769" s="45"/>
      <c r="J769" s="45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kKUcYdkIfrgTSj8iHHHB2MD2FAtwyyocFgqGQn6ADyI/edit?usp=sharing"",""กระบี่!I770"")+IMPORTRANGE(""https://docs.google.com/spreadsheets/d/1GwtLaSlNZkLk7iDqcyZz22giiy40b_usZZBXYciEN1U/edit?usp=sharing"",""ชุ"&amp;"มพร!I770"")+IMPORTRANGE(""https://docs.google.com/spreadsheets/d/16pAz3pOhQEZBhvFNMa5KGgZS6iKWpsKX0pg6tQmwFpo/edit?usp=sharing"",""ตรัง!I770"")+IMPORTRANGE(""https://docs.google.com/spreadsheets/d/1Dj4jcHCTV9JXKCaMoheSXS52JE63kDKyG7bPXnFogHk/edit?usp=shar"&amp;"ing"",""นครศรีธรรมราช!I770"")+IMPORTRANGE(""https://docs.google.com/spreadsheets/d/1iodCdmuK2GR3jzUwk8tpccY2JHQQA-87DLOtJP-ooyU/edit?usp=sharing"",""นราธิวาส!I770"")+IMPORTRANGE(""https://docs.google.com/spreadsheets/d/1SDNX3JhDdYRuIOsj0Wh2M-Qa_eaXl0NbWmh"&amp;"AOTbfQAs/edit?usp=sharing"",""ปัตตานี!I770"")+IMPORTRANGE(""https://docs.google.com/spreadsheets/d/16JDLGguT8s5DsGCND1KcwHP_AWR_zDMTqLHPLJUKhaU/edit?usp=sharing"",""พังงา!I770"")+IMPORTRANGE(""https://docs.google.com/spreadsheets/d/17ht0gPKzzT3PObBL1XJkeR"&amp;"mntBXI7wGjpLV7QorqlTk/edit?usp=sharing"",""พัทลุง!I770"")+IMPORTRANGE(""https://docs.google.com/spreadsheets/d/1rd4qoM1q_hsgaolqNGfrim9gbsoLxQsda4-vOz5x_BM/edit?usp=sharing"",""ภูเก็ต!I770"")+IMPORTRANGE(""https://docs.google.com/spreadsheets/d/1woKwKjgoL"&amp;"ssDvPcPeVyezB5izizAn4X1JDrys69n6xI/edit?usp=sharing"",""ยะลา!I770"")+IMPORTRANGE(""https://docs.google.com/spreadsheets/d/1qfrKjzMhm2HJfxQ-qVlJlJQ25Hne1d0khsySbZyGtPA/edit?usp=sharing"",""ระนอง!I770"")+IMPORTRANGE(""https://docs.google.com/spreadsheets/d/"&amp;"1IbSCnFOKpZsnFogBHJnL_isstZVaOMnFiIN0fGTPZZw/edit?usp=sharing"",""สงขลา!I770"")+IMPORTRANGE(""https://docs.google.com/spreadsheets/d/1q9nWasZJ-K8bFGvbE9n0qSRuKGA4Toe3Y89cKCiVtCU/edit?usp=sharing"",""สตูล!I770"")+IMPORTRANGE(""https://docs.google.com/sprea"&amp;"dsheets/d/18T20gbkS_WBjdscyTOV05cvq_JqvqQ17C81mpxf7Ncs/edit?usp=sharing"",""สุราษฎร์ธานี!I770"")"),0)</f>
        <v>0</v>
      </c>
      <c r="J770" s="495">
        <f ca="1">IFERROR(__xludf.DUMMYFUNCTION("IMPORTRANGE(""https://docs.google.com/spreadsheets/d/1kKUcYdkIfrgTSj8iHHHB2MD2FAtwyyocFgqGQn6ADyI/edit?usp=sharing"",""กระบี่!J770"")+IMPORTRANGE(""https://docs.google.com/spreadsheets/d/1GwtLaSlNZkLk7iDqcyZz22giiy40b_usZZBXYciEN1U/edit?usp=sharing"",""ชุ"&amp;"มพร!J770"")+IMPORTRANGE(""https://docs.google.com/spreadsheets/d/16pAz3pOhQEZBhvFNMa5KGgZS6iKWpsKX0pg6tQmwFpo/edit?usp=sharing"",""ตรัง!J770"")+IMPORTRANGE(""https://docs.google.com/spreadsheets/d/1Dj4jcHCTV9JXKCaMoheSXS52JE63kDKyG7bPXnFogHk/edit?usp=shar"&amp;"ing"",""นครศรีธรรมราช!J770"")+IMPORTRANGE(""https://docs.google.com/spreadsheets/d/1iodCdmuK2GR3jzUwk8tpccY2JHQQA-87DLOtJP-ooyU/edit?usp=sharing"",""นราธิวาส!J770"")+IMPORTRANGE(""https://docs.google.com/spreadsheets/d/1SDNX3JhDdYRuIOsj0Wh2M-Qa_eaXl0NbWmh"&amp;"AOTbfQAs/edit?usp=sharing"",""ปัตตานี!J770"")+IMPORTRANGE(""https://docs.google.com/spreadsheets/d/16JDLGguT8s5DsGCND1KcwHP_AWR_zDMTqLHPLJUKhaU/edit?usp=sharing"",""พังงา!J770"")+IMPORTRANGE(""https://docs.google.com/spreadsheets/d/17ht0gPKzzT3PObBL1XJkeR"&amp;"mntBXI7wGjpLV7QorqlTk/edit?usp=sharing"",""พัทลุง!J770"")+IMPORTRANGE(""https://docs.google.com/spreadsheets/d/1rd4qoM1q_hsgaolqNGfrim9gbsoLxQsda4-vOz5x_BM/edit?usp=sharing"",""ภูเก็ต!J770"")+IMPORTRANGE(""https://docs.google.com/spreadsheets/d/1woKwKjgoL"&amp;"ssDvPcPeVyezB5izizAn4X1JDrys69n6xI/edit?usp=sharing"",""ยะลา!J770"")+IMPORTRANGE(""https://docs.google.com/spreadsheets/d/1qfrKjzMhm2HJfxQ-qVlJlJQ25Hne1d0khsySbZyGtPA/edit?usp=sharing"",""ระนอง!J770"")+IMPORTRANGE(""https://docs.google.com/spreadsheets/d/"&amp;"1IbSCnFOKpZsnFogBHJnL_isstZVaOMnFiIN0fGTPZZw/edit?usp=sharing"",""สงขลา!J770"")+IMPORTRANGE(""https://docs.google.com/spreadsheets/d/1q9nWasZJ-K8bFGvbE9n0qSRuKGA4Toe3Y89cKCiVtCU/edit?usp=sharing"",""สตูล!J770"")+IMPORTRANGE(""https://docs.google.com/sprea"&amp;"dsheets/d/18T20gbkS_WBjdscyTOV05cvq_JqvqQ17C81mpxf7Ncs/edit?usp=sharing"",""สุราษฎร์ธานี!J770"")"),0)</f>
        <v>0</v>
      </c>
      <c r="K770" s="49">
        <f ca="1">IF(I770&gt;0,J770*100/I770,0)</f>
        <v>0</v>
      </c>
      <c r="L770" s="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kKUcYdkIfrgTSj8iHHHB2MD2FAtwyyocFgqGQn6ADyI/edit?usp=sharing"",""กระบี่!I772"")+IMPORTRANGE(""https://docs.google.com/spreadsheets/d/1GwtLaSlNZkLk7iDqcyZz22giiy40b_usZZBXYciEN1U/edit?usp=sharing"",""ชุ"&amp;"มพร!I772"")+IMPORTRANGE(""https://docs.google.com/spreadsheets/d/16pAz3pOhQEZBhvFNMa5KGgZS6iKWpsKX0pg6tQmwFpo/edit?usp=sharing"",""ตรัง!I772"")+IMPORTRANGE(""https://docs.google.com/spreadsheets/d/1Dj4jcHCTV9JXKCaMoheSXS52JE63kDKyG7bPXnFogHk/edit?usp=shar"&amp;"ing"",""นครศรีธรรมราช!I772"")+IMPORTRANGE(""https://docs.google.com/spreadsheets/d/1iodCdmuK2GR3jzUwk8tpccY2JHQQA-87DLOtJP-ooyU/edit?usp=sharing"",""นราธิวาส!I772"")+IMPORTRANGE(""https://docs.google.com/spreadsheets/d/1SDNX3JhDdYRuIOsj0Wh2M-Qa_eaXl0NbWmh"&amp;"AOTbfQAs/edit?usp=sharing"",""ปัตตานี!I772"")+IMPORTRANGE(""https://docs.google.com/spreadsheets/d/16JDLGguT8s5DsGCND1KcwHP_AWR_zDMTqLHPLJUKhaU/edit?usp=sharing"",""พังงา!I772"")+IMPORTRANGE(""https://docs.google.com/spreadsheets/d/17ht0gPKzzT3PObBL1XJkeR"&amp;"mntBXI7wGjpLV7QorqlTk/edit?usp=sharing"",""พัทลุง!I772"")+IMPORTRANGE(""https://docs.google.com/spreadsheets/d/1rd4qoM1q_hsgaolqNGfrim9gbsoLxQsda4-vOz5x_BM/edit?usp=sharing"",""ภูเก็ต!I772"")+IMPORTRANGE(""https://docs.google.com/spreadsheets/d/1woKwKjgoL"&amp;"ssDvPcPeVyezB5izizAn4X1JDrys69n6xI/edit?usp=sharing"",""ยะลา!I772"")+IMPORTRANGE(""https://docs.google.com/spreadsheets/d/1qfrKjzMhm2HJfxQ-qVlJlJQ25Hne1d0khsySbZyGtPA/edit?usp=sharing"",""ระนอง!I772"")+IMPORTRANGE(""https://docs.google.com/spreadsheets/d/"&amp;"1IbSCnFOKpZsnFogBHJnL_isstZVaOMnFiIN0fGTPZZw/edit?usp=sharing"",""สงขลา!I772"")+IMPORTRANGE(""https://docs.google.com/spreadsheets/d/1q9nWasZJ-K8bFGvbE9n0qSRuKGA4Toe3Y89cKCiVtCU/edit?usp=sharing"",""สตูล!I772"")+IMPORTRANGE(""https://docs.google.com/sprea"&amp;"dsheets/d/18T20gbkS_WBjdscyTOV05cvq_JqvqQ17C81mpxf7Ncs/edit?usp=sharing"",""สุราษฎร์ธานี!I772"")"),240)</f>
        <v>240</v>
      </c>
      <c r="J772" s="167">
        <f ca="1">IFERROR(__xludf.DUMMYFUNCTION("IMPORTRANGE(""https://docs.google.com/spreadsheets/d/1kKUcYdkIfrgTSj8iHHHB2MD2FAtwyyocFgqGQn6ADyI/edit?usp=sharing"",""กระบี่!J772"")+IMPORTRANGE(""https://docs.google.com/spreadsheets/d/1GwtLaSlNZkLk7iDqcyZz22giiy40b_usZZBXYciEN1U/edit?usp=sharing"",""ชุ"&amp;"มพร!J772"")+IMPORTRANGE(""https://docs.google.com/spreadsheets/d/16pAz3pOhQEZBhvFNMa5KGgZS6iKWpsKX0pg6tQmwFpo/edit?usp=sharing"",""ตรัง!J772"")+IMPORTRANGE(""https://docs.google.com/spreadsheets/d/1Dj4jcHCTV9JXKCaMoheSXS52JE63kDKyG7bPXnFogHk/edit?usp=shar"&amp;"ing"",""นครศรีธรรมราช!J772"")+IMPORTRANGE(""https://docs.google.com/spreadsheets/d/1iodCdmuK2GR3jzUwk8tpccY2JHQQA-87DLOtJP-ooyU/edit?usp=sharing"",""นราธิวาส!J772"")+IMPORTRANGE(""https://docs.google.com/spreadsheets/d/1SDNX3JhDdYRuIOsj0Wh2M-Qa_eaXl0NbWmh"&amp;"AOTbfQAs/edit?usp=sharing"",""ปัตตานี!J772"")+IMPORTRANGE(""https://docs.google.com/spreadsheets/d/16JDLGguT8s5DsGCND1KcwHP_AWR_zDMTqLHPLJUKhaU/edit?usp=sharing"",""พังงา!J772"")+IMPORTRANGE(""https://docs.google.com/spreadsheets/d/17ht0gPKzzT3PObBL1XJkeR"&amp;"mntBXI7wGjpLV7QorqlTk/edit?usp=sharing"",""พัทลุง!J772"")+IMPORTRANGE(""https://docs.google.com/spreadsheets/d/1rd4qoM1q_hsgaolqNGfrim9gbsoLxQsda4-vOz5x_BM/edit?usp=sharing"",""ภูเก็ต!J772"")+IMPORTRANGE(""https://docs.google.com/spreadsheets/d/1woKwKjgoL"&amp;"ssDvPcPeVyezB5izizAn4X1JDrys69n6xI/edit?usp=sharing"",""ยะลา!J772"")+IMPORTRANGE(""https://docs.google.com/spreadsheets/d/1qfrKjzMhm2HJfxQ-qVlJlJQ25Hne1d0khsySbZyGtPA/edit?usp=sharing"",""ระนอง!J772"")+IMPORTRANGE(""https://docs.google.com/spreadsheets/d/"&amp;"1IbSCnFOKpZsnFogBHJnL_isstZVaOMnFiIN0fGTPZZw/edit?usp=sharing"",""สงขลา!J772"")+IMPORTRANGE(""https://docs.google.com/spreadsheets/d/1q9nWasZJ-K8bFGvbE9n0qSRuKGA4Toe3Y89cKCiVtCU/edit?usp=sharing"",""สตูล!J772"")+IMPORTRANGE(""https://docs.google.com/sprea"&amp;"dsheets/d/18T20gbkS_WBjdscyTOV05cvq_JqvqQ17C81mpxf7Ncs/edit?usp=sharing"",""สุราษฎร์ธานี!J772"")"),130)</f>
        <v>130</v>
      </c>
      <c r="K772" s="47">
        <f ca="1">IF(I772&gt;0,J772*100/I772,0)</f>
        <v>54.166666666666664</v>
      </c>
      <c r="L772" s="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kKUcYdkIfrgTSj8iHHHB2MD2FAtwyyocFgqGQn6ADyI/edit?usp=sharing"",""กระบี่!I774"")+IMPORTRANGE(""https://docs.google.com/spreadsheets/d/1GwtLaSlNZkLk7iDqcyZz22giiy40b_usZZBXYciEN1U/edit?usp=sharing"",""ชุ"&amp;"มพร!I774"")+IMPORTRANGE(""https://docs.google.com/spreadsheets/d/16pAz3pOhQEZBhvFNMa5KGgZS6iKWpsKX0pg6tQmwFpo/edit?usp=sharing"",""ตรัง!I774"")+IMPORTRANGE(""https://docs.google.com/spreadsheets/d/1Dj4jcHCTV9JXKCaMoheSXS52JE63kDKyG7bPXnFogHk/edit?usp=shar"&amp;"ing"",""นครศรีธรรมราช!I774"")+IMPORTRANGE(""https://docs.google.com/spreadsheets/d/1iodCdmuK2GR3jzUwk8tpccY2JHQQA-87DLOtJP-ooyU/edit?usp=sharing"",""นราธิวาส!I774"")+IMPORTRANGE(""https://docs.google.com/spreadsheets/d/1SDNX3JhDdYRuIOsj0Wh2M-Qa_eaXl0NbWmh"&amp;"AOTbfQAs/edit?usp=sharing"",""ปัตตานี!I774"")+IMPORTRANGE(""https://docs.google.com/spreadsheets/d/16JDLGguT8s5DsGCND1KcwHP_AWR_zDMTqLHPLJUKhaU/edit?usp=sharing"",""พังงา!I774"")+IMPORTRANGE(""https://docs.google.com/spreadsheets/d/17ht0gPKzzT3PObBL1XJkeR"&amp;"mntBXI7wGjpLV7QorqlTk/edit?usp=sharing"",""พัทลุง!I774"")+IMPORTRANGE(""https://docs.google.com/spreadsheets/d/1rd4qoM1q_hsgaolqNGfrim9gbsoLxQsda4-vOz5x_BM/edit?usp=sharing"",""ภูเก็ต!I774"")+IMPORTRANGE(""https://docs.google.com/spreadsheets/d/1woKwKjgoL"&amp;"ssDvPcPeVyezB5izizAn4X1JDrys69n6xI/edit?usp=sharing"",""ยะลา!I774"")+IMPORTRANGE(""https://docs.google.com/spreadsheets/d/1qfrKjzMhm2HJfxQ-qVlJlJQ25Hne1d0khsySbZyGtPA/edit?usp=sharing"",""ระนอง!I774"")+IMPORTRANGE(""https://docs.google.com/spreadsheets/d/"&amp;"1IbSCnFOKpZsnFogBHJnL_isstZVaOMnFiIN0fGTPZZw/edit?usp=sharing"",""สงขลา!I774"")+IMPORTRANGE(""https://docs.google.com/spreadsheets/d/1q9nWasZJ-K8bFGvbE9n0qSRuKGA4Toe3Y89cKCiVtCU/edit?usp=sharing"",""สตูล!I774"")+IMPORTRANGE(""https://docs.google.com/sprea"&amp;"dsheets/d/18T20gbkS_WBjdscyTOV05cvq_JqvqQ17C81mpxf7Ncs/edit?usp=sharing"",""สุราษฎร์ธานี!I774"")"),625)</f>
        <v>625</v>
      </c>
      <c r="J774" s="167">
        <f ca="1">IFERROR(__xludf.DUMMYFUNCTION("IMPORTRANGE(""https://docs.google.com/spreadsheets/d/1kKUcYdkIfrgTSj8iHHHB2MD2FAtwyyocFgqGQn6ADyI/edit?usp=sharing"",""กระบี่!J774"")+IMPORTRANGE(""https://docs.google.com/spreadsheets/d/1GwtLaSlNZkLk7iDqcyZz22giiy40b_usZZBXYciEN1U/edit?usp=sharing"",""ชุ"&amp;"มพร!J774"")+IMPORTRANGE(""https://docs.google.com/spreadsheets/d/16pAz3pOhQEZBhvFNMa5KGgZS6iKWpsKX0pg6tQmwFpo/edit?usp=sharing"",""ตรัง!J774"")+IMPORTRANGE(""https://docs.google.com/spreadsheets/d/1Dj4jcHCTV9JXKCaMoheSXS52JE63kDKyG7bPXnFogHk/edit?usp=shar"&amp;"ing"",""นครศรีธรรมราช!J774"")+IMPORTRANGE(""https://docs.google.com/spreadsheets/d/1iodCdmuK2GR3jzUwk8tpccY2JHQQA-87DLOtJP-ooyU/edit?usp=sharing"",""นราธิวาส!J774"")+IMPORTRANGE(""https://docs.google.com/spreadsheets/d/1SDNX3JhDdYRuIOsj0Wh2M-Qa_eaXl0NbWmh"&amp;"AOTbfQAs/edit?usp=sharing"",""ปัตตานี!J774"")+IMPORTRANGE(""https://docs.google.com/spreadsheets/d/16JDLGguT8s5DsGCND1KcwHP_AWR_zDMTqLHPLJUKhaU/edit?usp=sharing"",""พังงา!J774"")+IMPORTRANGE(""https://docs.google.com/spreadsheets/d/17ht0gPKzzT3PObBL1XJkeR"&amp;"mntBXI7wGjpLV7QorqlTk/edit?usp=sharing"",""พัทลุง!J774"")+IMPORTRANGE(""https://docs.google.com/spreadsheets/d/1rd4qoM1q_hsgaolqNGfrim9gbsoLxQsda4-vOz5x_BM/edit?usp=sharing"",""ภูเก็ต!J774"")+IMPORTRANGE(""https://docs.google.com/spreadsheets/d/1woKwKjgoL"&amp;"ssDvPcPeVyezB5izizAn4X1JDrys69n6xI/edit?usp=sharing"",""ยะลา!J774"")+IMPORTRANGE(""https://docs.google.com/spreadsheets/d/1qfrKjzMhm2HJfxQ-qVlJlJQ25Hne1d0khsySbZyGtPA/edit?usp=sharing"",""ระนอง!J774"")+IMPORTRANGE(""https://docs.google.com/spreadsheets/d/"&amp;"1IbSCnFOKpZsnFogBHJnL_isstZVaOMnFiIN0fGTPZZw/edit?usp=sharing"",""สงขลา!J774"")+IMPORTRANGE(""https://docs.google.com/spreadsheets/d/1q9nWasZJ-K8bFGvbE9n0qSRuKGA4Toe3Y89cKCiVtCU/edit?usp=sharing"",""สตูล!J774"")+IMPORTRANGE(""https://docs.google.com/sprea"&amp;"dsheets/d/18T20gbkS_WBjdscyTOV05cvq_JqvqQ17C81mpxf7Ncs/edit?usp=sharing"",""สุราษฎร์ธานี!J774"")"),350)</f>
        <v>350</v>
      </c>
      <c r="K774" s="47">
        <f ca="1">IF(I774&gt;0,J774*100/I774,0)</f>
        <v>56</v>
      </c>
      <c r="L774" s="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kKUcYdkIfrgTSj8iHHHB2MD2FAtwyyocFgqGQn6ADyI/edit?usp=sharing"",""กระบี่!I775"")+IMPORTRANGE(""https://docs.google.com/spreadsheets/d/1GwtLaSlNZkLk7iDqcyZz22giiy40b_usZZBXYciEN1U/edit?usp=sharing"",""ชุ"&amp;"มพร!I775"")+IMPORTRANGE(""https://docs.google.com/spreadsheets/d/16pAz3pOhQEZBhvFNMa5KGgZS6iKWpsKX0pg6tQmwFpo/edit?usp=sharing"",""ตรัง!I775"")+IMPORTRANGE(""https://docs.google.com/spreadsheets/d/1Dj4jcHCTV9JXKCaMoheSXS52JE63kDKyG7bPXnFogHk/edit?usp=shar"&amp;"ing"",""นครศรีธรรมราช!I775"")+IMPORTRANGE(""https://docs.google.com/spreadsheets/d/1iodCdmuK2GR3jzUwk8tpccY2JHQQA-87DLOtJP-ooyU/edit?usp=sharing"",""นราธิวาส!I775"")+IMPORTRANGE(""https://docs.google.com/spreadsheets/d/1SDNX3JhDdYRuIOsj0Wh2M-Qa_eaXl0NbWmh"&amp;"AOTbfQAs/edit?usp=sharing"",""ปัตตานี!I775"")+IMPORTRANGE(""https://docs.google.com/spreadsheets/d/16JDLGguT8s5DsGCND1KcwHP_AWR_zDMTqLHPLJUKhaU/edit?usp=sharing"",""พังงา!I775"")+IMPORTRANGE(""https://docs.google.com/spreadsheets/d/17ht0gPKzzT3PObBL1XJkeR"&amp;"mntBXI7wGjpLV7QorqlTk/edit?usp=sharing"",""พัทลุง!I775"")+IMPORTRANGE(""https://docs.google.com/spreadsheets/d/1rd4qoM1q_hsgaolqNGfrim9gbsoLxQsda4-vOz5x_BM/edit?usp=sharing"",""ภูเก็ต!I775"")+IMPORTRANGE(""https://docs.google.com/spreadsheets/d/1woKwKjgoL"&amp;"ssDvPcPeVyezB5izizAn4X1JDrys69n6xI/edit?usp=sharing"",""ยะลา!I775"")+IMPORTRANGE(""https://docs.google.com/spreadsheets/d/1qfrKjzMhm2HJfxQ-qVlJlJQ25Hne1d0khsySbZyGtPA/edit?usp=sharing"",""ระนอง!I775"")+IMPORTRANGE(""https://docs.google.com/spreadsheets/d/"&amp;"1IbSCnFOKpZsnFogBHJnL_isstZVaOMnFiIN0fGTPZZw/edit?usp=sharing"",""สงขลา!I775"")+IMPORTRANGE(""https://docs.google.com/spreadsheets/d/1q9nWasZJ-K8bFGvbE9n0qSRuKGA4Toe3Y89cKCiVtCU/edit?usp=sharing"",""สตูล!I775"")+IMPORTRANGE(""https://docs.google.com/sprea"&amp;"dsheets/d/18T20gbkS_WBjdscyTOV05cvq_JqvqQ17C81mpxf7Ncs/edit?usp=sharing"",""สุราษฎร์ธานี!I775"")"),625)</f>
        <v>625</v>
      </c>
      <c r="J775" s="167">
        <f ca="1">IFERROR(__xludf.DUMMYFUNCTION("IMPORTRANGE(""https://docs.google.com/spreadsheets/d/1kKUcYdkIfrgTSj8iHHHB2MD2FAtwyyocFgqGQn6ADyI/edit?usp=sharing"",""กระบี่!J775"")+IMPORTRANGE(""https://docs.google.com/spreadsheets/d/1GwtLaSlNZkLk7iDqcyZz22giiy40b_usZZBXYciEN1U/edit?usp=sharing"",""ชุ"&amp;"มพร!J775"")+IMPORTRANGE(""https://docs.google.com/spreadsheets/d/16pAz3pOhQEZBhvFNMa5KGgZS6iKWpsKX0pg6tQmwFpo/edit?usp=sharing"",""ตรัง!J775"")+IMPORTRANGE(""https://docs.google.com/spreadsheets/d/1Dj4jcHCTV9JXKCaMoheSXS52JE63kDKyG7bPXnFogHk/edit?usp=shar"&amp;"ing"",""นครศรีธรรมราช!J775"")+IMPORTRANGE(""https://docs.google.com/spreadsheets/d/1iodCdmuK2GR3jzUwk8tpccY2JHQQA-87DLOtJP-ooyU/edit?usp=sharing"",""นราธิวาส!J775"")+IMPORTRANGE(""https://docs.google.com/spreadsheets/d/1SDNX3JhDdYRuIOsj0Wh2M-Qa_eaXl0NbWmh"&amp;"AOTbfQAs/edit?usp=sharing"",""ปัตตานี!J775"")+IMPORTRANGE(""https://docs.google.com/spreadsheets/d/16JDLGguT8s5DsGCND1KcwHP_AWR_zDMTqLHPLJUKhaU/edit?usp=sharing"",""พังงา!J775"")+IMPORTRANGE(""https://docs.google.com/spreadsheets/d/17ht0gPKzzT3PObBL1XJkeR"&amp;"mntBXI7wGjpLV7QorqlTk/edit?usp=sharing"",""พัทลุง!J775"")+IMPORTRANGE(""https://docs.google.com/spreadsheets/d/1rd4qoM1q_hsgaolqNGfrim9gbsoLxQsda4-vOz5x_BM/edit?usp=sharing"",""ภูเก็ต!J775"")+IMPORTRANGE(""https://docs.google.com/spreadsheets/d/1woKwKjgoL"&amp;"ssDvPcPeVyezB5izizAn4X1JDrys69n6xI/edit?usp=sharing"",""ยะลา!J775"")+IMPORTRANGE(""https://docs.google.com/spreadsheets/d/1qfrKjzMhm2HJfxQ-qVlJlJQ25Hne1d0khsySbZyGtPA/edit?usp=sharing"",""ระนอง!J775"")+IMPORTRANGE(""https://docs.google.com/spreadsheets/d/"&amp;"1IbSCnFOKpZsnFogBHJnL_isstZVaOMnFiIN0fGTPZZw/edit?usp=sharing"",""สงขลา!J775"")+IMPORTRANGE(""https://docs.google.com/spreadsheets/d/1q9nWasZJ-K8bFGvbE9n0qSRuKGA4Toe3Y89cKCiVtCU/edit?usp=sharing"",""สตูล!J775"")+IMPORTRANGE(""https://docs.google.com/sprea"&amp;"dsheets/d/18T20gbkS_WBjdscyTOV05cvq_JqvqQ17C81mpxf7Ncs/edit?usp=sharing"",""สุราษฎร์ธานี!J775"")"),20)</f>
        <v>20</v>
      </c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kKUcYdkIfrgTSj8iHHHB2MD2FAtwyyocFgqGQn6ADyI/edit?usp=sharing"",""กระบี่!I776"")+IMPORTRANGE(""https://docs.google.com/spreadsheets/d/1GwtLaSlNZkLk7iDqcyZz22giiy40b_usZZBXYciEN1U/edit?usp=sharing"",""ชุ"&amp;"มพร!I776"")+IMPORTRANGE(""https://docs.google.com/spreadsheets/d/16pAz3pOhQEZBhvFNMa5KGgZS6iKWpsKX0pg6tQmwFpo/edit?usp=sharing"",""ตรัง!I776"")+IMPORTRANGE(""https://docs.google.com/spreadsheets/d/1Dj4jcHCTV9JXKCaMoheSXS52JE63kDKyG7bPXnFogHk/edit?usp=shar"&amp;"ing"",""นครศรีธรรมราช!I776"")+IMPORTRANGE(""https://docs.google.com/spreadsheets/d/1iodCdmuK2GR3jzUwk8tpccY2JHQQA-87DLOtJP-ooyU/edit?usp=sharing"",""นราธิวาส!I776"")+IMPORTRANGE(""https://docs.google.com/spreadsheets/d/1SDNX3JhDdYRuIOsj0Wh2M-Qa_eaXl0NbWmh"&amp;"AOTbfQAs/edit?usp=sharing"",""ปัตตานี!I776"")+IMPORTRANGE(""https://docs.google.com/spreadsheets/d/16JDLGguT8s5DsGCND1KcwHP_AWR_zDMTqLHPLJUKhaU/edit?usp=sharing"",""พังงา!I776"")+IMPORTRANGE(""https://docs.google.com/spreadsheets/d/17ht0gPKzzT3PObBL1XJkeR"&amp;"mntBXI7wGjpLV7QorqlTk/edit?usp=sharing"",""พัทลุง!I776"")+IMPORTRANGE(""https://docs.google.com/spreadsheets/d/1rd4qoM1q_hsgaolqNGfrim9gbsoLxQsda4-vOz5x_BM/edit?usp=sharing"",""ภูเก็ต!I776"")+IMPORTRANGE(""https://docs.google.com/spreadsheets/d/1woKwKjgoL"&amp;"ssDvPcPeVyezB5izizAn4X1JDrys69n6xI/edit?usp=sharing"",""ยะลา!I776"")+IMPORTRANGE(""https://docs.google.com/spreadsheets/d/1qfrKjzMhm2HJfxQ-qVlJlJQ25Hne1d0khsySbZyGtPA/edit?usp=sharing"",""ระนอง!I776"")+IMPORTRANGE(""https://docs.google.com/spreadsheets/d/"&amp;"1IbSCnFOKpZsnFogBHJnL_isstZVaOMnFiIN0fGTPZZw/edit?usp=sharing"",""สงขลา!I776"")+IMPORTRANGE(""https://docs.google.com/spreadsheets/d/1q9nWasZJ-K8bFGvbE9n0qSRuKGA4Toe3Y89cKCiVtCU/edit?usp=sharing"",""สตูล!I776"")+IMPORTRANGE(""https://docs.google.com/sprea"&amp;"dsheets/d/18T20gbkS_WBjdscyTOV05cvq_JqvqQ17C81mpxf7Ncs/edit?usp=sharing"",""สุราษฎร์ธานี!I776"")"),240)</f>
        <v>240</v>
      </c>
      <c r="J776" s="355">
        <f ca="1">IFERROR(__xludf.DUMMYFUNCTION("IMPORTRANGE(""https://docs.google.com/spreadsheets/d/1kKUcYdkIfrgTSj8iHHHB2MD2FAtwyyocFgqGQn6ADyI/edit?usp=sharing"",""กระบี่!J776"")+IMPORTRANGE(""https://docs.google.com/spreadsheets/d/1GwtLaSlNZkLk7iDqcyZz22giiy40b_usZZBXYciEN1U/edit?usp=sharing"",""ชุ"&amp;"มพร!J776"")+IMPORTRANGE(""https://docs.google.com/spreadsheets/d/16pAz3pOhQEZBhvFNMa5KGgZS6iKWpsKX0pg6tQmwFpo/edit?usp=sharing"",""ตรัง!J776"")+IMPORTRANGE(""https://docs.google.com/spreadsheets/d/1Dj4jcHCTV9JXKCaMoheSXS52JE63kDKyG7bPXnFogHk/edit?usp=shar"&amp;"ing"",""นครศรีธรรมราช!J776"")+IMPORTRANGE(""https://docs.google.com/spreadsheets/d/1iodCdmuK2GR3jzUwk8tpccY2JHQQA-87DLOtJP-ooyU/edit?usp=sharing"",""นราธิวาส!J776"")+IMPORTRANGE(""https://docs.google.com/spreadsheets/d/1SDNX3JhDdYRuIOsj0Wh2M-Qa_eaXl0NbWmh"&amp;"AOTbfQAs/edit?usp=sharing"",""ปัตตานี!J776"")+IMPORTRANGE(""https://docs.google.com/spreadsheets/d/16JDLGguT8s5DsGCND1KcwHP_AWR_zDMTqLHPLJUKhaU/edit?usp=sharing"",""พังงา!J776"")+IMPORTRANGE(""https://docs.google.com/spreadsheets/d/17ht0gPKzzT3PObBL1XJkeR"&amp;"mntBXI7wGjpLV7QorqlTk/edit?usp=sharing"",""พัทลุง!J776"")+IMPORTRANGE(""https://docs.google.com/spreadsheets/d/1rd4qoM1q_hsgaolqNGfrim9gbsoLxQsda4-vOz5x_BM/edit?usp=sharing"",""ภูเก็ต!J776"")+IMPORTRANGE(""https://docs.google.com/spreadsheets/d/1woKwKjgoL"&amp;"ssDvPcPeVyezB5izizAn4X1JDrys69n6xI/edit?usp=sharing"",""ยะลา!J776"")+IMPORTRANGE(""https://docs.google.com/spreadsheets/d/1qfrKjzMhm2HJfxQ-qVlJlJQ25Hne1d0khsySbZyGtPA/edit?usp=sharing"",""ระนอง!J776"")+IMPORTRANGE(""https://docs.google.com/spreadsheets/d/"&amp;"1IbSCnFOKpZsnFogBHJnL_isstZVaOMnFiIN0fGTPZZw/edit?usp=sharing"",""สงขลา!J776"")+IMPORTRANGE(""https://docs.google.com/spreadsheets/d/1q9nWasZJ-K8bFGvbE9n0qSRuKGA4Toe3Y89cKCiVtCU/edit?usp=sharing"",""สตูล!J776"")+IMPORTRANGE(""https://docs.google.com/sprea"&amp;"dsheets/d/18T20gbkS_WBjdscyTOV05cvq_JqvqQ17C81mpxf7Ncs/edit?usp=sharing"",""สุราษฎร์ธานี!J776"")"),10)</f>
        <v>10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05" t="s">
        <v>294</v>
      </c>
      <c r="B777" s="506"/>
      <c r="C777" s="506"/>
      <c r="D777" s="506"/>
      <c r="E777" s="507"/>
      <c r="F777" s="507"/>
      <c r="G777" s="508"/>
      <c r="H777" s="509" t="str">
        <f ca="1">IFERROR(__xludf.DUMMYFUNCTION("IMPORTRANGE(""https://docs.google.com/spreadsheets/d/1gNPQPjxUj63ZZXIIIm2aX4x3w7PhAZpC9JuXdbpWwUQ/edit?usp=sharing"",""Sheet1!b2"")")," (ข้อมูล ณ 30 เม.ย. 67)")</f>
        <v xml:space="preserve"> 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217"/>
      <c r="B778" s="218" t="s">
        <v>295</v>
      </c>
      <c r="C778" s="159"/>
      <c r="D778" s="159"/>
      <c r="E778" s="41"/>
      <c r="F778" s="41"/>
      <c r="G778" s="43"/>
      <c r="H778" s="133" t="s">
        <v>14</v>
      </c>
      <c r="I778" s="152">
        <f ca="1">IFERROR(__xludf.DUMMYFUNCTION("IMPORTRANGE(""https://docs.google.com/spreadsheets/d/1kKUcYdkIfrgTSj8iHHHB2MD2FAtwyyocFgqGQn6ADyI/edit?usp=sharing"",""กระบี่!I778"")+IMPORTRANGE(""https://docs.google.com/spreadsheets/d/1GwtLaSlNZkLk7iDqcyZz22giiy40b_usZZBXYciEN1U/edit?usp=sharing"",""ชุ"&amp;"มพร!I778"")+IMPORTRANGE(""https://docs.google.com/spreadsheets/d/16pAz3pOhQEZBhvFNMa5KGgZS6iKWpsKX0pg6tQmwFpo/edit?usp=sharing"",""ตรัง!I778"")+IMPORTRANGE(""https://docs.google.com/spreadsheets/d/1Dj4jcHCTV9JXKCaMoheSXS52JE63kDKyG7bPXnFogHk/edit?usp=shar"&amp;"ing"",""นครศรีธรรมราช!I778"")+IMPORTRANGE(""https://docs.google.com/spreadsheets/d/1iodCdmuK2GR3jzUwk8tpccY2JHQQA-87DLOtJP-ooyU/edit?usp=sharing"",""นราธิวาส!I778"")+IMPORTRANGE(""https://docs.google.com/spreadsheets/d/1SDNX3JhDdYRuIOsj0Wh2M-Qa_eaXl0NbWmh"&amp;"AOTbfQAs/edit?usp=sharing"",""ปัตตานี!I778"")+IMPORTRANGE(""https://docs.google.com/spreadsheets/d/16JDLGguT8s5DsGCND1KcwHP_AWR_zDMTqLHPLJUKhaU/edit?usp=sharing"",""พังงา!I778"")+IMPORTRANGE(""https://docs.google.com/spreadsheets/d/17ht0gPKzzT3PObBL1XJkeR"&amp;"mntBXI7wGjpLV7QorqlTk/edit?usp=sharing"",""พัทลุง!I778"")+IMPORTRANGE(""https://docs.google.com/spreadsheets/d/1rd4qoM1q_hsgaolqNGfrim9gbsoLxQsda4-vOz5x_BM/edit?usp=sharing"",""ภูเก็ต!I778"")+IMPORTRANGE(""https://docs.google.com/spreadsheets/d/1woKwKjgoL"&amp;"ssDvPcPeVyezB5izizAn4X1JDrys69n6xI/edit?usp=sharing"",""ยะลา!I778"")+IMPORTRANGE(""https://docs.google.com/spreadsheets/d/1qfrKjzMhm2HJfxQ-qVlJlJQ25Hne1d0khsySbZyGtPA/edit?usp=sharing"",""ระนอง!I778"")+IMPORTRANGE(""https://docs.google.com/spreadsheets/d/"&amp;"1IbSCnFOKpZsnFogBHJnL_isstZVaOMnFiIN0fGTPZZw/edit?usp=sharing"",""สงขลา!I778"")+IMPORTRANGE(""https://docs.google.com/spreadsheets/d/1q9nWasZJ-K8bFGvbE9n0qSRuKGA4Toe3Y89cKCiVtCU/edit?usp=sharing"",""สตูล!I778"")+IMPORTRANGE(""https://docs.google.com/sprea"&amp;"dsheets/d/18T20gbkS_WBjdscyTOV05cvq_JqvqQ17C81mpxf7Ncs/edit?usp=sharing"",""สุราษฎร์ธานี!I778"")"),12525907.8099999)</f>
        <v>12525907.8099999</v>
      </c>
      <c r="J778" s="152">
        <f ca="1">IFERROR(__xludf.DUMMYFUNCTION("IMPORTRANGE(""https://docs.google.com/spreadsheets/d/1kKUcYdkIfrgTSj8iHHHB2MD2FAtwyyocFgqGQn6ADyI/edit?usp=sharing"",""กระบี่!J778"")+IMPORTRANGE(""https://docs.google.com/spreadsheets/d/1GwtLaSlNZkLk7iDqcyZz22giiy40b_usZZBXYciEN1U/edit?usp=sharing"",""ชุ"&amp;"มพร!J778"")+IMPORTRANGE(""https://docs.google.com/spreadsheets/d/16pAz3pOhQEZBhvFNMa5KGgZS6iKWpsKX0pg6tQmwFpo/edit?usp=sharing"",""ตรัง!J778"")+IMPORTRANGE(""https://docs.google.com/spreadsheets/d/1Dj4jcHCTV9JXKCaMoheSXS52JE63kDKyG7bPXnFogHk/edit?usp=shar"&amp;"ing"",""นครศรีธรรมราช!J778"")+IMPORTRANGE(""https://docs.google.com/spreadsheets/d/1iodCdmuK2GR3jzUwk8tpccY2JHQQA-87DLOtJP-ooyU/edit?usp=sharing"",""นราธิวาส!J778"")+IMPORTRANGE(""https://docs.google.com/spreadsheets/d/1SDNX3JhDdYRuIOsj0Wh2M-Qa_eaXl0NbWmh"&amp;"AOTbfQAs/edit?usp=sharing"",""ปัตตานี!J778"")+IMPORTRANGE(""https://docs.google.com/spreadsheets/d/16JDLGguT8s5DsGCND1KcwHP_AWR_zDMTqLHPLJUKhaU/edit?usp=sharing"",""พังงา!J778"")+IMPORTRANGE(""https://docs.google.com/spreadsheets/d/17ht0gPKzzT3PObBL1XJkeR"&amp;"mntBXI7wGjpLV7QorqlTk/edit?usp=sharing"",""พัทลุง!J778"")+IMPORTRANGE(""https://docs.google.com/spreadsheets/d/1rd4qoM1q_hsgaolqNGfrim9gbsoLxQsda4-vOz5x_BM/edit?usp=sharing"",""ภูเก็ต!J778"")+IMPORTRANGE(""https://docs.google.com/spreadsheets/d/1woKwKjgoL"&amp;"ssDvPcPeVyezB5izizAn4X1JDrys69n6xI/edit?usp=sharing"",""ยะลา!J778"")+IMPORTRANGE(""https://docs.google.com/spreadsheets/d/1qfrKjzMhm2HJfxQ-qVlJlJQ25Hne1d0khsySbZyGtPA/edit?usp=sharing"",""ระนอง!J778"")+IMPORTRANGE(""https://docs.google.com/spreadsheets/d/"&amp;"1IbSCnFOKpZsnFogBHJnL_isstZVaOMnFiIN0fGTPZZw/edit?usp=sharing"",""สงขลา!J778"")+IMPORTRANGE(""https://docs.google.com/spreadsheets/d/1q9nWasZJ-K8bFGvbE9n0qSRuKGA4Toe3Y89cKCiVtCU/edit?usp=sharing"",""สตูล!J778"")+IMPORTRANGE(""https://docs.google.com/sprea"&amp;"dsheets/d/18T20gbkS_WBjdscyTOV05cvq_JqvqQ17C81mpxf7Ncs/edit?usp=sharing"",""สุราษฎร์ธานี!J778"")"),8318822.28)</f>
        <v>8318822.2800000003</v>
      </c>
      <c r="K778" s="47">
        <f t="shared" ref="K778:K785" ca="1" si="535">IF(I778&gt;0,J778*100/I778,0)</f>
        <v>66.412929155991179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217"/>
      <c r="B779" s="159"/>
      <c r="C779" s="159"/>
      <c r="D779" s="159"/>
      <c r="E779" s="41"/>
      <c r="F779" s="41"/>
      <c r="G779" s="43"/>
      <c r="H779" s="133" t="s">
        <v>35</v>
      </c>
      <c r="I779" s="152">
        <f ca="1">IFERROR(__xludf.DUMMYFUNCTION("IMPORTRANGE(""https://docs.google.com/spreadsheets/d/1kKUcYdkIfrgTSj8iHHHB2MD2FAtwyyocFgqGQn6ADyI/edit?usp=sharing"",""กระบี่!I779"")+IMPORTRANGE(""https://docs.google.com/spreadsheets/d/1GwtLaSlNZkLk7iDqcyZz22giiy40b_usZZBXYciEN1U/edit?usp=sharing"",""ชุ"&amp;"มพร!I779"")+IMPORTRANGE(""https://docs.google.com/spreadsheets/d/16pAz3pOhQEZBhvFNMa5KGgZS6iKWpsKX0pg6tQmwFpo/edit?usp=sharing"",""ตรัง!I779"")+IMPORTRANGE(""https://docs.google.com/spreadsheets/d/1Dj4jcHCTV9JXKCaMoheSXS52JE63kDKyG7bPXnFogHk/edit?usp=shar"&amp;"ing"",""นครศรีธรรมราช!I779"")+IMPORTRANGE(""https://docs.google.com/spreadsheets/d/1iodCdmuK2GR3jzUwk8tpccY2JHQQA-87DLOtJP-ooyU/edit?usp=sharing"",""นราธิวาส!I779"")+IMPORTRANGE(""https://docs.google.com/spreadsheets/d/1SDNX3JhDdYRuIOsj0Wh2M-Qa_eaXl0NbWmh"&amp;"AOTbfQAs/edit?usp=sharing"",""ปัตตานี!I779"")+IMPORTRANGE(""https://docs.google.com/spreadsheets/d/16JDLGguT8s5DsGCND1KcwHP_AWR_zDMTqLHPLJUKhaU/edit?usp=sharing"",""พังงา!I779"")+IMPORTRANGE(""https://docs.google.com/spreadsheets/d/17ht0gPKzzT3PObBL1XJkeR"&amp;"mntBXI7wGjpLV7QorqlTk/edit?usp=sharing"",""พัทลุง!I779"")+IMPORTRANGE(""https://docs.google.com/spreadsheets/d/1rd4qoM1q_hsgaolqNGfrim9gbsoLxQsda4-vOz5x_BM/edit?usp=sharing"",""ภูเก็ต!I779"")+IMPORTRANGE(""https://docs.google.com/spreadsheets/d/1woKwKjgoL"&amp;"ssDvPcPeVyezB5izizAn4X1JDrys69n6xI/edit?usp=sharing"",""ยะลา!I779"")+IMPORTRANGE(""https://docs.google.com/spreadsheets/d/1qfrKjzMhm2HJfxQ-qVlJlJQ25Hne1d0khsySbZyGtPA/edit?usp=sharing"",""ระนอง!I779"")+IMPORTRANGE(""https://docs.google.com/spreadsheets/d/"&amp;"1IbSCnFOKpZsnFogBHJnL_isstZVaOMnFiIN0fGTPZZw/edit?usp=sharing"",""สงขลา!I779"")+IMPORTRANGE(""https://docs.google.com/spreadsheets/d/1q9nWasZJ-K8bFGvbE9n0qSRuKGA4Toe3Y89cKCiVtCU/edit?usp=sharing"",""สตูล!I779"")+IMPORTRANGE(""https://docs.google.com/sprea"&amp;"dsheets/d/18T20gbkS_WBjdscyTOV05cvq_JqvqQ17C81mpxf7Ncs/edit?usp=sharing"",""สุราษฎร์ธานี!I779"")"),990)</f>
        <v>990</v>
      </c>
      <c r="J779" s="152">
        <f ca="1">IFERROR(__xludf.DUMMYFUNCTION("IMPORTRANGE(""https://docs.google.com/spreadsheets/d/1kKUcYdkIfrgTSj8iHHHB2MD2FAtwyyocFgqGQn6ADyI/edit?usp=sharing"",""กระบี่!J779"")+IMPORTRANGE(""https://docs.google.com/spreadsheets/d/1GwtLaSlNZkLk7iDqcyZz22giiy40b_usZZBXYciEN1U/edit?usp=sharing"",""ชุ"&amp;"มพร!J779"")+IMPORTRANGE(""https://docs.google.com/spreadsheets/d/16pAz3pOhQEZBhvFNMa5KGgZS6iKWpsKX0pg6tQmwFpo/edit?usp=sharing"",""ตรัง!J779"")+IMPORTRANGE(""https://docs.google.com/spreadsheets/d/1Dj4jcHCTV9JXKCaMoheSXS52JE63kDKyG7bPXnFogHk/edit?usp=shar"&amp;"ing"",""นครศรีธรรมราช!J779"")+IMPORTRANGE(""https://docs.google.com/spreadsheets/d/1iodCdmuK2GR3jzUwk8tpccY2JHQQA-87DLOtJP-ooyU/edit?usp=sharing"",""นราธิวาส!J779"")+IMPORTRANGE(""https://docs.google.com/spreadsheets/d/1SDNX3JhDdYRuIOsj0Wh2M-Qa_eaXl0NbWmh"&amp;"AOTbfQAs/edit?usp=sharing"",""ปัตตานี!J779"")+IMPORTRANGE(""https://docs.google.com/spreadsheets/d/16JDLGguT8s5DsGCND1KcwHP_AWR_zDMTqLHPLJUKhaU/edit?usp=sharing"",""พังงา!J779"")+IMPORTRANGE(""https://docs.google.com/spreadsheets/d/17ht0gPKzzT3PObBL1XJkeR"&amp;"mntBXI7wGjpLV7QorqlTk/edit?usp=sharing"",""พัทลุง!J779"")+IMPORTRANGE(""https://docs.google.com/spreadsheets/d/1rd4qoM1q_hsgaolqNGfrim9gbsoLxQsda4-vOz5x_BM/edit?usp=sharing"",""ภูเก็ต!J779"")+IMPORTRANGE(""https://docs.google.com/spreadsheets/d/1woKwKjgoL"&amp;"ssDvPcPeVyezB5izizAn4X1JDrys69n6xI/edit?usp=sharing"",""ยะลา!J779"")+IMPORTRANGE(""https://docs.google.com/spreadsheets/d/1qfrKjzMhm2HJfxQ-qVlJlJQ25Hne1d0khsySbZyGtPA/edit?usp=sharing"",""ระนอง!J779"")+IMPORTRANGE(""https://docs.google.com/spreadsheets/d/"&amp;"1IbSCnFOKpZsnFogBHJnL_isstZVaOMnFiIN0fGTPZZw/edit?usp=sharing"",""สงขลา!J779"")+IMPORTRANGE(""https://docs.google.com/spreadsheets/d/1q9nWasZJ-K8bFGvbE9n0qSRuKGA4Toe3Y89cKCiVtCU/edit?usp=sharing"",""สตูล!J779"")+IMPORTRANGE(""https://docs.google.com/sprea"&amp;"dsheets/d/18T20gbkS_WBjdscyTOV05cvq_JqvqQ17C81mpxf7Ncs/edit?usp=sharing"",""สุราษฎร์ธานี!J779"")"),695)</f>
        <v>695</v>
      </c>
      <c r="K779" s="47">
        <f t="shared" ca="1" si="535"/>
        <v>70.202020202020208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217"/>
      <c r="B780" s="218" t="s">
        <v>296</v>
      </c>
      <c r="C780" s="159"/>
      <c r="D780" s="159"/>
      <c r="E780" s="41"/>
      <c r="F780" s="41"/>
      <c r="G780" s="43"/>
      <c r="H780" s="133" t="s">
        <v>14</v>
      </c>
      <c r="I780" s="152">
        <f ca="1">IFERROR(__xludf.DUMMYFUNCTION("IMPORTRANGE(""https://docs.google.com/spreadsheets/d/1kKUcYdkIfrgTSj8iHHHB2MD2FAtwyyocFgqGQn6ADyI/edit?usp=sharing"",""กระบี่!I780"")+IMPORTRANGE(""https://docs.google.com/spreadsheets/d/1GwtLaSlNZkLk7iDqcyZz22giiy40b_usZZBXYciEN1U/edit?usp=sharing"",""ชุ"&amp;"มพร!I780"")+IMPORTRANGE(""https://docs.google.com/spreadsheets/d/16pAz3pOhQEZBhvFNMa5KGgZS6iKWpsKX0pg6tQmwFpo/edit?usp=sharing"",""ตรัง!I780"")+IMPORTRANGE(""https://docs.google.com/spreadsheets/d/1Dj4jcHCTV9JXKCaMoheSXS52JE63kDKyG7bPXnFogHk/edit?usp=shar"&amp;"ing"",""นครศรีธรรมราช!I780"")+IMPORTRANGE(""https://docs.google.com/spreadsheets/d/1iodCdmuK2GR3jzUwk8tpccY2JHQQA-87DLOtJP-ooyU/edit?usp=sharing"",""นราธิวาส!I780"")+IMPORTRANGE(""https://docs.google.com/spreadsheets/d/1SDNX3JhDdYRuIOsj0Wh2M-Qa_eaXl0NbWmh"&amp;"AOTbfQAs/edit?usp=sharing"",""ปัตตานี!I780"")+IMPORTRANGE(""https://docs.google.com/spreadsheets/d/16JDLGguT8s5DsGCND1KcwHP_AWR_zDMTqLHPLJUKhaU/edit?usp=sharing"",""พังงา!I780"")+IMPORTRANGE(""https://docs.google.com/spreadsheets/d/17ht0gPKzzT3PObBL1XJkeR"&amp;"mntBXI7wGjpLV7QorqlTk/edit?usp=sharing"",""พัทลุง!I780"")+IMPORTRANGE(""https://docs.google.com/spreadsheets/d/1rd4qoM1q_hsgaolqNGfrim9gbsoLxQsda4-vOz5x_BM/edit?usp=sharing"",""ภูเก็ต!I780"")+IMPORTRANGE(""https://docs.google.com/spreadsheets/d/1woKwKjgoL"&amp;"ssDvPcPeVyezB5izizAn4X1JDrys69n6xI/edit?usp=sharing"",""ยะลา!I780"")+IMPORTRANGE(""https://docs.google.com/spreadsheets/d/1qfrKjzMhm2HJfxQ-qVlJlJQ25Hne1d0khsySbZyGtPA/edit?usp=sharing"",""ระนอง!I780"")+IMPORTRANGE(""https://docs.google.com/spreadsheets/d/"&amp;"1IbSCnFOKpZsnFogBHJnL_isstZVaOMnFiIN0fGTPZZw/edit?usp=sharing"",""สงขลา!I780"")+IMPORTRANGE(""https://docs.google.com/spreadsheets/d/1q9nWasZJ-K8bFGvbE9n0qSRuKGA4Toe3Y89cKCiVtCU/edit?usp=sharing"",""สตูล!I780"")+IMPORTRANGE(""https://docs.google.com/sprea"&amp;"dsheets/d/18T20gbkS_WBjdscyTOV05cvq_JqvqQ17C81mpxf7Ncs/edit?usp=sharing"",""สุราษฎร์ธานี!I780"")"),16492323.8899999)</f>
        <v>16492323.8899999</v>
      </c>
      <c r="J780" s="152">
        <f ca="1">IFERROR(__xludf.DUMMYFUNCTION("IMPORTRANGE(""https://docs.google.com/spreadsheets/d/1kKUcYdkIfrgTSj8iHHHB2MD2FAtwyyocFgqGQn6ADyI/edit?usp=sharing"",""กระบี่!J780"")+IMPORTRANGE(""https://docs.google.com/spreadsheets/d/1GwtLaSlNZkLk7iDqcyZz22giiy40b_usZZBXYciEN1U/edit?usp=sharing"",""ชุ"&amp;"มพร!J780"")+IMPORTRANGE(""https://docs.google.com/spreadsheets/d/16pAz3pOhQEZBhvFNMa5KGgZS6iKWpsKX0pg6tQmwFpo/edit?usp=sharing"",""ตรัง!J780"")+IMPORTRANGE(""https://docs.google.com/spreadsheets/d/1Dj4jcHCTV9JXKCaMoheSXS52JE63kDKyG7bPXnFogHk/edit?usp=shar"&amp;"ing"",""นครศรีธรรมราช!J780"")+IMPORTRANGE(""https://docs.google.com/spreadsheets/d/1iodCdmuK2GR3jzUwk8tpccY2JHQQA-87DLOtJP-ooyU/edit?usp=sharing"",""นราธิวาส!J780"")+IMPORTRANGE(""https://docs.google.com/spreadsheets/d/1SDNX3JhDdYRuIOsj0Wh2M-Qa_eaXl0NbWmh"&amp;"AOTbfQAs/edit?usp=sharing"",""ปัตตานี!J780"")+IMPORTRANGE(""https://docs.google.com/spreadsheets/d/16JDLGguT8s5DsGCND1KcwHP_AWR_zDMTqLHPLJUKhaU/edit?usp=sharing"",""พังงา!J780"")+IMPORTRANGE(""https://docs.google.com/spreadsheets/d/17ht0gPKzzT3PObBL1XJkeR"&amp;"mntBXI7wGjpLV7QorqlTk/edit?usp=sharing"",""พัทลุง!J780"")+IMPORTRANGE(""https://docs.google.com/spreadsheets/d/1rd4qoM1q_hsgaolqNGfrim9gbsoLxQsda4-vOz5x_BM/edit?usp=sharing"",""ภูเก็ต!J780"")+IMPORTRANGE(""https://docs.google.com/spreadsheets/d/1woKwKjgoL"&amp;"ssDvPcPeVyezB5izizAn4X1JDrys69n6xI/edit?usp=sharing"",""ยะลา!J780"")+IMPORTRANGE(""https://docs.google.com/spreadsheets/d/1qfrKjzMhm2HJfxQ-qVlJlJQ25Hne1d0khsySbZyGtPA/edit?usp=sharing"",""ระนอง!J780"")+IMPORTRANGE(""https://docs.google.com/spreadsheets/d/"&amp;"1IbSCnFOKpZsnFogBHJnL_isstZVaOMnFiIN0fGTPZZw/edit?usp=sharing"",""สงขลา!J780"")+IMPORTRANGE(""https://docs.google.com/spreadsheets/d/1q9nWasZJ-K8bFGvbE9n0qSRuKGA4Toe3Y89cKCiVtCU/edit?usp=sharing"",""สตูล!J780"")+IMPORTRANGE(""https://docs.google.com/sprea"&amp;"dsheets/d/18T20gbkS_WBjdscyTOV05cvq_JqvqQ17C81mpxf7Ncs/edit?usp=sharing"",""สุราษฎร์ธานี!J780"")"),2416014.3)</f>
        <v>2416014.2999999998</v>
      </c>
      <c r="K780" s="47">
        <f t="shared" ca="1" si="535"/>
        <v>14.649326050799591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217"/>
      <c r="B781" s="159"/>
      <c r="C781" s="159"/>
      <c r="D781" s="159"/>
      <c r="E781" s="41"/>
      <c r="F781" s="41"/>
      <c r="G781" s="43"/>
      <c r="H781" s="133" t="s">
        <v>35</v>
      </c>
      <c r="I781" s="152">
        <f ca="1">IFERROR(__xludf.DUMMYFUNCTION("IMPORTRANGE(""https://docs.google.com/spreadsheets/d/1kKUcYdkIfrgTSj8iHHHB2MD2FAtwyyocFgqGQn6ADyI/edit?usp=sharing"",""กระบี่!I781"")+IMPORTRANGE(""https://docs.google.com/spreadsheets/d/1GwtLaSlNZkLk7iDqcyZz22giiy40b_usZZBXYciEN1U/edit?usp=sharing"",""ชุ"&amp;"มพร!I781"")+IMPORTRANGE(""https://docs.google.com/spreadsheets/d/16pAz3pOhQEZBhvFNMa5KGgZS6iKWpsKX0pg6tQmwFpo/edit?usp=sharing"",""ตรัง!I781"")+IMPORTRANGE(""https://docs.google.com/spreadsheets/d/1Dj4jcHCTV9JXKCaMoheSXS52JE63kDKyG7bPXnFogHk/edit?usp=shar"&amp;"ing"",""นครศรีธรรมราช!I781"")+IMPORTRANGE(""https://docs.google.com/spreadsheets/d/1iodCdmuK2GR3jzUwk8tpccY2JHQQA-87DLOtJP-ooyU/edit?usp=sharing"",""นราธิวาส!I781"")+IMPORTRANGE(""https://docs.google.com/spreadsheets/d/1SDNX3JhDdYRuIOsj0Wh2M-Qa_eaXl0NbWmh"&amp;"AOTbfQAs/edit?usp=sharing"",""ปัตตานี!I781"")+IMPORTRANGE(""https://docs.google.com/spreadsheets/d/16JDLGguT8s5DsGCND1KcwHP_AWR_zDMTqLHPLJUKhaU/edit?usp=sharing"",""พังงา!I781"")+IMPORTRANGE(""https://docs.google.com/spreadsheets/d/17ht0gPKzzT3PObBL1XJkeR"&amp;"mntBXI7wGjpLV7QorqlTk/edit?usp=sharing"",""พัทลุง!I781"")+IMPORTRANGE(""https://docs.google.com/spreadsheets/d/1rd4qoM1q_hsgaolqNGfrim9gbsoLxQsda4-vOz5x_BM/edit?usp=sharing"",""ภูเก็ต!I781"")+IMPORTRANGE(""https://docs.google.com/spreadsheets/d/1woKwKjgoL"&amp;"ssDvPcPeVyezB5izizAn4X1JDrys69n6xI/edit?usp=sharing"",""ยะลา!I781"")+IMPORTRANGE(""https://docs.google.com/spreadsheets/d/1qfrKjzMhm2HJfxQ-qVlJlJQ25Hne1d0khsySbZyGtPA/edit?usp=sharing"",""ระนอง!I781"")+IMPORTRANGE(""https://docs.google.com/spreadsheets/d/"&amp;"1IbSCnFOKpZsnFogBHJnL_isstZVaOMnFiIN0fGTPZZw/edit?usp=sharing"",""สงขลา!I781"")+IMPORTRANGE(""https://docs.google.com/spreadsheets/d/1q9nWasZJ-K8bFGvbE9n0qSRuKGA4Toe3Y89cKCiVtCU/edit?usp=sharing"",""สตูล!I781"")+IMPORTRANGE(""https://docs.google.com/sprea"&amp;"dsheets/d/18T20gbkS_WBjdscyTOV05cvq_JqvqQ17C81mpxf7Ncs/edit?usp=sharing"",""สุราษฎร์ธานี!I781"")"),744)</f>
        <v>744</v>
      </c>
      <c r="J781" s="152">
        <f ca="1">IFERROR(__xludf.DUMMYFUNCTION("IMPORTRANGE(""https://docs.google.com/spreadsheets/d/1kKUcYdkIfrgTSj8iHHHB2MD2FAtwyyocFgqGQn6ADyI/edit?usp=sharing"",""กระบี่!J781"")+IMPORTRANGE(""https://docs.google.com/spreadsheets/d/1GwtLaSlNZkLk7iDqcyZz22giiy40b_usZZBXYciEN1U/edit?usp=sharing"",""ชุ"&amp;"มพร!J781"")+IMPORTRANGE(""https://docs.google.com/spreadsheets/d/16pAz3pOhQEZBhvFNMa5KGgZS6iKWpsKX0pg6tQmwFpo/edit?usp=sharing"",""ตรัง!J781"")+IMPORTRANGE(""https://docs.google.com/spreadsheets/d/1Dj4jcHCTV9JXKCaMoheSXS52JE63kDKyG7bPXnFogHk/edit?usp=shar"&amp;"ing"",""นครศรีธรรมราช!J781"")+IMPORTRANGE(""https://docs.google.com/spreadsheets/d/1iodCdmuK2GR3jzUwk8tpccY2JHQQA-87DLOtJP-ooyU/edit?usp=sharing"",""นราธิวาส!J781"")+IMPORTRANGE(""https://docs.google.com/spreadsheets/d/1SDNX3JhDdYRuIOsj0Wh2M-Qa_eaXl0NbWmh"&amp;"AOTbfQAs/edit?usp=sharing"",""ปัตตานี!J781"")+IMPORTRANGE(""https://docs.google.com/spreadsheets/d/16JDLGguT8s5DsGCND1KcwHP_AWR_zDMTqLHPLJUKhaU/edit?usp=sharing"",""พังงา!J781"")+IMPORTRANGE(""https://docs.google.com/spreadsheets/d/17ht0gPKzzT3PObBL1XJkeR"&amp;"mntBXI7wGjpLV7QorqlTk/edit?usp=sharing"",""พัทลุง!J781"")+IMPORTRANGE(""https://docs.google.com/spreadsheets/d/1rd4qoM1q_hsgaolqNGfrim9gbsoLxQsda4-vOz5x_BM/edit?usp=sharing"",""ภูเก็ต!J781"")+IMPORTRANGE(""https://docs.google.com/spreadsheets/d/1woKwKjgoL"&amp;"ssDvPcPeVyezB5izizAn4X1JDrys69n6xI/edit?usp=sharing"",""ยะลา!J781"")+IMPORTRANGE(""https://docs.google.com/spreadsheets/d/1qfrKjzMhm2HJfxQ-qVlJlJQ25Hne1d0khsySbZyGtPA/edit?usp=sharing"",""ระนอง!J781"")+IMPORTRANGE(""https://docs.google.com/spreadsheets/d/"&amp;"1IbSCnFOKpZsnFogBHJnL_isstZVaOMnFiIN0fGTPZZw/edit?usp=sharing"",""สงขลา!J781"")+IMPORTRANGE(""https://docs.google.com/spreadsheets/d/1q9nWasZJ-K8bFGvbE9n0qSRuKGA4Toe3Y89cKCiVtCU/edit?usp=sharing"",""สตูล!J781"")+IMPORTRANGE(""https://docs.google.com/sprea"&amp;"dsheets/d/18T20gbkS_WBjdscyTOV05cvq_JqvqQ17C81mpxf7Ncs/edit?usp=sharing"",""สุราษฎร์ธานี!J781"")"),415)</f>
        <v>415</v>
      </c>
      <c r="K781" s="47">
        <f t="shared" ca="1" si="535"/>
        <v>55.77956989247312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217"/>
      <c r="B782" s="218" t="s">
        <v>297</v>
      </c>
      <c r="C782" s="159"/>
      <c r="D782" s="159"/>
      <c r="E782" s="41"/>
      <c r="F782" s="41"/>
      <c r="G782" s="43"/>
      <c r="H782" s="133" t="s">
        <v>14</v>
      </c>
      <c r="I782" s="152">
        <f ca="1">IFERROR(__xludf.DUMMYFUNCTION("IMPORTRANGE(""https://docs.google.com/spreadsheets/d/1kKUcYdkIfrgTSj8iHHHB2MD2FAtwyyocFgqGQn6ADyI/edit?usp=sharing"",""กระบี่!I782"")+IMPORTRANGE(""https://docs.google.com/spreadsheets/d/1GwtLaSlNZkLk7iDqcyZz22giiy40b_usZZBXYciEN1U/edit?usp=sharing"",""ชุ"&amp;"มพร!I782"")+IMPORTRANGE(""https://docs.google.com/spreadsheets/d/16pAz3pOhQEZBhvFNMa5KGgZS6iKWpsKX0pg6tQmwFpo/edit?usp=sharing"",""ตรัง!I782"")+IMPORTRANGE(""https://docs.google.com/spreadsheets/d/1Dj4jcHCTV9JXKCaMoheSXS52JE63kDKyG7bPXnFogHk/edit?usp=shar"&amp;"ing"",""นครศรีธรรมราช!I782"")+IMPORTRANGE(""https://docs.google.com/spreadsheets/d/1iodCdmuK2GR3jzUwk8tpccY2JHQQA-87DLOtJP-ooyU/edit?usp=sharing"",""นราธิวาส!I782"")+IMPORTRANGE(""https://docs.google.com/spreadsheets/d/1SDNX3JhDdYRuIOsj0Wh2M-Qa_eaXl0NbWmh"&amp;"AOTbfQAs/edit?usp=sharing"",""ปัตตานี!I782"")+IMPORTRANGE(""https://docs.google.com/spreadsheets/d/16JDLGguT8s5DsGCND1KcwHP_AWR_zDMTqLHPLJUKhaU/edit?usp=sharing"",""พังงา!I782"")+IMPORTRANGE(""https://docs.google.com/spreadsheets/d/17ht0gPKzzT3PObBL1XJkeR"&amp;"mntBXI7wGjpLV7QorqlTk/edit?usp=sharing"",""พัทลุง!I782"")+IMPORTRANGE(""https://docs.google.com/spreadsheets/d/1rd4qoM1q_hsgaolqNGfrim9gbsoLxQsda4-vOz5x_BM/edit?usp=sharing"",""ภูเก็ต!I782"")+IMPORTRANGE(""https://docs.google.com/spreadsheets/d/1woKwKjgoL"&amp;"ssDvPcPeVyezB5izizAn4X1JDrys69n6xI/edit?usp=sharing"",""ยะลา!I782"")+IMPORTRANGE(""https://docs.google.com/spreadsheets/d/1qfrKjzMhm2HJfxQ-qVlJlJQ25Hne1d0khsySbZyGtPA/edit?usp=sharing"",""ระนอง!I782"")+IMPORTRANGE(""https://docs.google.com/spreadsheets/d/"&amp;"1IbSCnFOKpZsnFogBHJnL_isstZVaOMnFiIN0fGTPZZw/edit?usp=sharing"",""สงขลา!I782"")+IMPORTRANGE(""https://docs.google.com/spreadsheets/d/1q9nWasZJ-K8bFGvbE9n0qSRuKGA4Toe3Y89cKCiVtCU/edit?usp=sharing"",""สตูล!I782"")+IMPORTRANGE(""https://docs.google.com/sprea"&amp;"dsheets/d/18T20gbkS_WBjdscyTOV05cvq_JqvqQ17C81mpxf7Ncs/edit?usp=sharing"",""สุราษฎร์ธานี!I782"")"),345580.37)</f>
        <v>345580.37</v>
      </c>
      <c r="J782" s="152">
        <f ca="1">IFERROR(__xludf.DUMMYFUNCTION("IMPORTRANGE(""https://docs.google.com/spreadsheets/d/1kKUcYdkIfrgTSj8iHHHB2MD2FAtwyyocFgqGQn6ADyI/edit?usp=sharing"",""กระบี่!J782"")+IMPORTRANGE(""https://docs.google.com/spreadsheets/d/1GwtLaSlNZkLk7iDqcyZz22giiy40b_usZZBXYciEN1U/edit?usp=sharing"",""ชุ"&amp;"มพร!J782"")+IMPORTRANGE(""https://docs.google.com/spreadsheets/d/16pAz3pOhQEZBhvFNMa5KGgZS6iKWpsKX0pg6tQmwFpo/edit?usp=sharing"",""ตรัง!J782"")+IMPORTRANGE(""https://docs.google.com/spreadsheets/d/1Dj4jcHCTV9JXKCaMoheSXS52JE63kDKyG7bPXnFogHk/edit?usp=shar"&amp;"ing"",""นครศรีธรรมราช!J782"")+IMPORTRANGE(""https://docs.google.com/spreadsheets/d/1iodCdmuK2GR3jzUwk8tpccY2JHQQA-87DLOtJP-ooyU/edit?usp=sharing"",""นราธิวาส!J782"")+IMPORTRANGE(""https://docs.google.com/spreadsheets/d/1SDNX3JhDdYRuIOsj0Wh2M-Qa_eaXl0NbWmh"&amp;"AOTbfQAs/edit?usp=sharing"",""ปัตตานี!J782"")+IMPORTRANGE(""https://docs.google.com/spreadsheets/d/16JDLGguT8s5DsGCND1KcwHP_AWR_zDMTqLHPLJUKhaU/edit?usp=sharing"",""พังงา!J782"")+IMPORTRANGE(""https://docs.google.com/spreadsheets/d/17ht0gPKzzT3PObBL1XJkeR"&amp;"mntBXI7wGjpLV7QorqlTk/edit?usp=sharing"",""พัทลุง!J782"")+IMPORTRANGE(""https://docs.google.com/spreadsheets/d/1rd4qoM1q_hsgaolqNGfrim9gbsoLxQsda4-vOz5x_BM/edit?usp=sharing"",""ภูเก็ต!J782"")+IMPORTRANGE(""https://docs.google.com/spreadsheets/d/1woKwKjgoL"&amp;"ssDvPcPeVyezB5izizAn4X1JDrys69n6xI/edit?usp=sharing"",""ยะลา!J782"")+IMPORTRANGE(""https://docs.google.com/spreadsheets/d/1qfrKjzMhm2HJfxQ-qVlJlJQ25Hne1d0khsySbZyGtPA/edit?usp=sharing"",""ระนอง!J782"")+IMPORTRANGE(""https://docs.google.com/spreadsheets/d/"&amp;"1IbSCnFOKpZsnFogBHJnL_isstZVaOMnFiIN0fGTPZZw/edit?usp=sharing"",""สงขลา!J782"")+IMPORTRANGE(""https://docs.google.com/spreadsheets/d/1q9nWasZJ-K8bFGvbE9n0qSRuKGA4Toe3Y89cKCiVtCU/edit?usp=sharing"",""สตูล!J782"")+IMPORTRANGE(""https://docs.google.com/sprea"&amp;"dsheets/d/18T20gbkS_WBjdscyTOV05cvq_JqvqQ17C81mpxf7Ncs/edit?usp=sharing"",""สุราษฎร์ธานี!J782"")"),148305.32)</f>
        <v>148305.32</v>
      </c>
      <c r="K782" s="47">
        <f t="shared" ca="1" si="535"/>
        <v>42.914856535398698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217"/>
      <c r="B783" s="159"/>
      <c r="C783" s="159"/>
      <c r="D783" s="159"/>
      <c r="E783" s="41"/>
      <c r="F783" s="41"/>
      <c r="G783" s="43"/>
      <c r="H783" s="133" t="s">
        <v>35</v>
      </c>
      <c r="I783" s="152">
        <f ca="1">IFERROR(__xludf.DUMMYFUNCTION("IMPORTRANGE(""https://docs.google.com/spreadsheets/d/1kKUcYdkIfrgTSj8iHHHB2MD2FAtwyyocFgqGQn6ADyI/edit?usp=sharing"",""กระบี่!I783"")+IMPORTRANGE(""https://docs.google.com/spreadsheets/d/1GwtLaSlNZkLk7iDqcyZz22giiy40b_usZZBXYciEN1U/edit?usp=sharing"",""ชุ"&amp;"มพร!I783"")+IMPORTRANGE(""https://docs.google.com/spreadsheets/d/16pAz3pOhQEZBhvFNMa5KGgZS6iKWpsKX0pg6tQmwFpo/edit?usp=sharing"",""ตรัง!I783"")+IMPORTRANGE(""https://docs.google.com/spreadsheets/d/1Dj4jcHCTV9JXKCaMoheSXS52JE63kDKyG7bPXnFogHk/edit?usp=shar"&amp;"ing"",""นครศรีธรรมราช!I783"")+IMPORTRANGE(""https://docs.google.com/spreadsheets/d/1iodCdmuK2GR3jzUwk8tpccY2JHQQA-87DLOtJP-ooyU/edit?usp=sharing"",""นราธิวาส!I783"")+IMPORTRANGE(""https://docs.google.com/spreadsheets/d/1SDNX3JhDdYRuIOsj0Wh2M-Qa_eaXl0NbWmh"&amp;"AOTbfQAs/edit?usp=sharing"",""ปัตตานี!I783"")+IMPORTRANGE(""https://docs.google.com/spreadsheets/d/16JDLGguT8s5DsGCND1KcwHP_AWR_zDMTqLHPLJUKhaU/edit?usp=sharing"",""พังงา!I783"")+IMPORTRANGE(""https://docs.google.com/spreadsheets/d/17ht0gPKzzT3PObBL1XJkeR"&amp;"mntBXI7wGjpLV7QorqlTk/edit?usp=sharing"",""พัทลุง!I783"")+IMPORTRANGE(""https://docs.google.com/spreadsheets/d/1rd4qoM1q_hsgaolqNGfrim9gbsoLxQsda4-vOz5x_BM/edit?usp=sharing"",""ภูเก็ต!I783"")+IMPORTRANGE(""https://docs.google.com/spreadsheets/d/1woKwKjgoL"&amp;"ssDvPcPeVyezB5izizAn4X1JDrys69n6xI/edit?usp=sharing"",""ยะลา!I783"")+IMPORTRANGE(""https://docs.google.com/spreadsheets/d/1qfrKjzMhm2HJfxQ-qVlJlJQ25Hne1d0khsySbZyGtPA/edit?usp=sharing"",""ระนอง!I783"")+IMPORTRANGE(""https://docs.google.com/spreadsheets/d/"&amp;"1IbSCnFOKpZsnFogBHJnL_isstZVaOMnFiIN0fGTPZZw/edit?usp=sharing"",""สงขลา!I783"")+IMPORTRANGE(""https://docs.google.com/spreadsheets/d/1q9nWasZJ-K8bFGvbE9n0qSRuKGA4Toe3Y89cKCiVtCU/edit?usp=sharing"",""สตูล!I783"")+IMPORTRANGE(""https://docs.google.com/sprea"&amp;"dsheets/d/18T20gbkS_WBjdscyTOV05cvq_JqvqQ17C81mpxf7Ncs/edit?usp=sharing"",""สุราษฎร์ธานี!I783"")"),552)</f>
        <v>552</v>
      </c>
      <c r="J783" s="152">
        <f ca="1">IFERROR(__xludf.DUMMYFUNCTION("IMPORTRANGE(""https://docs.google.com/spreadsheets/d/1kKUcYdkIfrgTSj8iHHHB2MD2FAtwyyocFgqGQn6ADyI/edit?usp=sharing"",""กระบี่!J783"")+IMPORTRANGE(""https://docs.google.com/spreadsheets/d/1GwtLaSlNZkLk7iDqcyZz22giiy40b_usZZBXYciEN1U/edit?usp=sharing"",""ชุ"&amp;"มพร!J783"")+IMPORTRANGE(""https://docs.google.com/spreadsheets/d/16pAz3pOhQEZBhvFNMa5KGgZS6iKWpsKX0pg6tQmwFpo/edit?usp=sharing"",""ตรัง!J783"")+IMPORTRANGE(""https://docs.google.com/spreadsheets/d/1Dj4jcHCTV9JXKCaMoheSXS52JE63kDKyG7bPXnFogHk/edit?usp=shar"&amp;"ing"",""นครศรีธรรมราช!J783"")+IMPORTRANGE(""https://docs.google.com/spreadsheets/d/1iodCdmuK2GR3jzUwk8tpccY2JHQQA-87DLOtJP-ooyU/edit?usp=sharing"",""นราธิวาส!J783"")+IMPORTRANGE(""https://docs.google.com/spreadsheets/d/1SDNX3JhDdYRuIOsj0Wh2M-Qa_eaXl0NbWmh"&amp;"AOTbfQAs/edit?usp=sharing"",""ปัตตานี!J783"")+IMPORTRANGE(""https://docs.google.com/spreadsheets/d/16JDLGguT8s5DsGCND1KcwHP_AWR_zDMTqLHPLJUKhaU/edit?usp=sharing"",""พังงา!J783"")+IMPORTRANGE(""https://docs.google.com/spreadsheets/d/17ht0gPKzzT3PObBL1XJkeR"&amp;"mntBXI7wGjpLV7QorqlTk/edit?usp=sharing"",""พัทลุง!J783"")+IMPORTRANGE(""https://docs.google.com/spreadsheets/d/1rd4qoM1q_hsgaolqNGfrim9gbsoLxQsda4-vOz5x_BM/edit?usp=sharing"",""ภูเก็ต!J783"")+IMPORTRANGE(""https://docs.google.com/spreadsheets/d/1woKwKjgoL"&amp;"ssDvPcPeVyezB5izizAn4X1JDrys69n6xI/edit?usp=sharing"",""ยะลา!J783"")+IMPORTRANGE(""https://docs.google.com/spreadsheets/d/1qfrKjzMhm2HJfxQ-qVlJlJQ25Hne1d0khsySbZyGtPA/edit?usp=sharing"",""ระนอง!J783"")+IMPORTRANGE(""https://docs.google.com/spreadsheets/d/"&amp;"1IbSCnFOKpZsnFogBHJnL_isstZVaOMnFiIN0fGTPZZw/edit?usp=sharing"",""สงขลา!J783"")+IMPORTRANGE(""https://docs.google.com/spreadsheets/d/1q9nWasZJ-K8bFGvbE9n0qSRuKGA4Toe3Y89cKCiVtCU/edit?usp=sharing"",""สตูล!J783"")+IMPORTRANGE(""https://docs.google.com/sprea"&amp;"dsheets/d/18T20gbkS_WBjdscyTOV05cvq_JqvqQ17C81mpxf7Ncs/edit?usp=sharing"",""สุราษฎร์ธานี!J783"")"),204)</f>
        <v>204</v>
      </c>
      <c r="K783" s="47">
        <f t="shared" ca="1" si="535"/>
        <v>36.956521739130437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217"/>
      <c r="B784" s="218" t="s">
        <v>298</v>
      </c>
      <c r="C784" s="159"/>
      <c r="D784" s="159"/>
      <c r="E784" s="41"/>
      <c r="F784" s="41"/>
      <c r="G784" s="43"/>
      <c r="H784" s="133" t="s">
        <v>14</v>
      </c>
      <c r="I784" s="152">
        <f ca="1">IFERROR(__xludf.DUMMYFUNCTION("IMPORTRANGE(""https://docs.google.com/spreadsheets/d/1kKUcYdkIfrgTSj8iHHHB2MD2FAtwyyocFgqGQn6ADyI/edit?usp=sharing"",""กระบี่!I784"")+IMPORTRANGE(""https://docs.google.com/spreadsheets/d/1GwtLaSlNZkLk7iDqcyZz22giiy40b_usZZBXYciEN1U/edit?usp=sharing"",""ชุ"&amp;"มพร!I784"")+IMPORTRANGE(""https://docs.google.com/spreadsheets/d/16pAz3pOhQEZBhvFNMa5KGgZS6iKWpsKX0pg6tQmwFpo/edit?usp=sharing"",""ตรัง!I784"")+IMPORTRANGE(""https://docs.google.com/spreadsheets/d/1Dj4jcHCTV9JXKCaMoheSXS52JE63kDKyG7bPXnFogHk/edit?usp=shar"&amp;"ing"",""นครศรีธรรมราช!I784"")+IMPORTRANGE(""https://docs.google.com/spreadsheets/d/1iodCdmuK2GR3jzUwk8tpccY2JHQQA-87DLOtJP-ooyU/edit?usp=sharing"",""นราธิวาส!I784"")+IMPORTRANGE(""https://docs.google.com/spreadsheets/d/1SDNX3JhDdYRuIOsj0Wh2M-Qa_eaXl0NbWmh"&amp;"AOTbfQAs/edit?usp=sharing"",""ปัตตานี!I784"")+IMPORTRANGE(""https://docs.google.com/spreadsheets/d/16JDLGguT8s5DsGCND1KcwHP_AWR_zDMTqLHPLJUKhaU/edit?usp=sharing"",""พังงา!I784"")+IMPORTRANGE(""https://docs.google.com/spreadsheets/d/17ht0gPKzzT3PObBL1XJkeR"&amp;"mntBXI7wGjpLV7QorqlTk/edit?usp=sharing"",""พัทลุง!I784"")+IMPORTRANGE(""https://docs.google.com/spreadsheets/d/1rd4qoM1q_hsgaolqNGfrim9gbsoLxQsda4-vOz5x_BM/edit?usp=sharing"",""ภูเก็ต!I784"")+IMPORTRANGE(""https://docs.google.com/spreadsheets/d/1woKwKjgoL"&amp;"ssDvPcPeVyezB5izizAn4X1JDrys69n6xI/edit?usp=sharing"",""ยะลา!I784"")+IMPORTRANGE(""https://docs.google.com/spreadsheets/d/1qfrKjzMhm2HJfxQ-qVlJlJQ25Hne1d0khsySbZyGtPA/edit?usp=sharing"",""ระนอง!I784"")+IMPORTRANGE(""https://docs.google.com/spreadsheets/d/"&amp;"1IbSCnFOKpZsnFogBHJnL_isstZVaOMnFiIN0fGTPZZw/edit?usp=sharing"",""สงขลา!I784"")+IMPORTRANGE(""https://docs.google.com/spreadsheets/d/1q9nWasZJ-K8bFGvbE9n0qSRuKGA4Toe3Y89cKCiVtCU/edit?usp=sharing"",""สตูล!I784"")+IMPORTRANGE(""https://docs.google.com/sprea"&amp;"dsheets/d/18T20gbkS_WBjdscyTOV05cvq_JqvqQ17C81mpxf7Ncs/edit?usp=sharing"",""สุราษฎร์ธานี!I784"")"),21560000)</f>
        <v>21560000</v>
      </c>
      <c r="J784" s="152">
        <f ca="1">IFERROR(__xludf.DUMMYFUNCTION("IMPORTRANGE(""https://docs.google.com/spreadsheets/d/1kKUcYdkIfrgTSj8iHHHB2MD2FAtwyyocFgqGQn6ADyI/edit?usp=sharing"",""กระบี่!J784"")+IMPORTRANGE(""https://docs.google.com/spreadsheets/d/1GwtLaSlNZkLk7iDqcyZz22giiy40b_usZZBXYciEN1U/edit?usp=sharing"",""ชุ"&amp;"มพร!J784"")+IMPORTRANGE(""https://docs.google.com/spreadsheets/d/16pAz3pOhQEZBhvFNMa5KGgZS6iKWpsKX0pg6tQmwFpo/edit?usp=sharing"",""ตรัง!J784"")+IMPORTRANGE(""https://docs.google.com/spreadsheets/d/1Dj4jcHCTV9JXKCaMoheSXS52JE63kDKyG7bPXnFogHk/edit?usp=shar"&amp;"ing"",""นครศรีธรรมราช!J784"")+IMPORTRANGE(""https://docs.google.com/spreadsheets/d/1iodCdmuK2GR3jzUwk8tpccY2JHQQA-87DLOtJP-ooyU/edit?usp=sharing"",""นราธิวาส!J784"")+IMPORTRANGE(""https://docs.google.com/spreadsheets/d/1SDNX3JhDdYRuIOsj0Wh2M-Qa_eaXl0NbWmh"&amp;"AOTbfQAs/edit?usp=sharing"",""ปัตตานี!J784"")+IMPORTRANGE(""https://docs.google.com/spreadsheets/d/16JDLGguT8s5DsGCND1KcwHP_AWR_zDMTqLHPLJUKhaU/edit?usp=sharing"",""พังงา!J784"")+IMPORTRANGE(""https://docs.google.com/spreadsheets/d/17ht0gPKzzT3PObBL1XJkeR"&amp;"mntBXI7wGjpLV7QorqlTk/edit?usp=sharing"",""พัทลุง!J784"")+IMPORTRANGE(""https://docs.google.com/spreadsheets/d/1rd4qoM1q_hsgaolqNGfrim9gbsoLxQsda4-vOz5x_BM/edit?usp=sharing"",""ภูเก็ต!J784"")+IMPORTRANGE(""https://docs.google.com/spreadsheets/d/1woKwKjgoL"&amp;"ssDvPcPeVyezB5izizAn4X1JDrys69n6xI/edit?usp=sharing"",""ยะลา!J784"")+IMPORTRANGE(""https://docs.google.com/spreadsheets/d/1qfrKjzMhm2HJfxQ-qVlJlJQ25Hne1d0khsySbZyGtPA/edit?usp=sharing"",""ระนอง!J784"")+IMPORTRANGE(""https://docs.google.com/spreadsheets/d/"&amp;"1IbSCnFOKpZsnFogBHJnL_isstZVaOMnFiIN0fGTPZZw/edit?usp=sharing"",""สงขลา!J784"")+IMPORTRANGE(""https://docs.google.com/spreadsheets/d/1q9nWasZJ-K8bFGvbE9n0qSRuKGA4Toe3Y89cKCiVtCU/edit?usp=sharing"",""สตูล!J784"")+IMPORTRANGE(""https://docs.google.com/sprea"&amp;"dsheets/d/18T20gbkS_WBjdscyTOV05cvq_JqvqQ17C81mpxf7Ncs/edit?usp=sharing"",""สุราษฎร์ธานี!J784"")"),13639400)</f>
        <v>13639400</v>
      </c>
      <c r="K784" s="47">
        <f t="shared" ca="1" si="535"/>
        <v>63.262523191094623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350"/>
      <c r="B785" s="3"/>
      <c r="C785" s="3"/>
      <c r="D785" s="3"/>
      <c r="E785" s="1"/>
      <c r="F785" s="1"/>
      <c r="G785" s="53"/>
      <c r="H785" s="352" t="s">
        <v>35</v>
      </c>
      <c r="I785" s="197">
        <f ca="1">IFERROR(__xludf.DUMMYFUNCTION("IMPORTRANGE(""https://docs.google.com/spreadsheets/d/1kKUcYdkIfrgTSj8iHHHB2MD2FAtwyyocFgqGQn6ADyI/edit?usp=sharing"",""กระบี่!I785"")+IMPORTRANGE(""https://docs.google.com/spreadsheets/d/1GwtLaSlNZkLk7iDqcyZz22giiy40b_usZZBXYciEN1U/edit?usp=sharing"",""ชุ"&amp;"มพร!I785"")+IMPORTRANGE(""https://docs.google.com/spreadsheets/d/16pAz3pOhQEZBhvFNMa5KGgZS6iKWpsKX0pg6tQmwFpo/edit?usp=sharing"",""ตรัง!I785"")+IMPORTRANGE(""https://docs.google.com/spreadsheets/d/1Dj4jcHCTV9JXKCaMoheSXS52JE63kDKyG7bPXnFogHk/edit?usp=shar"&amp;"ing"",""นครศรีธรรมราช!I785"")+IMPORTRANGE(""https://docs.google.com/spreadsheets/d/1iodCdmuK2GR3jzUwk8tpccY2JHQQA-87DLOtJP-ooyU/edit?usp=sharing"",""นราธิวาส!I785"")+IMPORTRANGE(""https://docs.google.com/spreadsheets/d/1SDNX3JhDdYRuIOsj0Wh2M-Qa_eaXl0NbWmh"&amp;"AOTbfQAs/edit?usp=sharing"",""ปัตตานี!I785"")+IMPORTRANGE(""https://docs.google.com/spreadsheets/d/16JDLGguT8s5DsGCND1KcwHP_AWR_zDMTqLHPLJUKhaU/edit?usp=sharing"",""พังงา!I785"")+IMPORTRANGE(""https://docs.google.com/spreadsheets/d/17ht0gPKzzT3PObBL1XJkeR"&amp;"mntBXI7wGjpLV7QorqlTk/edit?usp=sharing"",""พัทลุง!I785"")+IMPORTRANGE(""https://docs.google.com/spreadsheets/d/1rd4qoM1q_hsgaolqNGfrim9gbsoLxQsda4-vOz5x_BM/edit?usp=sharing"",""ภูเก็ต!I785"")+IMPORTRANGE(""https://docs.google.com/spreadsheets/d/1woKwKjgoL"&amp;"ssDvPcPeVyezB5izizAn4X1JDrys69n6xI/edit?usp=sharing"",""ยะลา!I785"")+IMPORTRANGE(""https://docs.google.com/spreadsheets/d/1qfrKjzMhm2HJfxQ-qVlJlJQ25Hne1d0khsySbZyGtPA/edit?usp=sharing"",""ระนอง!I785"")+IMPORTRANGE(""https://docs.google.com/spreadsheets/d/"&amp;"1IbSCnFOKpZsnFogBHJnL_isstZVaOMnFiIN0fGTPZZw/edit?usp=sharing"",""สงขลา!I785"")+IMPORTRANGE(""https://docs.google.com/spreadsheets/d/1q9nWasZJ-K8bFGvbE9n0qSRuKGA4Toe3Y89cKCiVtCU/edit?usp=sharing"",""สตูล!I785"")+IMPORTRANGE(""https://docs.google.com/sprea"&amp;"dsheets/d/18T20gbkS_WBjdscyTOV05cvq_JqvqQ17C81mpxf7Ncs/edit?usp=sharing"",""สุราษฎร์ธานี!I785"")"),770)</f>
        <v>770</v>
      </c>
      <c r="J785" s="197">
        <f ca="1">IFERROR(__xludf.DUMMYFUNCTION("IMPORTRANGE(""https://docs.google.com/spreadsheets/d/1kKUcYdkIfrgTSj8iHHHB2MD2FAtwyyocFgqGQn6ADyI/edit?usp=sharing"",""กระบี่!J785"")+IMPORTRANGE(""https://docs.google.com/spreadsheets/d/1GwtLaSlNZkLk7iDqcyZz22giiy40b_usZZBXYciEN1U/edit?usp=sharing"",""ชุ"&amp;"มพร!J785"")+IMPORTRANGE(""https://docs.google.com/spreadsheets/d/16pAz3pOhQEZBhvFNMa5KGgZS6iKWpsKX0pg6tQmwFpo/edit?usp=sharing"",""ตรัง!J785"")+IMPORTRANGE(""https://docs.google.com/spreadsheets/d/1Dj4jcHCTV9JXKCaMoheSXS52JE63kDKyG7bPXnFogHk/edit?usp=shar"&amp;"ing"",""นครศรีธรรมราช!J785"")+IMPORTRANGE(""https://docs.google.com/spreadsheets/d/1iodCdmuK2GR3jzUwk8tpccY2JHQQA-87DLOtJP-ooyU/edit?usp=sharing"",""นราธิวาส!J785"")+IMPORTRANGE(""https://docs.google.com/spreadsheets/d/1SDNX3JhDdYRuIOsj0Wh2M-Qa_eaXl0NbWmh"&amp;"AOTbfQAs/edit?usp=sharing"",""ปัตตานี!J785"")+IMPORTRANGE(""https://docs.google.com/spreadsheets/d/16JDLGguT8s5DsGCND1KcwHP_AWR_zDMTqLHPLJUKhaU/edit?usp=sharing"",""พังงา!J785"")+IMPORTRANGE(""https://docs.google.com/spreadsheets/d/17ht0gPKzzT3PObBL1XJkeR"&amp;"mntBXI7wGjpLV7QorqlTk/edit?usp=sharing"",""พัทลุง!J785"")+IMPORTRANGE(""https://docs.google.com/spreadsheets/d/1rd4qoM1q_hsgaolqNGfrim9gbsoLxQsda4-vOz5x_BM/edit?usp=sharing"",""ภูเก็ต!J785"")+IMPORTRANGE(""https://docs.google.com/spreadsheets/d/1woKwKjgoL"&amp;"ssDvPcPeVyezB5izizAn4X1JDrys69n6xI/edit?usp=sharing"",""ยะลา!J785"")+IMPORTRANGE(""https://docs.google.com/spreadsheets/d/1qfrKjzMhm2HJfxQ-qVlJlJQ25Hne1d0khsySbZyGtPA/edit?usp=sharing"",""ระนอง!J785"")+IMPORTRANGE(""https://docs.google.com/spreadsheets/d/"&amp;"1IbSCnFOKpZsnFogBHJnL_isstZVaOMnFiIN0fGTPZZw/edit?usp=sharing"",""สงขลา!J785"")+IMPORTRANGE(""https://docs.google.com/spreadsheets/d/1q9nWasZJ-K8bFGvbE9n0qSRuKGA4Toe3Y89cKCiVtCU/edit?usp=sharing"",""สตูล!J785"")+IMPORTRANGE(""https://docs.google.com/sprea"&amp;"dsheets/d/18T20gbkS_WBjdscyTOV05cvq_JqvqQ17C81mpxf7Ncs/edit?usp=sharing"",""สุราษฎร์ธานี!J785"")"),311)</f>
        <v>311</v>
      </c>
      <c r="K785" s="111">
        <f t="shared" ca="1" si="535"/>
        <v>40.38961038961039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513"/>
      <c r="B786" s="513"/>
      <c r="C786" s="513"/>
      <c r="D786" s="513"/>
      <c r="E786" s="166"/>
      <c r="F786" s="166"/>
      <c r="G786" s="166"/>
      <c r="H786" s="513"/>
      <c r="I786" s="514"/>
      <c r="J786" s="514"/>
      <c r="K786" s="515"/>
      <c r="L786" s="515"/>
      <c r="M786" s="515"/>
      <c r="N786" s="515"/>
      <c r="O786" s="515"/>
      <c r="P786" s="515"/>
      <c r="Q786" s="515"/>
      <c r="R786" s="515"/>
      <c r="S786" s="515"/>
      <c r="T786" s="515"/>
      <c r="U786" s="515"/>
    </row>
    <row r="787" spans="1:21" ht="16.5" x14ac:dyDescent="0.25">
      <c r="A787" s="516" t="s">
        <v>299</v>
      </c>
      <c r="B787" s="513"/>
      <c r="C787" s="513"/>
      <c r="D787" s="513"/>
      <c r="E787" s="166"/>
      <c r="F787" s="166"/>
      <c r="G787" s="166"/>
      <c r="H787" s="513"/>
      <c r="I787" s="514"/>
      <c r="J787" s="514"/>
      <c r="K787" s="515"/>
      <c r="L787" s="515"/>
      <c r="M787" s="515"/>
      <c r="N787" s="515"/>
      <c r="O787" s="515"/>
      <c r="P787" s="515"/>
      <c r="Q787" s="515"/>
      <c r="R787" s="515"/>
      <c r="S787" s="515"/>
      <c r="T787" s="515"/>
      <c r="U787" s="515"/>
    </row>
    <row r="788" spans="1:21" ht="16.5" x14ac:dyDescent="0.25">
      <c r="A788" s="51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 xml:space="preserve">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513"/>
      <c r="C788" s="513"/>
      <c r="D788" s="513"/>
      <c r="E788" s="166"/>
      <c r="F788" s="166"/>
      <c r="G788" s="166"/>
      <c r="H788" s="513"/>
      <c r="I788" s="514"/>
      <c r="J788" s="514"/>
      <c r="K788" s="515"/>
      <c r="L788" s="515"/>
      <c r="M788" s="515"/>
      <c r="N788" s="515"/>
      <c r="O788" s="515"/>
      <c r="P788" s="515"/>
      <c r="Q788" s="515"/>
      <c r="R788" s="515"/>
      <c r="S788" s="515"/>
      <c r="T788" s="515"/>
      <c r="U788" s="515"/>
    </row>
    <row r="789" spans="1:21" ht="16.5" x14ac:dyDescent="0.25">
      <c r="A789" s="51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513"/>
      <c r="C789" s="513"/>
      <c r="D789" s="513"/>
      <c r="E789" s="166"/>
      <c r="F789" s="166"/>
      <c r="G789" s="166"/>
      <c r="H789" s="513"/>
      <c r="I789" s="514"/>
      <c r="J789" s="514"/>
      <c r="K789" s="515"/>
      <c r="L789" s="515"/>
      <c r="M789" s="515"/>
      <c r="N789" s="515"/>
      <c r="O789" s="515"/>
      <c r="P789" s="515"/>
      <c r="Q789" s="515"/>
      <c r="R789" s="515"/>
      <c r="S789" s="515"/>
      <c r="T789" s="515"/>
      <c r="U789" s="515"/>
    </row>
  </sheetData>
  <mergeCells count="25">
    <mergeCell ref="D714:G714"/>
    <mergeCell ref="D728:G728"/>
    <mergeCell ref="D760:G760"/>
    <mergeCell ref="A5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N5:P5"/>
    <mergeCell ref="Q5:R5"/>
    <mergeCell ref="L4:P4"/>
    <mergeCell ref="Q4:U4"/>
    <mergeCell ref="I5:K5"/>
    <mergeCell ref="L5:M5"/>
    <mergeCell ref="S5:U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6" fitToHeight="0" orientation="portrait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868B8-3BA1-4602-B175-65BC9178A6E8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710937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20" width="19.28515625" bestFit="1" customWidth="1"/>
    <col min="21" max="21" width="21.28515625" bestFit="1" customWidth="1"/>
  </cols>
  <sheetData>
    <row r="1" spans="1:21" ht="19.5" x14ac:dyDescent="0.3">
      <c r="A1" s="817" t="s">
        <v>0</v>
      </c>
      <c r="B1" s="817"/>
      <c r="C1" s="817"/>
      <c r="D1" s="817"/>
      <c r="E1" s="817"/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7"/>
      <c r="R1" s="817"/>
      <c r="S1" s="817"/>
      <c r="T1" s="817"/>
      <c r="U1" s="817"/>
    </row>
    <row r="2" spans="1:21" s="897" customFormat="1" ht="19.5" x14ac:dyDescent="0.3">
      <c r="A2" s="817" t="s">
        <v>323</v>
      </c>
      <c r="B2" s="817"/>
      <c r="C2" s="817"/>
      <c r="D2" s="817"/>
      <c r="E2" s="817"/>
      <c r="F2" s="817"/>
      <c r="G2" s="817"/>
      <c r="H2" s="817"/>
      <c r="I2" s="817"/>
      <c r="J2" s="817"/>
      <c r="K2" s="817"/>
      <c r="L2" s="817"/>
      <c r="M2" s="817"/>
      <c r="N2" s="817"/>
      <c r="O2" s="817"/>
      <c r="P2" s="817"/>
      <c r="Q2" s="817"/>
      <c r="R2" s="817"/>
      <c r="S2" s="817"/>
      <c r="T2" s="817"/>
      <c r="U2" s="817"/>
    </row>
    <row r="3" spans="1:21" ht="19.5" x14ac:dyDescent="0.3">
      <c r="A3" s="817" t="s">
        <v>332</v>
      </c>
      <c r="B3" s="817"/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  <c r="S3" s="817"/>
      <c r="T3" s="817"/>
      <c r="U3" s="817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816"/>
      <c r="L4" s="815" t="s">
        <v>2</v>
      </c>
      <c r="M4" s="518"/>
      <c r="N4" s="518"/>
      <c r="O4" s="518"/>
      <c r="P4" s="519"/>
      <c r="Q4" s="814" t="s">
        <v>3</v>
      </c>
      <c r="R4" s="518"/>
      <c r="S4" s="518"/>
      <c r="T4" s="518"/>
      <c r="U4" s="519"/>
    </row>
    <row r="5" spans="1:21" ht="19.5" x14ac:dyDescent="0.3">
      <c r="A5" s="813" t="s">
        <v>4</v>
      </c>
      <c r="B5" s="522"/>
      <c r="C5" s="522"/>
      <c r="D5" s="522"/>
      <c r="E5" s="522"/>
      <c r="F5" s="522"/>
      <c r="G5" s="535"/>
      <c r="H5" s="812" t="s">
        <v>5</v>
      </c>
      <c r="I5" s="527" t="s">
        <v>6</v>
      </c>
      <c r="J5" s="518"/>
      <c r="K5" s="519"/>
      <c r="L5" s="811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0"/>
      <c r="I6" s="7" t="s">
        <v>9</v>
      </c>
      <c r="J6" s="8" t="s">
        <v>10</v>
      </c>
      <c r="K6" s="7" t="s">
        <v>11</v>
      </c>
      <c r="L6" s="809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2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1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1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1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1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1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1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1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1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08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7">
        <f ca="1">L19+L20</f>
        <v>2628090</v>
      </c>
      <c r="M18" s="35">
        <f ca="1">M19+M20</f>
        <v>2476055.48</v>
      </c>
      <c r="N18" s="35">
        <f ca="1">N19+N20</f>
        <v>1826897.93</v>
      </c>
      <c r="O18" s="35">
        <f ca="1">IF(L18&gt;0,N18*100/L18,0)</f>
        <v>69.514283376901091</v>
      </c>
      <c r="P18" s="35">
        <f ca="1">IF(M18&gt;0,N18*100/M18,0)</f>
        <v>73.782592706686842</v>
      </c>
      <c r="Q18" s="35">
        <f ca="1">Q19+Q20</f>
        <v>519907</v>
      </c>
      <c r="R18" s="35">
        <f ca="1">R19+R20</f>
        <v>519907</v>
      </c>
      <c r="S18" s="35">
        <f ca="1">S19+S20</f>
        <v>187065.65</v>
      </c>
      <c r="T18" s="35">
        <f ca="1">IF(Q18&gt;0,S18*100/Q18,0)</f>
        <v>35.980598453184896</v>
      </c>
      <c r="U18" s="35">
        <f ca="1">IF(R18&gt;0,S18*100/R18,0)</f>
        <v>35.980598453184896</v>
      </c>
    </row>
    <row r="19" spans="1:21" ht="18.75" hidden="1" x14ac:dyDescent="0.25">
      <c r="A19" s="27"/>
      <c r="B19" s="28"/>
      <c r="C19" s="28"/>
      <c r="D19" s="28"/>
      <c r="E19" s="806" t="s">
        <v>20</v>
      </c>
      <c r="F19" s="28"/>
      <c r="G19" s="31"/>
      <c r="H19" s="805" t="s">
        <v>14</v>
      </c>
      <c r="I19" s="33"/>
      <c r="J19" s="33"/>
      <c r="K19" s="34"/>
      <c r="L19" s="804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3">
        <f ca="1">L23+L26</f>
        <v>2628090</v>
      </c>
      <c r="M20" s="39">
        <f ca="1">M23+M26</f>
        <v>2476055.48</v>
      </c>
      <c r="N20" s="39">
        <f ca="1">N23+N26</f>
        <v>1826897.93</v>
      </c>
      <c r="O20" s="39">
        <f ca="1">IF(L20&gt;0,N20*100/L20,0)</f>
        <v>69.514283376901091</v>
      </c>
      <c r="P20" s="39">
        <f ca="1">IF(M20&gt;0,N20*100/M20,0)</f>
        <v>73.782592706686842</v>
      </c>
      <c r="Q20" s="39">
        <f ca="1">Q23+Q26</f>
        <v>519907</v>
      </c>
      <c r="R20" s="39">
        <f ca="1">R23+R26</f>
        <v>519907</v>
      </c>
      <c r="S20" s="39">
        <f ca="1">S23+S26</f>
        <v>187065.65</v>
      </c>
      <c r="T20" s="39">
        <f ca="1">IF(Q20&gt;0,S20*100/Q20,0)</f>
        <v>35.980598453184896</v>
      </c>
      <c r="U20" s="39">
        <f ca="1">IF(R20&gt;0,S20*100/R20,0)</f>
        <v>35.980598453184896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1620090</v>
      </c>
      <c r="M21" s="47">
        <f ca="1">M22+M23</f>
        <v>1568055.48</v>
      </c>
      <c r="N21" s="47">
        <f ca="1">N22+N23</f>
        <v>935301.53999999992</v>
      </c>
      <c r="O21" s="47">
        <f ca="1">IF(L21&gt;0,N21*100/L21,0)</f>
        <v>57.73145565987074</v>
      </c>
      <c r="P21" s="47">
        <f ca="1">IF(M21&gt;0,N21*100/M21,0)</f>
        <v>59.647222431185909</v>
      </c>
      <c r="Q21" s="47">
        <f ca="1">Q22+Q23</f>
        <v>519907</v>
      </c>
      <c r="R21" s="47">
        <f ca="1">R22+R23</f>
        <v>519907</v>
      </c>
      <c r="S21" s="47">
        <f ca="1">S22+S23</f>
        <v>187065.65</v>
      </c>
      <c r="T21" s="47">
        <f ca="1">IF(Q21&gt;0,S21*100/Q21,0)</f>
        <v>35.980598453184896</v>
      </c>
      <c r="U21" s="47">
        <f ca="1">IF(R21&gt;0,S21*100/R21,0)</f>
        <v>35.980598453184896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L49+L64+L77+L99+L130+L144+L162+L191+L178+L271+L287+L308+L325+L338+L361+L518</f>
        <v>1620090</v>
      </c>
      <c r="M23" s="47">
        <f ca="1">M49+M64+M77+M99+M130+M144+M162+M191+M178+M271+M287+M308+M325+M338+M361+M518</f>
        <v>1568055.48</v>
      </c>
      <c r="N23" s="47">
        <f ca="1">N49+N64+N77+N99+N130+N144+N162+N191+N178+N271+N287+N308+N325+N338+N361+N518</f>
        <v>935301.53999999992</v>
      </c>
      <c r="O23" s="47">
        <f ca="1">IF(L23&gt;0,N23*100/L23,0)</f>
        <v>57.73145565987074</v>
      </c>
      <c r="P23" s="47">
        <f ca="1">IF(M23&gt;0,N23*100/M23,0)</f>
        <v>59.647222431185909</v>
      </c>
      <c r="Q23" s="47">
        <f ca="1">Q77+Q99+Q122+Q144+Q162+Q178+Q191+Q271+Q287+Q308+Q338+Q380+Q397+Q418+Q498+Q604+Q621+Q647+Q695+Q719+Q733+Q765</f>
        <v>519907</v>
      </c>
      <c r="R23" s="47">
        <f ca="1">R77+R99+R122+R144+R162+R178+R191+R271+R287+R308+R338+R380+R397+R418+R498+R604+R621+R647+R695+R719+R733+R765</f>
        <v>519907</v>
      </c>
      <c r="S23" s="47">
        <f ca="1">S77+S99+S122+S144+S162+S178+S191+S271+S287+S308+S338+S380+S397+S418+S498+S604+S621+S647+S695+S719+S733+S765</f>
        <v>187065.65</v>
      </c>
      <c r="T23" s="47">
        <f ca="1">IF(Q23&gt;0,S23*100/Q23,0)</f>
        <v>35.980598453184896</v>
      </c>
      <c r="U23" s="47">
        <f ca="1">IF(R23&gt;0,S23*100/R23,0)</f>
        <v>35.980598453184896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1008000</v>
      </c>
      <c r="M24" s="47">
        <f ca="1">M25+M26</f>
        <v>908000</v>
      </c>
      <c r="N24" s="47">
        <f ca="1">N25+N26</f>
        <v>891596.39</v>
      </c>
      <c r="O24" s="47">
        <f ca="1">IF(L24&gt;0,N24*100/L24,0)</f>
        <v>88.452022817460318</v>
      </c>
      <c r="P24" s="47">
        <f ca="1">IF(M24&gt;0,N24*100/M24,0)</f>
        <v>98.193435022026435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L52+L67+L80+L102+L133+L147+L165+L194+L181+L274+L290+L311+L328+L341+L364+L521</f>
        <v>1008000</v>
      </c>
      <c r="M26" s="47">
        <f ca="1">M52+M67+M80+M102+M133+M147+M165+M194+M181+M274+M290+M311+M328+M341+M364+M521</f>
        <v>908000</v>
      </c>
      <c r="N26" s="47">
        <f ca="1">N52+N67+N80+N102+N133+N147+N165+N194+N181+N274+N290+N311+N328+N341+N364+N521</f>
        <v>891596.39</v>
      </c>
      <c r="O26" s="47">
        <f ca="1">IF(L26&gt;0,N26*100/L26,0)</f>
        <v>88.452022817460318</v>
      </c>
      <c r="P26" s="47">
        <f ca="1">IF(M26&gt;0,N26*100/M26,0)</f>
        <v>98.193435022026435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2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1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1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1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1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1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1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1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1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1">
        <f ca="1">L44+L59+L72+L94+L125+L139+L157+L173+L186+L266+L282+L303+L320+L333+L356</f>
        <v>2628090</v>
      </c>
      <c r="M40" s="800">
        <f ca="1">M44+M59+M72+M94+M125+M139+M157+M173+M186+M266+M282+M303+M320+M333+M356</f>
        <v>2476055.48</v>
      </c>
      <c r="N40" s="800">
        <f ca="1">N44+N59+N72+N94+N125+N139+N157+N173+N186+N266+N282+N303+N320+N333+N356</f>
        <v>1826897.93</v>
      </c>
      <c r="O40" s="800">
        <f ca="1">IF(L40&gt;0,N40*100/L40,0)</f>
        <v>69.514283376901091</v>
      </c>
      <c r="P40" s="800">
        <f ca="1">IF(M40&gt;0,N40*100/M40,0)</f>
        <v>73.782592706686842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99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1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200000</v>
      </c>
      <c r="M44" s="79">
        <f ca="1">M45+M46</f>
        <v>110495.48</v>
      </c>
      <c r="N44" s="79">
        <f ca="1">N45+N46</f>
        <v>51495.48</v>
      </c>
      <c r="O44" s="79">
        <f ca="1">IF(L44&gt;0,N44*100/L44,0)</f>
        <v>25.74774</v>
      </c>
      <c r="P44" s="79">
        <f ca="1">IF(M44&gt;0,N44*100/M44,0)</f>
        <v>46.604150685620809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200000</v>
      </c>
      <c r="M46" s="83">
        <f ca="1">M49+M52</f>
        <v>110495.48</v>
      </c>
      <c r="N46" s="83">
        <f ca="1">N49+N52</f>
        <v>51495.48</v>
      </c>
      <c r="O46" s="83">
        <f ca="1">IF(L46&gt;0,N46*100/L46,0)</f>
        <v>25.74774</v>
      </c>
      <c r="P46" s="83">
        <f ca="1">IF(M46&gt;0,N46*100/M46,0)</f>
        <v>46.604150685620809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200000</v>
      </c>
      <c r="M47" s="47">
        <f ca="1">M48+M49</f>
        <v>110495.48</v>
      </c>
      <c r="N47" s="47">
        <f ca="1">N48+N49</f>
        <v>51495.48</v>
      </c>
      <c r="O47" s="47">
        <f ca="1">IF(L47&gt;0,N47*100/L47,0)</f>
        <v>25.74774</v>
      </c>
      <c r="P47" s="47">
        <f ca="1">IF(M47&gt;0,N47*100/M47,0)</f>
        <v>46.604150685620809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IFERROR(__xludf.DUMMYFUNCTION("IMPORTRANGE(""https://docs.google.com/spreadsheets/d/1-uDff_7J0KD5mKrp0Vvzr7lt3OU09vwQwhkpOPPYv2Y/edit?usp=sharing"",""งบพรบ!P83"")"),200000)</f>
        <v>200000</v>
      </c>
      <c r="M49" s="47">
        <f ca="1">IFERROR(__xludf.DUMMYFUNCTION("IMPORTRANGE(""https://docs.google.com/spreadsheets/d/1-uDff_7J0KD5mKrp0Vvzr7lt3OU09vwQwhkpOPPYv2Y/edit?usp=sharing"",""งบพรบ!V83"")"),110495.48)</f>
        <v>110495.48</v>
      </c>
      <c r="N49" s="47">
        <f ca="1">IFERROR(__xludf.DUMMYFUNCTION("IMPORTRANGE(""https://docs.google.com/spreadsheets/d/1-uDff_7J0KD5mKrp0Vvzr7lt3OU09vwQwhkpOPPYv2Y/edit?usp=sharing"",""งบพรบ!Y83"")"),51495.48)</f>
        <v>51495.48</v>
      </c>
      <c r="O49" s="47">
        <f ca="1">IF(L49&gt;0,N49*100/L49,0)</f>
        <v>25.74774</v>
      </c>
      <c r="P49" s="47">
        <f ca="1">IF(M49&gt;0,N49*100/M49,0)</f>
        <v>46.604150685620809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IFERROR(__xludf.DUMMYFUNCTION("IMPORTRANGE(""https://docs.google.com/spreadsheets/d/1-uDff_7J0KD5mKrp0Vvzr7lt3OU09vwQwhkpOPPYv2Y/edit?usp=sharing"",""งบพรบ!S83"")"),0)</f>
        <v>0</v>
      </c>
      <c r="M52" s="47">
        <f ca="1">IFERROR(__xludf.DUMMYFUNCTION("IMPORTRANGE(""https://docs.google.com/spreadsheets/d/1-uDff_7J0KD5mKrp0Vvzr7lt3OU09vwQwhkpOPPYv2Y/edit?usp=sharing"",""งบพรบ!W83"")"),0)</f>
        <v>0</v>
      </c>
      <c r="N52" s="47">
        <f ca="1">IFERROR(__xludf.DUMMYFUNCTION("IMPORTRANGE(""https://docs.google.com/spreadsheets/d/1-uDff_7J0KD5mKrp0Vvzr7lt3OU09vwQwhkpOPPYv2Y/edit?usp=sharing"",""งบพรบ!Z83"")"),0)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1622300</v>
      </c>
      <c r="M59" s="106">
        <f ca="1">M60+M61</f>
        <v>1542300</v>
      </c>
      <c r="N59" s="106">
        <f ca="1">N60+N61</f>
        <v>1298890.83</v>
      </c>
      <c r="O59" s="106">
        <f ca="1">IF(L59&gt;0,N59*100/L59,0)</f>
        <v>80.064774086173955</v>
      </c>
      <c r="P59" s="106">
        <f ca="1">IF(M59&gt;0,N59*100/M59,0)</f>
        <v>84.217780587434348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1622300</v>
      </c>
      <c r="M61" s="109">
        <f ca="1">M64+M67</f>
        <v>1542300</v>
      </c>
      <c r="N61" s="109">
        <f ca="1">N64+N67</f>
        <v>1298890.83</v>
      </c>
      <c r="O61" s="109">
        <f ca="1">IF(L61&gt;0,N61*100/L61,0)</f>
        <v>80.064774086173955</v>
      </c>
      <c r="P61" s="109">
        <f ca="1">IF(M61&gt;0,N61*100/M61,0)</f>
        <v>84.217780587434348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614300</v>
      </c>
      <c r="M62" s="47">
        <f ca="1">M63+M64</f>
        <v>634300</v>
      </c>
      <c r="N62" s="47">
        <f ca="1">N63+N64</f>
        <v>407294.44</v>
      </c>
      <c r="O62" s="47">
        <f ca="1">IF(L62&gt;0,N62*100/L62,0)</f>
        <v>66.302204134787559</v>
      </c>
      <c r="P62" s="47">
        <f ca="1">IF(M62&gt;0,N62*100/M62,0)</f>
        <v>64.211641179252723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IFERROR(__xludf.DUMMYFUNCTION("IMPORTRANGE(""https://docs.google.com/spreadsheets/d/1-uDff_7J0KD5mKrp0Vvzr7lt3OU09vwQwhkpOPPYv2Y/edit?usp=sharing"",""งบพรบ!AC83"")"),614300)</f>
        <v>614300</v>
      </c>
      <c r="M64" s="47">
        <f ca="1">IFERROR(__xludf.DUMMYFUNCTION("IMPORTRANGE(""https://docs.google.com/spreadsheets/d/1-uDff_7J0KD5mKrp0Vvzr7lt3OU09vwQwhkpOPPYv2Y/edit?usp=sharing"",""งบพรบ!AH83"")"),634300)</f>
        <v>634300</v>
      </c>
      <c r="N64" s="47">
        <f ca="1">IFERROR(__xludf.DUMMYFUNCTION("IMPORTRANGE(""https://docs.google.com/spreadsheets/d/1-uDff_7J0KD5mKrp0Vvzr7lt3OU09vwQwhkpOPPYv2Y/edit?usp=sharing"",""งบพรบ!AJ83"")"),407294.44)</f>
        <v>407294.44</v>
      </c>
      <c r="O64" s="47">
        <f ca="1">IF(L64&gt;0,N64*100/L64,0)</f>
        <v>66.302204134787559</v>
      </c>
      <c r="P64" s="47">
        <f ca="1">IF(M64&gt;0,N64*100/M64,0)</f>
        <v>64.211641179252723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1008000</v>
      </c>
      <c r="M65" s="47">
        <f ca="1">M66+M67</f>
        <v>908000</v>
      </c>
      <c r="N65" s="47">
        <f ca="1">N66+N67</f>
        <v>891596.39</v>
      </c>
      <c r="O65" s="47">
        <f ca="1">IF(L65&gt;0,N65*100/L65,0)</f>
        <v>88.452022817460318</v>
      </c>
      <c r="P65" s="47">
        <f ca="1">IF(M65&gt;0,N65*100/M65,0)</f>
        <v>98.193435022026435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IFERROR(__xludf.DUMMYFUNCTION("IMPORTRANGE(""https://docs.google.com/spreadsheets/d/1-uDff_7J0KD5mKrp0Vvzr7lt3OU09vwQwhkpOPPYv2Y/edit?usp=sharing"",""งบพรบ!AF83"")"),1008000)</f>
        <v>1008000</v>
      </c>
      <c r="M67" s="111">
        <f ca="1">IFERROR(__xludf.DUMMYFUNCTION("IMPORTRANGE(""https://docs.google.com/spreadsheets/d/1-uDff_7J0KD5mKrp0Vvzr7lt3OU09vwQwhkpOPPYv2Y/edit?usp=sharing"",""งบพรบ!AI83"")"),908000)</f>
        <v>908000</v>
      </c>
      <c r="N67" s="111">
        <f ca="1">IFERROR(__xludf.DUMMYFUNCTION("IMPORTRANGE(""https://docs.google.com/spreadsheets/d/1-uDff_7J0KD5mKrp0Vvzr7lt3OU09vwQwhkpOPPYv2Y/edit?usp=sharing"",""งบพรบ!AK83"")"),891596.39)</f>
        <v>891596.39</v>
      </c>
      <c r="O67" s="111">
        <f ca="1">IF(L67&gt;0,N67*100/L67,0)</f>
        <v>88.452022817460318</v>
      </c>
      <c r="P67" s="111">
        <f ca="1">IF(M67&gt;0,N67*100/M67,0)</f>
        <v>98.193435022026435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0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IFERROR(__xludf.DUMMYFUNCTION("IMPORTRANGE(""https://docs.google.com/spreadsheets/d/1-uDff_7J0KD5mKrp0Vvzr7lt3OU09vwQwhkpOPPYv2Y/edit?usp=sharing"",""งบพรบ!AM83"")"),0)</f>
        <v>0</v>
      </c>
      <c r="M77" s="47">
        <f ca="1">IFERROR(__xludf.DUMMYFUNCTION("IMPORTRANGE(""https://docs.google.com/spreadsheets/d/1-uDff_7J0KD5mKrp0Vvzr7lt3OU09vwQwhkpOPPYv2Y/edit?usp=sharing"",""งบพรบ!AR83"")"),0)</f>
        <v>0</v>
      </c>
      <c r="N77" s="47">
        <f ca="1">IFERROR(__xludf.DUMMYFUNCTION("IMPORTRANGE(""https://docs.google.com/spreadsheets/d/1-uDff_7J0KD5mKrp0Vvzr7lt3OU09vwQwhkpOPPYv2Y/edit?usp=sharing"",""งบพรบ!AT83"")"),0)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IFERROR(__xludf.DUMMYFUNCTION("IMPORTRANGE(""https://docs.google.com/spreadsheets/d/1ItG2mGa2ceCfYo0BwxsXqNm01IGEUdYcSSLTEv9YCik/edit?usp=sharing"",""เบิกจ่ายกองทุน!BH83"")"),0)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IFERROR(__xludf.DUMMYFUNCTION("IMPORTRANGE(""https://docs.google.com/spreadsheets/d/1ItG2mGa2ceCfYo0BwxsXqNm01IGEUdYcSSLTEv9YCik/edit?usp=sharing"",""เบิกจ่ายกองทุน!BI83"")"),0)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IFERROR(__xludf.DUMMYFUNCTION("IMPORTRANGE(""https://docs.google.com/spreadsheets/d/1ItG2mGa2ceCfYo0BwxsXqNm01IGEUdYcSSLTEv9YCik/edit?usp=sharing"",""เบิกจ่ายกองทุน!BJ83"")"),0)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IFERROR(__xludf.DUMMYFUNCTION("IMPORTRANGE(""https://docs.google.com/spreadsheets/d/1-uDff_7J0KD5mKrp0Vvzr7lt3OU09vwQwhkpOPPYv2Y/edit?usp=sharing"",""งบพรบ!AP83"")"),0)</f>
        <v>0</v>
      </c>
      <c r="M80" s="47">
        <f ca="1">IFERROR(__xludf.DUMMYFUNCTION("IMPORTRANGE(""https://docs.google.com/spreadsheets/d/1-uDff_7J0KD5mKrp0Vvzr7lt3OU09vwQwhkpOPPYv2Y/edit?usp=sharing"",""งบพรบ!AS83"")"),0)</f>
        <v>0</v>
      </c>
      <c r="N80" s="47">
        <f ca="1">IFERROR(__xludf.DUMMYFUNCTION("IMPORTRANGE(""https://docs.google.com/spreadsheets/d/1-uDff_7J0KD5mKrp0Vvzr7lt3OU09vwQwhkpOPPYv2Y/edit?usp=sharing"",""งบพรบ!AU83"")"),0)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IFERROR(__xludf.DUMMYFUNCTION("IMPORTRANGE(""https://docs.google.com/spreadsheets/d/1ItG2mGa2ceCfYo0BwxsXqNm01IGEUdYcSSLTEv9YCik/edit?usp=sharing"",""เบิกจ่ายกองทุน!BK83"")"),0)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IFERROR(__xludf.DUMMYFUNCTION("IMPORTRANGE(""https://docs.google.com/spreadsheets/d/1ItG2mGa2ceCfYo0BwxsXqNm01IGEUdYcSSLTEv9YCik/edit?usp=sharing"",""เบิกจ่ายกองทุน!BL83"")"),0)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IFERROR(__xludf.DUMMYFUNCTION("IMPORTRANGE(""https://docs.google.com/spreadsheets/d/1ItG2mGa2ceCfYo0BwxsXqNm01IGEUdYcSSLTEv9YCik/edit?usp=sharing"",""เบิกจ่ายกองทุน!BM83"")"),0)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IFERROR(__xludf.DUMMYFUNCTION("IMPORTRANGE(""https://docs.google.com/spreadsheets/d/1eHaY18a8A9IcSdp1K8H6x8fbOy06t2VsZHhMHf-1x7Y/edit?usp=sharing"",""แผน!H83"")"),0)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IFERROR(__xludf.DUMMYFUNCTION("IMPORTRANGE(""https://docs.google.com/spreadsheets/d/1eHaY18a8A9IcSdp1K8H6x8fbOy06t2VsZHhMHf-1x7Y/edit?usp=sharing"",""แผน!I83"")"),0)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IFERROR(__xludf.DUMMYFUNCTION("IMPORTRANGE(""https://docs.google.com/spreadsheets/d/1eHaY18a8A9IcSdp1K8H6x8fbOy06t2VsZHhMHf-1x7Y/edit?usp=sharing"",""แผน!F83"")"),0)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IFERROR(__xludf.DUMMYFUNCTION("IMPORTRANGE(""https://docs.google.com/spreadsheets/d/1eHaY18a8A9IcSdp1K8H6x8fbOy06t2VsZHhMHf-1x7Y/edit?usp=sharing"",""แผน!G83"")"),0)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IFERROR(__xludf.DUMMYFUNCTION("IMPORTRANGE(""https://docs.google.com/spreadsheets/d/1eHaY18a8A9IcSdp1K8H6x8fbOy06t2VsZHhMHf-1x7Y/edit?usp=sharing"",""แผน!D83"")"),0)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IFERROR(__xludf.DUMMYFUNCTION("IMPORTRANGE(""https://docs.google.com/spreadsheets/d/1eHaY18a8A9IcSdp1K8H6x8fbOy06t2VsZHhMHf-1x7Y/edit?usp=sharing"",""แผน!E83"")"),0)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IFERROR(__xludf.DUMMYFUNCTION("IMPORTRANGE(""https://docs.google.com/spreadsheets/d/1eHaY18a8A9IcSdp1K8H6x8fbOy06t2VsZHhMHf-1x7Y/edit?usp=sharing"",""แผน!J83"")"),0)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0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IFERROR(__xludf.DUMMYFUNCTION("IMPORTRANGE(""https://docs.google.com/spreadsheets/d/1-uDff_7J0KD5mKrp0Vvzr7lt3OU09vwQwhkpOPPYv2Y/edit?usp=sharing"",""งบพรบ!AW83"")"),0)</f>
        <v>0</v>
      </c>
      <c r="M99" s="47">
        <f ca="1">IFERROR(__xludf.DUMMYFUNCTION("IMPORTRANGE(""https://docs.google.com/spreadsheets/d/1-uDff_7J0KD5mKrp0Vvzr7lt3OU09vwQwhkpOPPYv2Y/edit?usp=sharing"",""งบพรบ!BB83"")"),0)</f>
        <v>0</v>
      </c>
      <c r="N99" s="47">
        <f ca="1">IFERROR(__xludf.DUMMYFUNCTION("IMPORTRANGE(""https://docs.google.com/spreadsheets/d/1-uDff_7J0KD5mKrp0Vvzr7lt3OU09vwQwhkpOPPYv2Y/edit?usp=sharing"",""งบพรบ!BD83"")"),0)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IFERROR(__xludf.DUMMYFUNCTION("IMPORTRANGE(""https://docs.google.com/spreadsheets/d/1ItG2mGa2ceCfYo0BwxsXqNm01IGEUdYcSSLTEv9YCik/edit?usp=sharing"",""เบิกจ่ายกองทุน!AJ83"")"),0)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IFERROR(__xludf.DUMMYFUNCTION("IMPORTRANGE(""https://docs.google.com/spreadsheets/d/1ItG2mGa2ceCfYo0BwxsXqNm01IGEUdYcSSLTEv9YCik/edit?usp=sharing"",""เบิกจ่ายกองทุน!AK83"")"),0)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IFERROR(__xludf.DUMMYFUNCTION("IMPORTRANGE(""https://docs.google.com/spreadsheets/d/1ItG2mGa2ceCfYo0BwxsXqNm01IGEUdYcSSLTEv9YCik/edit?usp=sharing"",""เบิกจ่ายกองทุน!AL83"")"),0)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IFERROR(__xludf.DUMMYFUNCTION("IMPORTRANGE(""https://docs.google.com/spreadsheets/d/1-uDff_7J0KD5mKrp0Vvzr7lt3OU09vwQwhkpOPPYv2Y/edit?usp=sharing"",""งบพรบ!AZ83"")"),0)</f>
        <v>0</v>
      </c>
      <c r="M102" s="47">
        <f ca="1">IFERROR(__xludf.DUMMYFUNCTION("IMPORTRANGE(""https://docs.google.com/spreadsheets/d/1-uDff_7J0KD5mKrp0Vvzr7lt3OU09vwQwhkpOPPYv2Y/edit?usp=sharing"",""งบพรบ!BC83"")"),0)</f>
        <v>0</v>
      </c>
      <c r="N102" s="47">
        <f ca="1">IFERROR(__xludf.DUMMYFUNCTION("IMPORTRANGE(""https://docs.google.com/spreadsheets/d/1-uDff_7J0KD5mKrp0Vvzr7lt3OU09vwQwhkpOPPYv2Y/edit?usp=sharing"",""งบพรบ!BE83"")"),0)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1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1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1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IFERROR(__xludf.DUMMYFUNCTION("IMPORTRANGE(""https://docs.google.com/spreadsheets/d/1eHaY18a8A9IcSdp1K8H6x8fbOy06t2VsZHhMHf-1x7Y/edit?usp=sharing"",""แผน!N83"")"),0)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IFERROR(__xludf.DUMMYFUNCTION("IMPORTRANGE(""https://docs.google.com/spreadsheets/d/1eHaY18a8A9IcSdp1K8H6x8fbOy06t2VsZHhMHf-1x7Y/edit?usp=sharing"",""แผน!O83"")"),0)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1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1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1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1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IFERROR(__xludf.DUMMYFUNCTION("IMPORTRANGE(""https://docs.google.com/spreadsheets/d/1eHaY18a8A9IcSdp1K8H6x8fbOy06t2VsZHhMHf-1x7Y/edit?usp=sharing"",""แผน!R83"")"),0)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10</v>
      </c>
      <c r="J116" s="127">
        <f>J127</f>
        <v>10</v>
      </c>
      <c r="K116" s="35">
        <f ca="1">IF(I116&gt;0,J116*100/I116,0)</f>
        <v>100</v>
      </c>
      <c r="L116" s="58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9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173660</v>
      </c>
      <c r="R117" s="132">
        <f ca="1">R118+R119</f>
        <v>173660</v>
      </c>
      <c r="S117" s="132">
        <f ca="1">S118+S119</f>
        <v>104680.65</v>
      </c>
      <c r="T117" s="132">
        <f ca="1">IF(Q117&gt;0,S117*100/Q117,0)</f>
        <v>60.279079811125186</v>
      </c>
      <c r="U117" s="132">
        <f ca="1">IF(R117&gt;0,S117*100/R117,0)</f>
        <v>60.279079811125186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173660</v>
      </c>
      <c r="R119" s="47">
        <f ca="1">R122+R125</f>
        <v>173660</v>
      </c>
      <c r="S119" s="47">
        <f ca="1">S122+S125</f>
        <v>104680.65</v>
      </c>
      <c r="T119" s="47">
        <f ca="1">IF(Q119&gt;0,S119*100/Q119,0)</f>
        <v>60.279079811125186</v>
      </c>
      <c r="U119" s="47">
        <f ca="1">IF(R119&gt;0,S119*100/R119,0)</f>
        <v>60.279079811125186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173660</v>
      </c>
      <c r="R120" s="47">
        <f ca="1">R121+R122</f>
        <v>173660</v>
      </c>
      <c r="S120" s="47">
        <f ca="1">S121+S122</f>
        <v>104680.65</v>
      </c>
      <c r="T120" s="47">
        <f ca="1">IF(Q120&gt;0,S120*100/Q120,0)</f>
        <v>60.279079811125186</v>
      </c>
      <c r="U120" s="47">
        <f ca="1">IF(R120&gt;0,S120*100/R120,0)</f>
        <v>60.279079811125186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IFERROR(__xludf.DUMMYFUNCTION("IMPORTRANGE(""https://docs.google.com/spreadsheets/d/1-uDff_7J0KD5mKrp0Vvzr7lt3OU09vwQwhkpOPPYv2Y/edit?usp=sharing"",""งบพรบ!BG83"")"),0)</f>
        <v>0</v>
      </c>
      <c r="M122" s="47">
        <f ca="1">IFERROR(__xludf.DUMMYFUNCTION("IMPORTRANGE(""https://docs.google.com/spreadsheets/d/1-uDff_7J0KD5mKrp0Vvzr7lt3OU09vwQwhkpOPPYv2Y/edit?usp=sharing"",""งบพรบ!BL83"")"),0)</f>
        <v>0</v>
      </c>
      <c r="N122" s="47">
        <f ca="1">IFERROR(__xludf.DUMMYFUNCTION("IMPORTRANGE(""https://docs.google.com/spreadsheets/d/1-uDff_7J0KD5mKrp0Vvzr7lt3OU09vwQwhkpOPPYv2Y/edit?usp=sharing"",""งบพรบ!BN83"")"),0)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IFERROR(__xludf.DUMMYFUNCTION("IMPORTRANGE(""https://docs.google.com/spreadsheets/d/1ItG2mGa2ceCfYo0BwxsXqNm01IGEUdYcSSLTEv9YCik/edit?usp=sharing"",""เบิกจ่ายกองทุน!U83"")"),173660)</f>
        <v>173660</v>
      </c>
      <c r="R122" s="47">
        <f ca="1">IFERROR(__xludf.DUMMYFUNCTION("IMPORTRANGE(""https://docs.google.com/spreadsheets/d/1ItG2mGa2ceCfYo0BwxsXqNm01IGEUdYcSSLTEv9YCik/edit?usp=sharing"",""เบิกจ่ายกองทุน!V83"")"),173660)</f>
        <v>173660</v>
      </c>
      <c r="S122" s="47">
        <f ca="1">IFERROR(__xludf.DUMMYFUNCTION("IMPORTRANGE(""https://docs.google.com/spreadsheets/d/1ItG2mGa2ceCfYo0BwxsXqNm01IGEUdYcSSLTEv9YCik/edit?usp=sharing"",""เบิกจ่ายกองทุน!W83"")"),104680.65)</f>
        <v>104680.65</v>
      </c>
      <c r="T122" s="47">
        <f ca="1">IF(Q122&gt;0,S122*100/Q122,0)</f>
        <v>60.279079811125186</v>
      </c>
      <c r="U122" s="47">
        <f ca="1">IF(R122&gt;0,S122*100/R122,0)</f>
        <v>60.279079811125186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IFERROR(__xludf.DUMMYFUNCTION("IMPORTRANGE(""https://docs.google.com/spreadsheets/d/1-uDff_7J0KD5mKrp0Vvzr7lt3OU09vwQwhkpOPPYv2Y/edit?usp=sharing"",""งบพรบ!BJ83"")"),0)</f>
        <v>0</v>
      </c>
      <c r="M125" s="47">
        <f ca="1">IFERROR(__xludf.DUMMYFUNCTION("IMPORTRANGE(""https://docs.google.com/spreadsheets/d/1-uDff_7J0KD5mKrp0Vvzr7lt3OU09vwQwhkpOPPYv2Y/edit?usp=sharing"",""งบพรบ!BM83"")"),0)</f>
        <v>0</v>
      </c>
      <c r="N125" s="47">
        <f ca="1">IFERROR(__xludf.DUMMYFUNCTION("IMPORTRANGE(""https://docs.google.com/spreadsheets/d/1-uDff_7J0KD5mKrp0Vvzr7lt3OU09vwQwhkpOPPYv2Y/edit?usp=sharing"",""งบพรบ!BO83"")"),0)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IFERROR(__xludf.DUMMYFUNCTION("IMPORTRANGE(""https://docs.google.com/spreadsheets/d/1ItG2mGa2ceCfYo0BwxsXqNm01IGEUdYcSSLTEv9YCik/edit?usp=sharing"",""เบิกจ่ายกองทุน!X83"")"),0)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IFERROR(__xludf.DUMMYFUNCTION("IMPORTRANGE(""https://docs.google.com/spreadsheets/d/1ItG2mGa2ceCfYo0BwxsXqNm01IGEUdYcSSLTEv9YCik/edit?usp=sharing"",""เบิกจ่ายกองทุน!Y83"")"),0)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IFERROR(__xludf.DUMMYFUNCTION("IMPORTRANGE(""https://docs.google.com/spreadsheets/d/1ItG2mGa2ceCfYo0BwxsXqNm01IGEUdYcSSLTEv9YCik/edit?usp=sharing"",""เบิกจ่ายกองทุน!Z83"")"),0)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IFERROR(__xludf.DUMMYFUNCTION("IMPORTRANGE(""https://docs.google.com/spreadsheets/d/1eHaY18a8A9IcSdp1K8H6x8fbOy06t2VsZHhMHf-1x7Y/edit?usp=sharing"",""แผน!FF83"")"),10)</f>
        <v>10</v>
      </c>
      <c r="J127" s="167">
        <v>10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IFERROR(__xludf.DUMMYFUNCTION("IMPORTRANGE(""https://docs.google.com/spreadsheets/d/1eHaY18a8A9IcSdp1K8H6x8fbOy06t2VsZHhMHf-1x7Y/edit?usp=sharing"",""แผน!FG83"")"),0)</f>
        <v>0</v>
      </c>
      <c r="J128" s="167">
        <v>1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IFERROR(__xludf.DUMMYFUNCTION("IMPORTRANGE(""https://docs.google.com/spreadsheets/d/1eHaY18a8A9IcSdp1K8H6x8fbOy06t2VsZHhMHf-1x7Y/edit?usp=sharing"",""แผน!FH83"")"),10)</f>
        <v>10</v>
      </c>
      <c r="J129" s="167">
        <v>10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IFERROR(__xludf.DUMMYFUNCTION("IMPORTRANGE(""https://docs.google.com/spreadsheets/d/1eHaY18a8A9IcSdp1K8H6x8fbOy06t2VsZHhMHf-1x7Y/edit?usp=sharing"",""แผน!FI83"")"),0)</f>
        <v>0</v>
      </c>
      <c r="J130" s="167">
        <v>1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1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IFERROR(__xludf.DUMMYFUNCTION("IMPORTRANGE(""https://docs.google.com/spreadsheets/d/1-uDff_7J0KD5mKrp0Vvzr7lt3OU09vwQwhkpOPPYv2Y/edit?usp=sharing"",""งบพรบ!BQ83"")"),0)</f>
        <v>0</v>
      </c>
      <c r="M144" s="47">
        <f ca="1">IFERROR(__xludf.DUMMYFUNCTION("IMPORTRANGE(""https://docs.google.com/spreadsheets/d/1-uDff_7J0KD5mKrp0Vvzr7lt3OU09vwQwhkpOPPYv2Y/edit?usp=sharing"",""งบพรบ!BV83"")"),0)</f>
        <v>0</v>
      </c>
      <c r="N144" s="47">
        <f ca="1">IFERROR(__xludf.DUMMYFUNCTION("IMPORTRANGE(""https://docs.google.com/spreadsheets/d/1-uDff_7J0KD5mKrp0Vvzr7lt3OU09vwQwhkpOPPYv2Y/edit?usp=sharing"",""งบพรบ!BX83"")"),0)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IFERROR(__xludf.DUMMYFUNCTION("IMPORTRANGE(""https://docs.google.com/spreadsheets/d/1ItG2mGa2ceCfYo0BwxsXqNm01IGEUdYcSSLTEv9YCik/edit?usp=sharing"",""เบิกจ่ายกองทุน!CF83"")"),0)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IFERROR(__xludf.DUMMYFUNCTION("IMPORTRANGE(""https://docs.google.com/spreadsheets/d/1ItG2mGa2ceCfYo0BwxsXqNm01IGEUdYcSSLTEv9YCik/edit?usp=sharing"",""เบิกจ่ายกองทุน!CG83"")"),0)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IFERROR(__xludf.DUMMYFUNCTION("IMPORTRANGE(""https://docs.google.com/spreadsheets/d/1ItG2mGa2ceCfYo0BwxsXqNm01IGEUdYcSSLTEv9YCik/edit?usp=sharing"",""เบิกจ่ายกองทุน!CH83"")"),0)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IFERROR(__xludf.DUMMYFUNCTION("IMPORTRANGE(""https://docs.google.com/spreadsheets/d/1-uDff_7J0KD5mKrp0Vvzr7lt3OU09vwQwhkpOPPYv2Y/edit?usp=sharing"",""งบพรบ!BT83"")"),0)</f>
        <v>0</v>
      </c>
      <c r="M147" s="47">
        <f ca="1">IFERROR(__xludf.DUMMYFUNCTION("IMPORTRANGE(""https://docs.google.com/spreadsheets/d/1-uDff_7J0KD5mKrp0Vvzr7lt3OU09vwQwhkpOPPYv2Y/edit?usp=sharing"",""งบพรบ!BW83"")"),0)</f>
        <v>0</v>
      </c>
      <c r="N147" s="47">
        <f ca="1">IFERROR(__xludf.DUMMYFUNCTION("IMPORTRANGE(""https://docs.google.com/spreadsheets/d/1-uDff_7J0KD5mKrp0Vvzr7lt3OU09vwQwhkpOPPYv2Y/edit?usp=sharing"",""งบพรบ!BY83"")"),0)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IFERROR(__xludf.DUMMYFUNCTION("IMPORTRANGE(""https://docs.google.com/spreadsheets/d/1ItG2mGa2ceCfYo0BwxsXqNm01IGEUdYcSSLTEv9YCik/edit?usp=sharing"",""เบิกจ่ายกองทุน!CI83"")"),0)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IFERROR(__xludf.DUMMYFUNCTION("IMPORTRANGE(""https://docs.google.com/spreadsheets/d/1ItG2mGa2ceCfYo0BwxsXqNm01IGEUdYcSSLTEv9YCik/edit?usp=sharing"",""เบิกจ่ายกองทุน!CJ83"")"),0)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IFERROR(__xludf.DUMMYFUNCTION("IMPORTRANGE(""https://docs.google.com/spreadsheets/d/1ItG2mGa2ceCfYo0BwxsXqNm01IGEUdYcSSLTEv9YCik/edit?usp=sharing"",""เบิกจ่ายกองทุน!CK83"")"),0)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IFERROR(__xludf.DUMMYFUNCTION("IMPORTRANGE(""https://docs.google.com/spreadsheets/d/1eHaY18a8A9IcSdp1K8H6x8fbOy06t2VsZHhMHf-1x7Y/edit?usp=sharing"",""แผน!U83"")"),0)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IFERROR(__xludf.DUMMYFUNCTION("IMPORTRANGE(""https://docs.google.com/spreadsheets/d/1eHaY18a8A9IcSdp1K8H6x8fbOy06t2VsZHhMHf-1x7Y/edit?usp=sharing"",""แผน!V83"")"),0)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IFERROR(__xludf.DUMMYFUNCTION("IMPORTRANGE(""https://docs.google.com/spreadsheets/d/1eHaY18a8A9IcSdp1K8H6x8fbOy06t2VsZHhMHf-1x7Y/edit?usp=sharing"",""แผน!W83"")"),0)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IFERROR(__xludf.DUMMYFUNCTION("IMPORTRANGE(""https://docs.google.com/spreadsheets/d/1eHaY18a8A9IcSdp1K8H6x8fbOy06t2VsZHhMHf-1x7Y/edit?usp=sharing"",""แผน!X83"")"),0)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IFERROR(__xludf.DUMMYFUNCTION("IMPORTRANGE(""https://docs.google.com/spreadsheets/d/1eHaY18a8A9IcSdp1K8H6x8fbOy06t2VsZHhMHf-1x7Y/edit?usp=sharing"",""แผน!Y83"")"),0)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IFERROR(__xludf.DUMMYFUNCTION("IMPORTRANGE(""https://docs.google.com/spreadsheets/d/1-uDff_7J0KD5mKrp0Vvzr7lt3OU09vwQwhkpOPPYv2Y/edit?usp=sharing"",""งบพรบ!CA83"")"),0)</f>
        <v>0</v>
      </c>
      <c r="M162" s="47">
        <f ca="1">IFERROR(__xludf.DUMMYFUNCTION("IMPORTRANGE(""https://docs.google.com/spreadsheets/d/1-uDff_7J0KD5mKrp0Vvzr7lt3OU09vwQwhkpOPPYv2Y/edit?usp=sharing"",""งบพรบ!CF83"")"),0)</f>
        <v>0</v>
      </c>
      <c r="N162" s="47">
        <f ca="1">IFERROR(__xludf.DUMMYFUNCTION("IMPORTRANGE(""https://docs.google.com/spreadsheets/d/1-uDff_7J0KD5mKrp0Vvzr7lt3OU09vwQwhkpOPPYv2Y/edit?usp=sharing"",""งบพรบ!CH83"")"),0)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IFERROR(__xludf.DUMMYFUNCTION("IMPORTRANGE(""https://docs.google.com/spreadsheets/d/1ItG2mGa2ceCfYo0BwxsXqNm01IGEUdYcSSLTEv9YCik/edit?usp=sharing"",""เบิกจ่ายกองทุน!AM83"")"),0)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IFERROR(__xludf.DUMMYFUNCTION("IMPORTRANGE(""https://docs.google.com/spreadsheets/d/1ItG2mGa2ceCfYo0BwxsXqNm01IGEUdYcSSLTEv9YCik/edit?usp=sharing"",""เบิกจ่ายกองทุน!AN83"")"),0)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IFERROR(__xludf.DUMMYFUNCTION("IMPORTRANGE(""https://docs.google.com/spreadsheets/d/1ItG2mGa2ceCfYo0BwxsXqNm01IGEUdYcSSLTEv9YCik/edit?usp=sharing"",""เบิกจ่ายกองทุน!AO83"")"),0)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IFERROR(__xludf.DUMMYFUNCTION("IMPORTRANGE(""https://docs.google.com/spreadsheets/d/1-uDff_7J0KD5mKrp0Vvzr7lt3OU09vwQwhkpOPPYv2Y/edit?usp=sharing"",""งบพรบ!CD83"")"),0)</f>
        <v>0</v>
      </c>
      <c r="M165" s="47">
        <f ca="1">IFERROR(__xludf.DUMMYFUNCTION("IMPORTRANGE(""https://docs.google.com/spreadsheets/d/1-uDff_7J0KD5mKrp0Vvzr7lt3OU09vwQwhkpOPPYv2Y/edit?usp=sharing"",""งบพรบ!CG83"")"),0)</f>
        <v>0</v>
      </c>
      <c r="N165" s="47">
        <f ca="1">IFERROR(__xludf.DUMMYFUNCTION("IMPORTRANGE(""https://docs.google.com/spreadsheets/d/1-uDff_7J0KD5mKrp0Vvzr7lt3OU09vwQwhkpOPPYv2Y/edit?usp=sharing"",""งบพรบ!CI83"")"),0)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IFERROR(__xludf.DUMMYFUNCTION("IMPORTRANGE(""https://docs.google.com/spreadsheets/d/1eHaY18a8A9IcSdp1K8H6x8fbOy06t2VsZHhMHf-1x7Y/edit?usp=sharing"",""แผน!Z83"")"),0)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IFERROR(__xludf.DUMMYFUNCTION("IMPORTRANGE(""https://docs.google.com/spreadsheets/d/1eHaY18a8A9IcSdp1K8H6x8fbOy06t2VsZHhMHf-1x7Y/edit?usp=sharing"",""แผน!Z83"")"),0)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IFERROR(__xludf.DUMMYFUNCTION("IMPORTRANGE(""https://docs.google.com/spreadsheets/d/1eHaY18a8A9IcSdp1K8H6x8fbOy06t2VsZHhMHf-1x7Y/edit?usp=sharing"",""แผน!Z83"")"),0)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0</v>
      </c>
      <c r="J172" s="214">
        <f>J183+J184</f>
        <v>0</v>
      </c>
      <c r="K172" s="215">
        <f ca="1">IF(I172&gt;0,J172*100/I172,0)</f>
        <v>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9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0</v>
      </c>
      <c r="M173" s="132">
        <f ca="1">M174+M175</f>
        <v>17470</v>
      </c>
      <c r="N173" s="132">
        <f ca="1">N174+N175</f>
        <v>17470</v>
      </c>
      <c r="O173" s="132">
        <f ca="1">IF(L173&gt;0,N173*100/L173,0)</f>
        <v>0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0</v>
      </c>
      <c r="M175" s="47">
        <f ca="1">M178+M181</f>
        <v>17470</v>
      </c>
      <c r="N175" s="47">
        <f ca="1">N178+N181</f>
        <v>17470</v>
      </c>
      <c r="O175" s="47">
        <f ca="1">IF(L175&gt;0,N175*100/L175,0)</f>
        <v>0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0</v>
      </c>
      <c r="M176" s="47">
        <f ca="1">M177+M178</f>
        <v>17470</v>
      </c>
      <c r="N176" s="47">
        <f ca="1">N177+N178</f>
        <v>17470</v>
      </c>
      <c r="O176" s="47">
        <f ca="1">IF(L176&gt;0,N176*100/L176,0)</f>
        <v>0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IFERROR(__xludf.DUMMYFUNCTION("IMPORTRANGE(""https://docs.google.com/spreadsheets/d/1-uDff_7J0KD5mKrp0Vvzr7lt3OU09vwQwhkpOPPYv2Y/edit?usp=sharing"",""งบพรบ!CK83"")"),0)</f>
        <v>0</v>
      </c>
      <c r="M178" s="47">
        <f ca="1">IFERROR(__xludf.DUMMYFUNCTION("IMPORTRANGE(""https://docs.google.com/spreadsheets/d/1-uDff_7J0KD5mKrp0Vvzr7lt3OU09vwQwhkpOPPYv2Y/edit?usp=sharing"",""งบพรบ!CP83"")"),17470)</f>
        <v>17470</v>
      </c>
      <c r="N178" s="47">
        <f ca="1">IFERROR(__xludf.DUMMYFUNCTION("IMPORTRANGE(""https://docs.google.com/spreadsheets/d/1-uDff_7J0KD5mKrp0Vvzr7lt3OU09vwQwhkpOPPYv2Y/edit?usp=sharing"",""งบพรบ!CR83"")"),17470)</f>
        <v>17470</v>
      </c>
      <c r="O178" s="47">
        <f ca="1">IF(L178&gt;0,N178*100/L178,0)</f>
        <v>0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IFERROR(__xludf.DUMMYFUNCTION("IMPORTRANGE(""https://docs.google.com/spreadsheets/d/1ItG2mGa2ceCfYo0BwxsXqNm01IGEUdYcSSLTEv9YCik/edit?usp=sharing"",""เบิกจ่ายกองทุน!DG83"")"),0)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IFERROR(__xludf.DUMMYFUNCTION("IMPORTRANGE(""https://docs.google.com/spreadsheets/d/1ItG2mGa2ceCfYo0BwxsXqNm01IGEUdYcSSLTEv9YCik/edit?usp=sharing"",""เบิกจ่ายกองทุน!DH83"")"),0)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IFERROR(__xludf.DUMMYFUNCTION("IMPORTRANGE(""https://docs.google.com/spreadsheets/d/1ItG2mGa2ceCfYo0BwxsXqNm01IGEUdYcSSLTEv9YCik/edit?usp=sharing"",""เบิกจ่ายกองทุน!DI83"")"),0)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IFERROR(__xludf.DUMMYFUNCTION("IMPORTRANGE(""https://docs.google.com/spreadsheets/d/1-uDff_7J0KD5mKrp0Vvzr7lt3OU09vwQwhkpOPPYv2Y/edit?usp=sharing"",""งบพรบ!CN83"")"),0)</f>
        <v>0</v>
      </c>
      <c r="M181" s="47">
        <f ca="1">IFERROR(__xludf.DUMMYFUNCTION("IMPORTRANGE(""https://docs.google.com/spreadsheets/d/1-uDff_7J0KD5mKrp0Vvzr7lt3OU09vwQwhkpOPPYv2Y/edit?usp=sharing"",""งบพรบ!CQ83"")"),0)</f>
        <v>0</v>
      </c>
      <c r="N181" s="47">
        <f ca="1">IFERROR(__xludf.DUMMYFUNCTION("IMPORTRANGE(""https://docs.google.com/spreadsheets/d/1-uDff_7J0KD5mKrp0Vvzr7lt3OU09vwQwhkpOPPYv2Y/edit?usp=sharing"",""งบพรบ!CS83"")"),0)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IFERROR(__xludf.DUMMYFUNCTION("IMPORTRANGE(""https://docs.google.com/spreadsheets/d/1eHaY18a8A9IcSdp1K8H6x8fbOy06t2VsZHhMHf-1x7Y/edit?usp=sharing"",""แผน!AA83"")"),0)</f>
        <v>0</v>
      </c>
      <c r="J183" s="167">
        <v>0</v>
      </c>
      <c r="K183" s="47">
        <f ca="1">IF(I183&gt;0,J183*100/I183,0)</f>
        <v>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9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80500</v>
      </c>
      <c r="M186" s="132">
        <f ca="1">M187+M188</f>
        <v>80500</v>
      </c>
      <c r="N186" s="132">
        <f ca="1">N187+N188</f>
        <v>33599.660000000003</v>
      </c>
      <c r="O186" s="132">
        <f ca="1">IF(L186&gt;0,N186*100/L186,0)</f>
        <v>41.738708074534166</v>
      </c>
      <c r="P186" s="132">
        <f ca="1">IF(M186&gt;0,N186*100/M186,0)</f>
        <v>41.738708074534166</v>
      </c>
      <c r="Q186" s="132">
        <f ca="1">Q187+Q188</f>
        <v>0</v>
      </c>
      <c r="R186" s="132">
        <f ca="1">R187+R188</f>
        <v>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80500</v>
      </c>
      <c r="M188" s="47">
        <f ca="1">M191+M194</f>
        <v>80500</v>
      </c>
      <c r="N188" s="47">
        <f ca="1">N191+N194</f>
        <v>33599.660000000003</v>
      </c>
      <c r="O188" s="47">
        <f ca="1">IF(L188&gt;0,N188*100/L188,0)</f>
        <v>41.738708074534166</v>
      </c>
      <c r="P188" s="47">
        <f ca="1">IF(M188&gt;0,N188*100/M188,0)</f>
        <v>41.738708074534166</v>
      </c>
      <c r="Q188" s="47">
        <f ca="1">Q191+Q194</f>
        <v>0</v>
      </c>
      <c r="R188" s="47">
        <f ca="1">R191+R194</f>
        <v>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80500</v>
      </c>
      <c r="M189" s="47">
        <f ca="1">M190+M191</f>
        <v>80500</v>
      </c>
      <c r="N189" s="47">
        <f ca="1">N190+N191</f>
        <v>33599.660000000003</v>
      </c>
      <c r="O189" s="47">
        <f ca="1">IF(L189&gt;0,N189*100/L189,0)</f>
        <v>41.738708074534166</v>
      </c>
      <c r="P189" s="47">
        <f ca="1">IF(M189&gt;0,N189*100/M189,0)</f>
        <v>41.738708074534166</v>
      </c>
      <c r="Q189" s="47">
        <f ca="1">Q190+Q191</f>
        <v>0</v>
      </c>
      <c r="R189" s="47">
        <f ca="1">R190+R191</f>
        <v>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IFERROR(__xludf.DUMMYFUNCTION("IMPORTRANGE(""https://docs.google.com/spreadsheets/d/1-uDff_7J0KD5mKrp0Vvzr7lt3OU09vwQwhkpOPPYv2Y/edit?usp=sharing"",""งบพรบ!CU83"")"),80500)</f>
        <v>80500</v>
      </c>
      <c r="M191" s="47">
        <f ca="1">IFERROR(__xludf.DUMMYFUNCTION("IMPORTRANGE(""https://docs.google.com/spreadsheets/d/1-uDff_7J0KD5mKrp0Vvzr7lt3OU09vwQwhkpOPPYv2Y/edit?usp=sharing"",""งบพรบ!CZ83"")"),80500)</f>
        <v>80500</v>
      </c>
      <c r="N191" s="47">
        <f ca="1">IFERROR(__xludf.DUMMYFUNCTION("IMPORTRANGE(""https://docs.google.com/spreadsheets/d/1-uDff_7J0KD5mKrp0Vvzr7lt3OU09vwQwhkpOPPYv2Y/edit?usp=sharing"",""งบพรบ!DB83"")"),33599.66)</f>
        <v>33599.660000000003</v>
      </c>
      <c r="O191" s="47">
        <f ca="1">IF(L191&gt;0,N191*100/L191,0)</f>
        <v>41.738708074534166</v>
      </c>
      <c r="P191" s="47">
        <f ca="1">IF(M191&gt;0,N191*100/M191,0)</f>
        <v>41.738708074534166</v>
      </c>
      <c r="Q191" s="47">
        <f ca="1">IFERROR(__xludf.DUMMYFUNCTION("IMPORTRANGE(""https://docs.google.com/spreadsheets/d/1ItG2mGa2ceCfYo0BwxsXqNm01IGEUdYcSSLTEv9YCik/edit?usp=sharing"",""เบิกจ่ายกองทุน!BQ83"")"),0)</f>
        <v>0</v>
      </c>
      <c r="R191" s="47">
        <f ca="1">IFERROR(__xludf.DUMMYFUNCTION("IMPORTRANGE(""https://docs.google.com/spreadsheets/d/1ItG2mGa2ceCfYo0BwxsXqNm01IGEUdYcSSLTEv9YCik/edit?usp=sharing"",""เบิกจ่ายกองทุน!BR83"")"),0)</f>
        <v>0</v>
      </c>
      <c r="S191" s="47">
        <f ca="1">IFERROR(__xludf.DUMMYFUNCTION("IMPORTRANGE(""https://docs.google.com/spreadsheets/d/1ItG2mGa2ceCfYo0BwxsXqNm01IGEUdYcSSLTEv9YCik/edit?usp=sharing"",""เบิกจ่ายกองทุน!BS83"")"),0)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IFERROR(__xludf.DUMMYFUNCTION("IMPORTRANGE(""https://docs.google.com/spreadsheets/d/1-uDff_7J0KD5mKrp0Vvzr7lt3OU09vwQwhkpOPPYv2Y/edit?usp=sharing"",""งบพรบ!CX83"")"),0)</f>
        <v>0</v>
      </c>
      <c r="M194" s="47">
        <f ca="1">IFERROR(__xludf.DUMMYFUNCTION("IMPORTRANGE(""https://docs.google.com/spreadsheets/d/1-uDff_7J0KD5mKrp0Vvzr7lt3OU09vwQwhkpOPPYv2Y/edit?usp=sharing"",""งบพรบ!DA83"")"),0)</f>
        <v>0</v>
      </c>
      <c r="N194" s="47">
        <f ca="1">IFERROR(__xludf.DUMMYFUNCTION("IMPORTRANGE(""https://docs.google.com/spreadsheets/d/1-uDff_7J0KD5mKrp0Vvzr7lt3OU09vwQwhkpOPPYv2Y/edit?usp=sharing"",""งบพรบ!DC83"")"),0)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IFERROR(__xludf.DUMMYFUNCTION("IMPORTRANGE(""https://docs.google.com/spreadsheets/d/1ItG2mGa2ceCfYo0BwxsXqNm01IGEUdYcSSLTEv9YCik/edit?usp=sharing"",""เบิกจ่ายกองทุน!BT83"")"),0)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IFERROR(__xludf.DUMMYFUNCTION("IMPORTRANGE(""https://docs.google.com/spreadsheets/d/1ItG2mGa2ceCfYo0BwxsXqNm01IGEUdYcSSLTEv9YCik/edit?usp=sharing"",""เบิกจ่ายกองทุน!BU83"")"),0)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IFERROR(__xludf.DUMMYFUNCTION("IMPORTRANGE(""https://docs.google.com/spreadsheets/d/1ItG2mGa2ceCfYo0BwxsXqNm01IGEUdYcSSLTEv9YCik/edit?usp=sharing"",""เบิกจ่ายกองทุน!BV83"")"),0)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87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IFERROR(__xludf.DUMMYFUNCTION("IMPORTRANGE(""https://docs.google.com/spreadsheets/d/1eHaY18a8A9IcSdp1K8H6x8fbOy06t2VsZHhMHf-1x7Y/edit?usp=sharing"",""แผน!AB83"")"),6000)</f>
        <v>6000</v>
      </c>
      <c r="M196" s="46"/>
      <c r="N196" s="769">
        <v>1900</v>
      </c>
      <c r="O196" s="132">
        <f ca="1">IF(L196&gt;0,N196*100/L196,0)</f>
        <v>31.666666666666668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IFERROR(__xludf.DUMMYFUNCTION("IMPORTRANGE(""https://docs.google.com/spreadsheets/d/1eHaY18a8A9IcSdp1K8H6x8fbOy06t2VsZHhMHf-1x7Y/edit?usp=sharing"",""แผน!AE83"")"),4)</f>
        <v>4</v>
      </c>
      <c r="J198" s="167">
        <v>2</v>
      </c>
      <c r="K198" s="47">
        <f ca="1">IF(I198&gt;0,J198*100/I198,0)</f>
        <v>50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47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47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hidden="1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0</v>
      </c>
      <c r="J202" s="228">
        <f>J209</f>
        <v>0</v>
      </c>
      <c r="K202" s="229">
        <f ca="1">IF(I202&gt;0,J202*100/I202,0)</f>
        <v>0</v>
      </c>
      <c r="L202" s="687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hidden="1" x14ac:dyDescent="0.3">
      <c r="A203" s="128"/>
      <c r="B203" s="41"/>
      <c r="C203" s="129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 t="e">
        <f ca="1">L204+L205+L206+L207</f>
        <v>#VALUE!</v>
      </c>
      <c r="M203" s="46"/>
      <c r="N203" s="132">
        <f>N204+N205+N206+N207</f>
        <v>0</v>
      </c>
      <c r="O203" s="132" t="e">
        <f ca="1">IF(L203&gt;0,N203*100/L203,0)</f>
        <v>#VALUE!</v>
      </c>
      <c r="P203" s="132">
        <f>IF(M203&gt;0,N203*100/M203,0)</f>
        <v>0</v>
      </c>
      <c r="Q203" s="768">
        <f ca="1">Q204+Q205+Q206+Q207</f>
        <v>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hidden="1" x14ac:dyDescent="0.25">
      <c r="A204" s="128"/>
      <c r="B204" s="159"/>
      <c r="C204" s="41"/>
      <c r="D204" s="48" t="s">
        <v>86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IFERROR(__xludf.DUMMYFUNCTION("IMPORTRANGE(""https://docs.google.com/spreadsheets/d/1eHaY18a8A9IcSdp1K8H6x8fbOy06t2VsZHhMHf-1x7Y/edit?usp=sharing"",""แผน!AG83"")"),0)</f>
        <v>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hidden="1" x14ac:dyDescent="0.25">
      <c r="A205" s="217"/>
      <c r="B205" s="159"/>
      <c r="C205" s="41"/>
      <c r="D205" s="48" t="s">
        <v>88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IFERROR(__xludf.DUMMYFUNCTION("IMPORTRANGE(""https://docs.google.com/spreadsheets/d/1eHaY18a8A9IcSdp1K8H6x8fbOy06t2VsZHhMHf-1x7Y/edit?usp=sharing"",""แผน!AH83"")"),0)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hidden="1" x14ac:dyDescent="0.25">
      <c r="A206" s="217"/>
      <c r="B206" s="159"/>
      <c r="C206" s="41"/>
      <c r="D206" s="48" t="s">
        <v>95</v>
      </c>
      <c r="E206" s="41"/>
      <c r="F206" s="41"/>
      <c r="G206" s="43"/>
      <c r="H206" s="44" t="s">
        <v>14</v>
      </c>
      <c r="I206" s="45"/>
      <c r="J206" s="45"/>
      <c r="K206" s="46"/>
      <c r="L206" s="548" t="str">
        <f ca="1">IFERROR(__xludf.DUMMYFUNCTION("IMPORTRANGE(""https://docs.google.com/spreadsheets/d/1eHaY18a8A9IcSdp1K8H6x8fbOy06t2VsZHhMHf-1x7Y/edit?usp=sharing"",""แผน!AI83"")"),"")</f>
        <v/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IFERROR(__xludf.DUMMYFUNCTION("IMPORTRANGE(""https://docs.google.com/spreadsheets/d/1eHaY18a8A9IcSdp1K8H6x8fbOy06t2VsZHhMHf-1x7Y/edit?usp=sharing"",""แผน!LV83"")"),0)</f>
        <v>0</v>
      </c>
      <c r="R206" s="46"/>
      <c r="S206" s="743">
        <v>0</v>
      </c>
      <c r="T206" s="136"/>
      <c r="U206" s="46"/>
    </row>
    <row r="207" spans="1:21" ht="18.75" hidden="1" x14ac:dyDescent="0.25">
      <c r="A207" s="217"/>
      <c r="B207" s="159"/>
      <c r="C207" s="41"/>
      <c r="D207" s="41"/>
      <c r="E207" s="41"/>
      <c r="F207" s="41"/>
      <c r="G207" s="43"/>
      <c r="H207" s="43"/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IFERROR(__xludf.DUMMYFUNCTION("IMPORTRANGE(""https://docs.google.com/spreadsheets/d/1eHaY18a8A9IcSdp1K8H6x8fbOy06t2VsZHhMHf-1x7Y/edit?usp=sharing"",""แผน!AJ83"")"),0)</f>
        <v>0</v>
      </c>
      <c r="M207" s="46"/>
      <c r="N207" s="743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hidden="1" x14ac:dyDescent="0.3">
      <c r="A208" s="138"/>
      <c r="B208" s="139"/>
      <c r="C208" s="129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hidden="1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IFERROR(__xludf.DUMMYFUNCTION("IMPORTRANGE(""https://docs.google.com/spreadsheets/d/1eHaY18a8A9IcSdp1K8H6x8fbOy06t2VsZHhMHf-1x7Y/edit?usp=sharing"",""แผน!AK83"")"),0)</f>
        <v>0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hidden="1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hidden="1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IFERROR(__xludf.DUMMYFUNCTION("IMPORTRANGE(""https://docs.google.com/spreadsheets/d/1eHaY18a8A9IcSdp1K8H6x8fbOy06t2VsZHhMHf-1x7Y/edit?usp=sharing"",""แผน!AK83"")"),0)</f>
        <v>0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hidden="1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IFERROR(__xludf.DUMMYFUNCTION("IMPORTRANGE(""https://docs.google.com/spreadsheets/d/1eHaY18a8A9IcSdp1K8H6x8fbOy06t2VsZHhMHf-1x7Y/edit?usp=sharing"",""แผน!AK83"")"),0)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7"/>
      <c r="M213" s="230"/>
      <c r="N213" s="230"/>
      <c r="O213" s="230"/>
      <c r="P213" s="230"/>
      <c r="Q213" s="687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IFERROR(__xludf.DUMMYFUNCTION("IMPORTRANGE(""https://docs.google.com/spreadsheets/d/1eHaY18a8A9IcSdp1K8H6x8fbOy06t2VsZHhMHf-1x7Y/edit?usp=sharing"",""แผน!AM83"")"),0)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IFERROR(__xludf.DUMMYFUNCTION("IMPORTRANGE(""https://docs.google.com/spreadsheets/d/1eHaY18a8A9IcSdp1K8H6x8fbOy06t2VsZHhMHf-1x7Y/edit?usp=sharing"",""แผน!AN83"")"),0)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IFERROR(__xludf.DUMMYFUNCTION("IMPORTRANGE(""https://docs.google.com/spreadsheets/d/1eHaY18a8A9IcSdp1K8H6x8fbOy06t2VsZHhMHf-1x7Y/edit?usp=sharing"",""แผน!AO83"")"),0)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IFERROR(__xludf.DUMMYFUNCTION("IMPORTRANGE(""https://docs.google.com/spreadsheets/d/1eHaY18a8A9IcSdp1K8H6x8fbOy06t2VsZHhMHf-1x7Y/edit?usp=sharing"",""แผน!LY83"")"),0)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IFERROR(__xludf.DUMMYFUNCTION("IMPORTRANGE(""https://docs.google.com/spreadsheets/d/1eHaY18a8A9IcSdp1K8H6x8fbOy06t2VsZHhMHf-1x7Y/edit?usp=sharing"",""แผน!AP83"")"),0)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IFERROR(__xludf.DUMMYFUNCTION("IMPORTRANGE(""https://docs.google.com/spreadsheets/d/1eHaY18a8A9IcSdp1K8H6x8fbOy06t2VsZHhMHf-1x7Y/edit?usp=sharing"",""แผน!AP83"")"),0)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hidden="1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0</v>
      </c>
      <c r="J221" s="228">
        <f>J229</f>
        <v>0</v>
      </c>
      <c r="K221" s="229">
        <f ca="1">IF(I221&gt;0,J221*100/I221,0)</f>
        <v>0</v>
      </c>
      <c r="L221" s="687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hidden="1" x14ac:dyDescent="0.3">
      <c r="A222" s="128"/>
      <c r="B222" s="41"/>
      <c r="C222" s="129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hidden="1" x14ac:dyDescent="0.25">
      <c r="A223" s="128"/>
      <c r="B223" s="159"/>
      <c r="C223" s="41"/>
      <c r="D223" s="48" t="s">
        <v>86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IFERROR(__xludf.DUMMYFUNCTION("IMPORTRANGE(""https://docs.google.com/spreadsheets/d/1eHaY18a8A9IcSdp1K8H6x8fbOy06t2VsZHhMHf-1x7Y/edit?usp=sharing"",""แผน!AR83"")"),0)</f>
        <v>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hidden="1" x14ac:dyDescent="0.25">
      <c r="A224" s="217"/>
      <c r="B224" s="159"/>
      <c r="C224" s="159"/>
      <c r="D224" s="48" t="s">
        <v>100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IFERROR(__xludf.DUMMYFUNCTION("IMPORTRANGE(""https://docs.google.com/spreadsheets/d/1eHaY18a8A9IcSdp1K8H6x8fbOy06t2VsZHhMHf-1x7Y/edit?usp=sharing"",""แผน!AS83"")"),0)</f>
        <v>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hidden="1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IFERROR(__xludf.DUMMYFUNCTION("IMPORTRANGE(""https://docs.google.com/spreadsheets/d/1eHaY18a8A9IcSdp1K8H6x8fbOy06t2VsZHhMHf-1x7Y/edit?usp=sharing"",""แผน!AT83"")"),0)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hidden="1" x14ac:dyDescent="0.3">
      <c r="A226" s="138"/>
      <c r="B226" s="139"/>
      <c r="C226" s="162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hidden="1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hidden="1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IFERROR(__xludf.DUMMYFUNCTION("IMPORTRANGE(""https://docs.google.com/spreadsheets/d/1eHaY18a8A9IcSdp1K8H6x8fbOy06t2VsZHhMHf-1x7Y/edit?usp=sharing"",""แผน!AV83"")"),0)</f>
        <v>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hidden="1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IFERROR(__xludf.DUMMYFUNCTION("IMPORTRANGE(""https://docs.google.com/spreadsheets/d/1eHaY18a8A9IcSdp1K8H6x8fbOy06t2VsZHhMHf-1x7Y/edit?usp=sharing"",""แผน!AV83"")"),0)</f>
        <v>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hidden="1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IFERROR(__xludf.DUMMYFUNCTION("IMPORTRANGE(""https://docs.google.com/spreadsheets/d/1eHaY18a8A9IcSdp1K8H6x8fbOy06t2VsZHhMHf-1x7Y/edit?usp=sharing"",""แผน!AU83"")"),0)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7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1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7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IFERROR(__xludf.DUMMYFUNCTION("IMPORTRANGE(""https://docs.google.com/spreadsheets/d/1eHaY18a8A9IcSdp1K8H6x8fbOy06t2VsZHhMHf-1x7Y/edit?usp=sharing"",""แผน!AX83"")"),0)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IFERROR(__xludf.DUMMYFUNCTION("IMPORTRANGE(""https://docs.google.com/spreadsheets/d/1eHaY18a8A9IcSdp1K8H6x8fbOy06t2VsZHhMHf-1x7Y/edit?usp=sharing"",""แผน!AY83"")"),0)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IFERROR(__xludf.DUMMYFUNCTION("IMPORTRANGE(""https://docs.google.com/spreadsheets/d/1eHaY18a8A9IcSdp1K8H6x8fbOy06t2VsZHhMHf-1x7Y/edit?usp=sharing"",""แผน!AZ83"")"),0)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IFERROR(__xludf.DUMMYFUNCTION("IMPORTRANGE(""https://docs.google.com/spreadsheets/d/1eHaY18a8A9IcSdp1K8H6x8fbOy06t2VsZHhMHf-1x7Y/edit?usp=sharing"",""แผน!BA83"")"),0)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1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IFERROR(__xludf.DUMMYFUNCTION("IMPORTRANGE(""https://docs.google.com/spreadsheets/d/1eHaY18a8A9IcSdp1K8H6x8fbOy06t2VsZHhMHf-1x7Y/edit?usp=sharing"",""แผน!BG83"")"),0)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7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IFERROR(__xludf.DUMMYFUNCTION("IMPORTRANGE(""https://docs.google.com/spreadsheets/d/1eHaY18a8A9IcSdp1K8H6x8fbOy06t2VsZHhMHf-1x7Y/edit?usp=sharing"",""แผน!BB83"")"),0)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IFERROR(__xludf.DUMMYFUNCTION("IMPORTRANGE(""https://docs.google.com/spreadsheets/d/1eHaY18a8A9IcSdp1K8H6x8fbOy06t2VsZHhMHf-1x7Y/edit?usp=sharing"",""แผน!BC83"")"),0)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IFERROR(__xludf.DUMMYFUNCTION("IMPORTRANGE(""https://docs.google.com/spreadsheets/d/1eHaY18a8A9IcSdp1K8H6x8fbOy06t2VsZHhMHf-1x7Y/edit?usp=sharing"",""แผน!BD83"")"),0)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IFERROR(__xludf.DUMMYFUNCTION("IMPORTRANGE(""https://docs.google.com/spreadsheets/d/1eHaY18a8A9IcSdp1K8H6x8fbOy06t2VsZHhMHf-1x7Y/edit?usp=sharing"",""แผน!BE83"")"),0)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1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IFERROR(__xludf.DUMMYFUNCTION("IMPORTRANGE(""https://docs.google.com/spreadsheets/d/1eHaY18a8A9IcSdp1K8H6x8fbOy06t2VsZHhMHf-1x7Y/edit?usp=sharing"",""แผน!BH83"")"),0)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0</v>
      </c>
      <c r="K265" s="725">
        <f ca="1">IF(I265&gt;0,J265*100/I265,0)</f>
        <v>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618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5000</v>
      </c>
      <c r="O266" s="421">
        <f ca="1">IF(L266&gt;0,N266*100/L266,0)</f>
        <v>100</v>
      </c>
      <c r="P266" s="421">
        <f ca="1">IF(M266&gt;0,N266*100/M266,0)</f>
        <v>100</v>
      </c>
      <c r="Q266" s="421">
        <f ca="1">Q267+Q268</f>
        <v>50660</v>
      </c>
      <c r="R266" s="421">
        <f ca="1">R267+R268</f>
        <v>50660</v>
      </c>
      <c r="S266" s="421">
        <f ca="1">S267+S268</f>
        <v>10935</v>
      </c>
      <c r="T266" s="421">
        <f ca="1">IF(Q266&gt;0,S266*100/Q266,0)</f>
        <v>21.585076983813661</v>
      </c>
      <c r="U266" s="421">
        <f ca="1">IF(R266&gt;0,S266*100/R266,0)</f>
        <v>21.585076983813661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5000</v>
      </c>
      <c r="O268" s="331">
        <f ca="1">IF(L268&gt;0,N268*100/L268,0)</f>
        <v>100</v>
      </c>
      <c r="P268" s="331">
        <f ca="1">IF(M268&gt;0,N268*100/M268,0)</f>
        <v>100</v>
      </c>
      <c r="Q268" s="331">
        <f ca="1">Q271+Q274</f>
        <v>50660</v>
      </c>
      <c r="R268" s="331">
        <f ca="1">R271+R274</f>
        <v>50660</v>
      </c>
      <c r="S268" s="331">
        <f ca="1">S271+S274</f>
        <v>10935</v>
      </c>
      <c r="T268" s="331">
        <f ca="1">IF(Q268&gt;0,S268*100/Q268,0)</f>
        <v>21.585076983813661</v>
      </c>
      <c r="U268" s="331">
        <f ca="1">IF(R268&gt;0,S268*100/R268,0)</f>
        <v>21.585076983813661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5000</v>
      </c>
      <c r="O269" s="331">
        <f ca="1">IF(L269&gt;0,N269*100/L269,0)</f>
        <v>100</v>
      </c>
      <c r="P269" s="331">
        <f ca="1">IF(M269&gt;0,N269*100/M269,0)</f>
        <v>100</v>
      </c>
      <c r="Q269" s="331">
        <f ca="1">Q270+Q271</f>
        <v>50660</v>
      </c>
      <c r="R269" s="331">
        <f ca="1">R270+R271</f>
        <v>50660</v>
      </c>
      <c r="S269" s="331">
        <f ca="1">S270+S271</f>
        <v>10935</v>
      </c>
      <c r="T269" s="331">
        <f ca="1">IF(Q269&gt;0,S269*100/Q269,0)</f>
        <v>21.585076983813661</v>
      </c>
      <c r="U269" s="331">
        <f ca="1">IF(R269&gt;0,S269*100/R269,0)</f>
        <v>21.585076983813661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IFERROR(__xludf.DUMMYFUNCTION("IMPORTRANGE(""https://docs.google.com/spreadsheets/d/1-uDff_7J0KD5mKrp0Vvzr7lt3OU09vwQwhkpOPPYv2Y/edit?usp=sharing"",""งบพรบ!DE83"")"),5000)</f>
        <v>5000</v>
      </c>
      <c r="M271" s="331">
        <f ca="1">IFERROR(__xludf.DUMMYFUNCTION("IMPORTRANGE(""https://docs.google.com/spreadsheets/d/1-uDff_7J0KD5mKrp0Vvzr7lt3OU09vwQwhkpOPPYv2Y/edit?usp=sharing"",""งบพรบ!DJ83"")"),5000)</f>
        <v>5000</v>
      </c>
      <c r="N271" s="331">
        <f ca="1">IFERROR(__xludf.DUMMYFUNCTION("IMPORTRANGE(""https://docs.google.com/spreadsheets/d/1-uDff_7J0KD5mKrp0Vvzr7lt3OU09vwQwhkpOPPYv2Y/edit?usp=sharing"",""งบพรบ!DL83"")"),5000)</f>
        <v>5000</v>
      </c>
      <c r="O271" s="331">
        <f ca="1">IF(L271&gt;0,N271*100/L271,0)</f>
        <v>100</v>
      </c>
      <c r="P271" s="331">
        <f ca="1">IF(M271&gt;0,N271*100/M271,0)</f>
        <v>100</v>
      </c>
      <c r="Q271" s="331">
        <f ca="1">IFERROR(__xludf.DUMMYFUNCTION("IMPORTRANGE(""https://docs.google.com/spreadsheets/d/1ItG2mGa2ceCfYo0BwxsXqNm01IGEUdYcSSLTEv9YCik/edit?usp=sharing"",""เบิกจ่ายกองทุน!AP83"")"),50660)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IFERROR(__xludf.DUMMYFUNCTION("IMPORTRANGE(""https://docs.google.com/spreadsheets/d/1ItG2mGa2ceCfYo0BwxsXqNm01IGEUdYcSSLTEv9YCik/edit?usp=sharing"",""เบิกจ่ายกองทุน!AQ83"")"),50660)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IFERROR(__xludf.DUMMYFUNCTION("IMPORTRANGE(""https://docs.google.com/spreadsheets/d/1ItG2mGa2ceCfYo0BwxsXqNm01IGEUdYcSSLTEv9YCik/edit?usp=sharing"",""เบิกจ่ายกองทุน!AR83"")"),10935)</f>
        <v>10935</v>
      </c>
      <c r="T271" s="331">
        <f ca="1">IF(Q271&gt;0,S271*100/Q271,0)</f>
        <v>21.585076983813661</v>
      </c>
      <c r="U271" s="331">
        <f ca="1">IF(R271&gt;0,S271*100/R271,0)</f>
        <v>21.585076983813661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IFERROR(__xludf.DUMMYFUNCTION("IMPORTRANGE(""https://docs.google.com/spreadsheets/d/1-uDff_7J0KD5mKrp0Vvzr7lt3OU09vwQwhkpOPPYv2Y/edit?usp=sharing"",""งบพรบ!DH83"")"),0)</f>
        <v>0</v>
      </c>
      <c r="M274" s="331">
        <f ca="1">IFERROR(__xludf.DUMMYFUNCTION("IMPORTRANGE(""https://docs.google.com/spreadsheets/d/1-uDff_7J0KD5mKrp0Vvzr7lt3OU09vwQwhkpOPPYv2Y/edit?usp=sharing"",""งบพรบ!DK83"")"),0)</f>
        <v>0</v>
      </c>
      <c r="N274" s="331">
        <f ca="1">IFERROR(__xludf.DUMMYFUNCTION("IMPORTRANGE(""https://docs.google.com/spreadsheets/d/1-uDff_7J0KD5mKrp0Vvzr7lt3OU09vwQwhkpOPPYv2Y/edit?usp=sharing"",""งบพรบ!DM83"")"),0)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423" t="s">
        <v>18</v>
      </c>
      <c r="D275" s="617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IFERROR(__xludf.DUMMYFUNCTION("IMPORTRANGE(""https://docs.google.com/spreadsheets/d/1eHaY18a8A9IcSdp1K8H6x8fbOy06t2VsZHhMHf-1x7Y/edit?usp=sharing"",""แผน!EC83"")"),22)</f>
        <v>22</v>
      </c>
      <c r="J276" s="175">
        <v>0</v>
      </c>
      <c r="K276" s="176">
        <f ca="1">IF(I276&gt;0,J276*100/I276,0)</f>
        <v>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IFERROR(__xludf.DUMMYFUNCTION("IMPORTRANGE(""https://docs.google.com/spreadsheets/d/1-uDff_7J0KD5mKrp0Vvzr7lt3OU09vwQwhkpOPPYv2Y/edit?usp=sharing"",""งบพรบ!DO83"")"),0)</f>
        <v>0</v>
      </c>
      <c r="M287" s="47">
        <f ca="1">IFERROR(__xludf.DUMMYFUNCTION("IMPORTRANGE(""https://docs.google.com/spreadsheets/d/1-uDff_7J0KD5mKrp0Vvzr7lt3OU09vwQwhkpOPPYv2Y/edit?usp=sharing"",""งบพรบ!DT83"")"),0)</f>
        <v>0</v>
      </c>
      <c r="N287" s="47">
        <f ca="1">IFERROR(__xludf.DUMMYFUNCTION("IMPORTRANGE(""https://docs.google.com/spreadsheets/d/1-uDff_7J0KD5mKrp0Vvzr7lt3OU09vwQwhkpOPPYv2Y/edit?usp=sharing"",""งบพรบ!DV83"")"),0)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IFERROR(__xludf.DUMMYFUNCTION("IMPORTRANGE(""https://docs.google.com/spreadsheets/d/1-uDff_7J0KD5mKrp0Vvzr7lt3OU09vwQwhkpOPPYv2Y/edit?usp=sharing"",""งบพรบ!DR83"")"),0)</f>
        <v>0</v>
      </c>
      <c r="M290" s="47">
        <f ca="1">IFERROR(__xludf.DUMMYFUNCTION("IMPORTRANGE(""https://docs.google.com/spreadsheets/d/1-uDff_7J0KD5mKrp0Vvzr7lt3OU09vwQwhkpOPPYv2Y/edit?usp=sharing"",""งบพรบ!DU83"")"),0)</f>
        <v>0</v>
      </c>
      <c r="N290" s="47">
        <f ca="1">IFERROR(__xludf.DUMMYFUNCTION("IMPORTRANGE(""https://docs.google.com/spreadsheets/d/1-uDff_7J0KD5mKrp0Vvzr7lt3OU09vwQwhkpOPPYv2Y/edit?usp=sharing"",""งบพรบ!DW83"")"),0)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IFERROR(__xludf.DUMMYFUNCTION("IMPORTRANGE(""https://docs.google.com/spreadsheets/d/1eHaY18a8A9IcSdp1K8H6x8fbOy06t2VsZHhMHf-1x7Y/edit?usp=sharing"",""แผน!EE83"")"),0)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IFERROR(__xludf.DUMMYFUNCTION("IMPORTRANGE(""https://docs.google.com/spreadsheets/d/1eHaY18a8A9IcSdp1K8H6x8fbOy06t2VsZHhMHf-1x7Y/edit?usp=sharing"",""แผน!ED83"")"),0)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IFERROR(__xludf.DUMMYFUNCTION("IMPORTRANGE(""https://docs.google.com/spreadsheets/d/1eHaY18a8A9IcSdp1K8H6x8fbOy06t2VsZHhMHf-1x7Y/edit?usp=sharing"",""แผน!ED83"")"),0)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IFERROR(__xludf.DUMMYFUNCTION("IMPORTRANGE(""https://docs.google.com/spreadsheets/d/1eHaY18a8A9IcSdp1K8H6x8fbOy06t2VsZHhMHf-1x7Y/edit?usp=sharing"",""แผน!ED83"")"),0)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1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1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hidden="1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700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hidden="1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hidden="1" x14ac:dyDescent="0.3">
      <c r="A303" s="128"/>
      <c r="B303" s="41"/>
      <c r="C303" s="129" t="s">
        <v>18</v>
      </c>
      <c r="D303" s="59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0</v>
      </c>
      <c r="R305" s="47">
        <f ca="1">R308+R311</f>
        <v>0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hidden="1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IFERROR(__xludf.DUMMYFUNCTION("IMPORTRANGE(""https://docs.google.com/spreadsheets/d/1-uDff_7J0KD5mKrp0Vvzr7lt3OU09vwQwhkpOPPYv2Y/edit?usp=sharing"",""งบพรบ!DY83"")"),0)</f>
        <v>0</v>
      </c>
      <c r="M308" s="47">
        <f ca="1">IFERROR(__xludf.DUMMYFUNCTION("IMPORTRANGE(""https://docs.google.com/spreadsheets/d/1-uDff_7J0KD5mKrp0Vvzr7lt3OU09vwQwhkpOPPYv2Y/edit?usp=sharing"",""งบพรบ!ED83"")"),0)</f>
        <v>0</v>
      </c>
      <c r="N308" s="47">
        <f ca="1">IFERROR(__xludf.DUMMYFUNCTION("IMPORTRANGE(""https://docs.google.com/spreadsheets/d/1-uDff_7J0KD5mKrp0Vvzr7lt3OU09vwQwhkpOPPYv2Y/edit?usp=sharing"",""งบพรบ!EF83"")"),0)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IFERROR(__xludf.DUMMYFUNCTION("IMPORTRANGE(""https://docs.google.com/spreadsheets/d/1ItG2mGa2ceCfYo0BwxsXqNm01IGEUdYcSSLTEv9YCik/edit?usp=sharing"",""เบิกจ่ายกองทุน!BB83"")"),0)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IFERROR(__xludf.DUMMYFUNCTION("IMPORTRANGE(""https://docs.google.com/spreadsheets/d/1ItG2mGa2ceCfYo0BwxsXqNm01IGEUdYcSSLTEv9YCik/edit?usp=sharing"",""เบิกจ่ายกองทุน!BC83"")"),0)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IFERROR(__xludf.DUMMYFUNCTION("IMPORTRANGE(""https://docs.google.com/spreadsheets/d/1ItG2mGa2ceCfYo0BwxsXqNm01IGEUdYcSSLTEv9YCik/edit?usp=sharing"",""เบิกจ่ายกองทุน!BD83"")"),0)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hidden="1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IFERROR(__xludf.DUMMYFUNCTION("IMPORTRANGE(""https://docs.google.com/spreadsheets/d/1-uDff_7J0KD5mKrp0Vvzr7lt3OU09vwQwhkpOPPYv2Y/edit?usp=sharing"",""งบพรบ!EB83"")"),0)</f>
        <v>0</v>
      </c>
      <c r="M311" s="47">
        <f ca="1">IFERROR(__xludf.DUMMYFUNCTION("IMPORTRANGE(""https://docs.google.com/spreadsheets/d/1-uDff_7J0KD5mKrp0Vvzr7lt3OU09vwQwhkpOPPYv2Y/edit?usp=sharing"",""งบพรบ!EE83"")"),0)</f>
        <v>0</v>
      </c>
      <c r="N311" s="47">
        <f ca="1">IFERROR(__xludf.DUMMYFUNCTION("IMPORTRANGE(""https://docs.google.com/spreadsheets/d/1-uDff_7J0KD5mKrp0Vvzr7lt3OU09vwQwhkpOPPYv2Y/edit?usp=sharing"",""งบพรบ!EG83"")"),0)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hidden="1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9"/>
      <c r="E313" s="19"/>
      <c r="F313" s="19"/>
      <c r="G313" s="20"/>
      <c r="H313" s="20"/>
      <c r="I313" s="21"/>
      <c r="J313" s="707"/>
      <c r="K313" s="22"/>
      <c r="L313" s="701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IFERROR(__xludf.DUMMYFUNCTION("IMPORTRANGE(""https://docs.google.com/spreadsheets/d/1eHaY18a8A9IcSdp1K8H6x8fbOy06t2VsZHhMHf-1x7Y/edit?usp=sharing"",""แผน!EF83"")"),0)</f>
        <v>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9"/>
      <c r="E315" s="19"/>
      <c r="F315" s="19"/>
      <c r="G315" s="20"/>
      <c r="H315" s="708"/>
      <c r="I315" s="707"/>
      <c r="J315" s="707"/>
      <c r="K315" s="706"/>
      <c r="L315" s="701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9"/>
      <c r="E316" s="19"/>
      <c r="F316" s="19"/>
      <c r="G316" s="20"/>
      <c r="H316" s="708"/>
      <c r="I316" s="707"/>
      <c r="J316" s="707"/>
      <c r="K316" s="706"/>
      <c r="L316" s="701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5"/>
      <c r="E317" s="19"/>
      <c r="F317" s="19"/>
      <c r="G317" s="20"/>
      <c r="H317" s="704"/>
      <c r="I317" s="703"/>
      <c r="J317" s="703"/>
      <c r="K317" s="702"/>
      <c r="L317" s="701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700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IFERROR(__xludf.DUMMYFUNCTION("IMPORTRANGE(""https://docs.google.com/spreadsheets/d/1-uDff_7J0KD5mKrp0Vvzr7lt3OU09vwQwhkpOPPYv2Y/edit?usp=sharing"",""งบพรบ!EI83"")"),0)</f>
        <v>0</v>
      </c>
      <c r="M325" s="47">
        <f ca="1">IFERROR(__xludf.DUMMYFUNCTION("IMPORTRANGE(""https://docs.google.com/spreadsheets/d/1-uDff_7J0KD5mKrp0Vvzr7lt3OU09vwQwhkpOPPYv2Y/edit?usp=sharing"",""งบพรบ!EN83"")"),0)</f>
        <v>0</v>
      </c>
      <c r="N325" s="47">
        <f ca="1">IFERROR(__xludf.DUMMYFUNCTION("IMPORTRANGE(""https://docs.google.com/spreadsheets/d/1-uDff_7J0KD5mKrp0Vvzr7lt3OU09vwQwhkpOPPYv2Y/edit?usp=sharing"",""งบพรบ!EP83"")"),0)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IFERROR(__xludf.DUMMYFUNCTION("IMPORTRANGE(""https://docs.google.com/spreadsheets/d/1-uDff_7J0KD5mKrp0Vvzr7lt3OU09vwQwhkpOPPYv2Y/edit?usp=sharing"",""งบพรบ!EL83"")"),0)</f>
        <v>0</v>
      </c>
      <c r="M328" s="47">
        <f ca="1">IFERROR(__xludf.DUMMYFUNCTION("IMPORTRANGE(""https://docs.google.com/spreadsheets/d/1-uDff_7J0KD5mKrp0Vvzr7lt3OU09vwQwhkpOPPYv2Y/edit?usp=sharing"",""งบพรบ!EO83"")"),0)</f>
        <v>0</v>
      </c>
      <c r="N328" s="47">
        <f ca="1">IFERROR(__xludf.DUMMYFUNCTION("IMPORTRANGE(""https://docs.google.com/spreadsheets/d/1-uDff_7J0KD5mKrp0Vvzr7lt3OU09vwQwhkpOPPYv2Y/edit?usp=sharing"",""งบพรบ!EQ83"")"),0)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IFERROR(__xludf.DUMMYFUNCTION("IMPORTRANGE(""https://docs.google.com/spreadsheets/d/1eHaY18a8A9IcSdp1K8H6x8fbOy06t2VsZHhMHf-1x7Y/edit?usp=sharing"",""แผน!EJ83"")"),0)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700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9">
        <f ca="1">I344</f>
        <v>120</v>
      </c>
      <c r="J332" s="698">
        <f ca="1">J344+J347+J348+J349+J353</f>
        <v>378</v>
      </c>
      <c r="K332" s="697">
        <f ca="1">IF(I332&gt;0,J332*100/I332,0)</f>
        <v>315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9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356800</v>
      </c>
      <c r="M333" s="132">
        <f ca="1">M334+M335</f>
        <v>356800</v>
      </c>
      <c r="N333" s="132">
        <f ca="1">N334+N335</f>
        <v>200076.96</v>
      </c>
      <c r="O333" s="132">
        <f ca="1">IF(L333&gt;0,N333*100/L333,0)</f>
        <v>56.075381165919282</v>
      </c>
      <c r="P333" s="132">
        <f ca="1">IF(M333&gt;0,N333*100/M333,0)</f>
        <v>56.075381165919282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356800</v>
      </c>
      <c r="M335" s="47">
        <f ca="1">M338+M341</f>
        <v>356800</v>
      </c>
      <c r="N335" s="47">
        <f ca="1">N338+N341</f>
        <v>200076.96</v>
      </c>
      <c r="O335" s="47">
        <f ca="1">IF(L335&gt;0,N335*100/L335,0)</f>
        <v>56.075381165919282</v>
      </c>
      <c r="P335" s="47">
        <f ca="1">IF(M335&gt;0,N335*100/M335,0)</f>
        <v>56.075381165919282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356800</v>
      </c>
      <c r="M336" s="47">
        <f ca="1">M337+M338</f>
        <v>356800</v>
      </c>
      <c r="N336" s="47">
        <f ca="1">N337+N338</f>
        <v>200076.96</v>
      </c>
      <c r="O336" s="47">
        <f ca="1">IF(L336&gt;0,N336*100/L336,0)</f>
        <v>56.075381165919282</v>
      </c>
      <c r="P336" s="47">
        <f ca="1">IF(M336&gt;0,N336*100/M336,0)</f>
        <v>56.075381165919282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IFERROR(__xludf.DUMMYFUNCTION("IMPORTRANGE(""https://docs.google.com/spreadsheets/d/1-uDff_7J0KD5mKrp0Vvzr7lt3OU09vwQwhkpOPPYv2Y/edit?usp=sharing"",""งบพรบ!ES83"")"),356800)</f>
        <v>356800</v>
      </c>
      <c r="M338" s="47">
        <f ca="1">IFERROR(__xludf.DUMMYFUNCTION("IMPORTRANGE(""https://docs.google.com/spreadsheets/d/1-uDff_7J0KD5mKrp0Vvzr7lt3OU09vwQwhkpOPPYv2Y/edit?usp=sharing"",""งบพรบ!EX83"")"),356800)</f>
        <v>356800</v>
      </c>
      <c r="N338" s="47">
        <f ca="1">IFERROR(__xludf.DUMMYFUNCTION("IMPORTRANGE(""https://docs.google.com/spreadsheets/d/1-uDff_7J0KD5mKrp0Vvzr7lt3OU09vwQwhkpOPPYv2Y/edit?usp=sharing"",""งบพรบ!EZ83"")"),200076.96)</f>
        <v>200076.96</v>
      </c>
      <c r="O338" s="47">
        <f ca="1">IF(L338&gt;0,N338*100/L338,0)</f>
        <v>56.075381165919282</v>
      </c>
      <c r="P338" s="47">
        <f ca="1">IF(M338&gt;0,N338*100/M338,0)</f>
        <v>56.075381165919282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IFERROR(__xludf.DUMMYFUNCTION("IMPORTRANGE(""https://docs.google.com/spreadsheets/d/1-uDff_7J0KD5mKrp0Vvzr7lt3OU09vwQwhkpOPPYv2Y/edit?usp=sharing"",""งบพรบ!EV83"")"),0)</f>
        <v>0</v>
      </c>
      <c r="M341" s="47">
        <f ca="1">IFERROR(__xludf.DUMMYFUNCTION("IMPORTRANGE(""https://docs.google.com/spreadsheets/d/1-uDff_7J0KD5mKrp0Vvzr7lt3OU09vwQwhkpOPPYv2Y/edit?usp=sharing"",""งบพรบ!EY83"")"),0)</f>
        <v>0</v>
      </c>
      <c r="N341" s="47">
        <f ca="1">IFERROR(__xludf.DUMMYFUNCTION("IMPORTRANGE(""https://docs.google.com/spreadsheets/d/1-uDff_7J0KD5mKrp0Vvzr7lt3OU09vwQwhkpOPPYv2Y/edit?usp=sharing"",""งบพรบ!FA83"")"),0)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6"/>
      <c r="B343" s="693"/>
      <c r="C343" s="695"/>
      <c r="D343" s="693"/>
      <c r="E343" s="694" t="s">
        <v>137</v>
      </c>
      <c r="F343" s="693"/>
      <c r="G343" s="692"/>
      <c r="H343" s="691" t="s">
        <v>35</v>
      </c>
      <c r="I343" s="690">
        <v>0</v>
      </c>
      <c r="J343" s="690">
        <f ca="1">J344+J347+J348+J349</f>
        <v>148</v>
      </c>
      <c r="K343" s="689">
        <v>0</v>
      </c>
      <c r="L343" s="687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IFERROR(__xludf.DUMMYFUNCTION("IMPORTRANGE(""https://docs.google.com/spreadsheets/d/1eHaY18a8A9IcSdp1K8H6x8fbOy06t2VsZHhMHf-1x7Y/edit?usp=sharing"",""แผน!EK83"")"),120)</f>
        <v>120</v>
      </c>
      <c r="J344" s="152">
        <f ca="1">IFERROR(__xludf.DUMMYFUNCTION("IMPORTRANGE(""https://docs.google.com/spreadsheets/d/1awYsYK3VOup2i3Pq_Yjnu8DRu_mYwSBnCR2QPthd0rU/edit?usp=sharing"",""ศูนย์ยกเว้นโฉนด!D83"")"),148)</f>
        <v>148</v>
      </c>
      <c r="K344" s="47">
        <f ca="1">IF(I344&gt;0,J344*100/I344,0)</f>
        <v>123.33333333333333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IFERROR(__xludf.DUMMYFUNCTION("IMPORTRANGE(""https://docs.google.com/spreadsheets/d/1eHaY18a8A9IcSdp1K8H6x8fbOy06t2VsZHhMHf-1x7Y/edit?usp=sharing"",""แผน!EL83"")"),1)</f>
        <v>1</v>
      </c>
      <c r="J346" s="152">
        <f ca="1">IFERROR(__xludf.DUMMYFUNCTION("IMPORTRANGE(""https://docs.google.com/spreadsheets/d/1awYsYK3VOup2i3Pq_Yjnu8DRu_mYwSBnCR2QPthd0rU/edit?usp=sharing"",""ศูนย์รวม!E83"")"),0)</f>
        <v>0</v>
      </c>
      <c r="K346" s="47">
        <f ca="1">IF(I346&gt;0,J346*100/I346,0)</f>
        <v>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IFERROR(__xludf.DUMMYFUNCTION("IMPORTRANGE(""https://docs.google.com/spreadsheets/d/1awYsYK3VOup2i3Pq_Yjnu8DRu_mYwSBnCR2QPthd0rU/edit?usp=sharing"",""ศูนย์ยกเว้นโฉนด!F83"")"),0)</f>
        <v>0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IFERROR(__xludf.DUMMYFUNCTION("IMPORTRANGE(""https://docs.google.com/spreadsheets/d/1awYsYK3VOup2i3Pq_Yjnu8DRu_mYwSBnCR2QPthd0rU/edit?usp=sharing"",""ศูนย์ยกเว้นโฉนด!G83"")"),0)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IFERROR(__xludf.DUMMYFUNCTION("IMPORTRANGE(""https://docs.google.com/spreadsheets/d/1awYsYK3VOup2i3Pq_Yjnu8DRu_mYwSBnCR2QPthd0rU/edit?usp=sharing"",""ศูนย์ยกเว้นโฉนด!H83"")"),0)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8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254</v>
      </c>
      <c r="K351" s="229">
        <v>0</v>
      </c>
      <c r="L351" s="687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IFERROR(__xludf.DUMMYFUNCTION("IMPORTRANGE(""https://docs.google.com/spreadsheets/d/1awYsYK3VOup2i3Pq_Yjnu8DRu_mYwSBnCR2QPthd0rU/edit?usp=sharing"",""โฉนดM3!G83"")"),24)</f>
        <v>24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IFERROR(__xludf.DUMMYFUNCTION("IMPORTRANGE(""https://docs.google.com/spreadsheets/d/1awYsYK3VOup2i3Pq_Yjnu8DRu_mYwSBnCR2QPthd0rU/edit?usp=sharing"",""โฉนดM3!H83"")"),230)</f>
        <v>230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9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363490</v>
      </c>
      <c r="M356" s="132">
        <f ca="1">M357+M358</f>
        <v>363490</v>
      </c>
      <c r="N356" s="132">
        <f ca="1">N357+N358</f>
        <v>220365</v>
      </c>
      <c r="O356" s="132">
        <f ca="1">IF(L356&gt;0,N356*100/L356,0)</f>
        <v>60.624776472530193</v>
      </c>
      <c r="P356" s="132">
        <f ca="1">IF(M356&gt;0,N356*100/M356,0)</f>
        <v>60.624776472530193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363490</v>
      </c>
      <c r="M358" s="47">
        <f ca="1">M361+M364</f>
        <v>363490</v>
      </c>
      <c r="N358" s="47">
        <f ca="1">N361+N364</f>
        <v>220365</v>
      </c>
      <c r="O358" s="47">
        <f ca="1">IF(L358&gt;0,N358*100/L358,0)</f>
        <v>60.624776472530193</v>
      </c>
      <c r="P358" s="47">
        <f ca="1">IF(M358&gt;0,N358*100/M358,0)</f>
        <v>60.624776472530193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363490</v>
      </c>
      <c r="M359" s="47">
        <f ca="1">M360+M361</f>
        <v>363490</v>
      </c>
      <c r="N359" s="47">
        <f ca="1">N360+N361</f>
        <v>220365</v>
      </c>
      <c r="O359" s="47">
        <f ca="1">IF(L359&gt;0,N359*100/L359,0)</f>
        <v>60.624776472530193</v>
      </c>
      <c r="P359" s="47">
        <f ca="1">IF(M359&gt;0,N359*100/M359,0)</f>
        <v>60.624776472530193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IFERROR(__xludf.DUMMYFUNCTION("IMPORTRANGE(""https://docs.google.com/spreadsheets/d/1-uDff_7J0KD5mKrp0Vvzr7lt3OU09vwQwhkpOPPYv2Y/edit?usp=sharing"",""งบพรบ!FC83"")"),363490)</f>
        <v>363490</v>
      </c>
      <c r="M361" s="47">
        <f ca="1">IFERROR(__xludf.DUMMYFUNCTION("IMPORTRANGE(""https://docs.google.com/spreadsheets/d/1-uDff_7J0KD5mKrp0Vvzr7lt3OU09vwQwhkpOPPYv2Y/edit?usp=sharing"",""งบพรบ!FH83"")"),363490)</f>
        <v>363490</v>
      </c>
      <c r="N361" s="47">
        <f ca="1">IFERROR(__xludf.DUMMYFUNCTION("IMPORTRANGE(""https://docs.google.com/spreadsheets/d/1-uDff_7J0KD5mKrp0Vvzr7lt3OU09vwQwhkpOPPYv2Y/edit?usp=sharing"",""งบพรบ!FJ83"")"),220365)</f>
        <v>220365</v>
      </c>
      <c r="O361" s="47">
        <f ca="1">IF(L361&gt;0,N361*100/L361,0)</f>
        <v>60.624776472530193</v>
      </c>
      <c r="P361" s="47">
        <f ca="1">IF(M361&gt;0,N361*100/M361,0)</f>
        <v>60.624776472530193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IFERROR(__xludf.DUMMYFUNCTION("IMPORTRANGE(""https://docs.google.com/spreadsheets/d/1-uDff_7J0KD5mKrp0Vvzr7lt3OU09vwQwhkpOPPYv2Y/edit?usp=sharing"",""งบพรบ!FF83"")"),0)</f>
        <v>0</v>
      </c>
      <c r="M364" s="47">
        <f ca="1">IFERROR(__xludf.DUMMYFUNCTION("IMPORTRANGE(""https://docs.google.com/spreadsheets/d/1-uDff_7J0KD5mKrp0Vvzr7lt3OU09vwQwhkpOPPYv2Y/edit?usp=sharing"",""งบพรบ!FI83"")"),0)</f>
        <v>0</v>
      </c>
      <c r="N364" s="47">
        <f ca="1">IFERROR(__xludf.DUMMYFUNCTION("IMPORTRANGE(""https://docs.google.com/spreadsheets/d/1-uDff_7J0KD5mKrp0Vvzr7lt3OU09vwQwhkpOPPYv2Y/edit?usp=sharing"",""งบพรบ!FK83"")"),0)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8" t="s">
        <v>149</v>
      </c>
      <c r="E365" s="225"/>
      <c r="F365" s="225"/>
      <c r="G365" s="226"/>
      <c r="H365" s="234" t="s">
        <v>35</v>
      </c>
      <c r="I365" s="228">
        <f ca="1">I371</f>
        <v>42</v>
      </c>
      <c r="J365" s="228">
        <f ca="1">J371</f>
        <v>36</v>
      </c>
      <c r="K365" s="229">
        <f ca="1">IF(I365&gt;0,J365*100/I365,0)</f>
        <v>85.714285714285708</v>
      </c>
      <c r="L365" s="687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IFERROR(__xludf.DUMMYFUNCTION("IMPORTRANGE(""https://docs.google.com/spreadsheets/d/1tdoBKaGub7dwA3U6UFTqxio9LNnvDCQjHKmttSEBsFQ/edit?usp=sharing"",""จัดที่ดิน!AB83"")"),21)</f>
        <v>21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IFERROR(__xludf.DUMMYFUNCTION("IMPORTRANGE(""https://docs.google.com/spreadsheets/d/1eHaY18a8A9IcSdp1K8H6x8fbOy06t2VsZHhMHf-1x7Y/edit?usp=sharing"",""แผน!EW83"")"),175)</f>
        <v>175</v>
      </c>
      <c r="J368" s="686">
        <f ca="1">IFERROR(__xludf.DUMMYFUNCTION("IMPORTRANGE(""https://docs.google.com/spreadsheets/d/1tdoBKaGub7dwA3U6UFTqxio9LNnvDCQjHKmttSEBsFQ/edit?usp=sharing"",""จัดที่ดิน!AC83"")"),76.5)</f>
        <v>76.5</v>
      </c>
      <c r="K368" s="47">
        <f ca="1">IF(I368&gt;0,J368*100/I368,0)</f>
        <v>43.714285714285715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IFERROR(__xludf.DUMMYFUNCTION("IMPORTRANGE(""https://docs.google.com/spreadsheets/d/1eHaY18a8A9IcSdp1K8H6x8fbOy06t2VsZHhMHf-1x7Y/edit?usp=sharing"",""แผน!EX83"")"),42)</f>
        <v>42</v>
      </c>
      <c r="J369" s="152">
        <f ca="1">IFERROR(__xludf.DUMMYFUNCTION("IMPORTRANGE(""https://docs.google.com/spreadsheets/d/1tdoBKaGub7dwA3U6UFTqxio9LNnvDCQjHKmttSEBsFQ/edit?usp=sharing"",""จัดที่ดิน!AD83"")"),36)</f>
        <v>36</v>
      </c>
      <c r="K369" s="47">
        <f ca="1">IF(I369&gt;0,J369*100/I369,0)</f>
        <v>85.714285714285708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6">
        <f ca="1">IFERROR(__xludf.DUMMYFUNCTION("IMPORTRANGE(""https://docs.google.com/spreadsheets/d/1tdoBKaGub7dwA3U6UFTqxio9LNnvDCQjHKmttSEBsFQ/edit?usp=sharing"",""จัดที่ดิน!AE83"")"),283.88)</f>
        <v>283.88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IFERROR(__xludf.DUMMYFUNCTION("IMPORTRANGE(""https://docs.google.com/spreadsheets/d/1eHaY18a8A9IcSdp1K8H6x8fbOy06t2VsZHhMHf-1x7Y/edit?usp=sharing"",""แผน!EY83"")"),42)</f>
        <v>42</v>
      </c>
      <c r="J371" s="152">
        <f ca="1">IFERROR(__xludf.DUMMYFUNCTION("IMPORTRANGE(""https://docs.google.com/spreadsheets/d/1tdoBKaGub7dwA3U6UFTqxio9LNnvDCQjHKmttSEBsFQ/edit?usp=sharing"",""จัดที่ดิน!AF83"")"),36)</f>
        <v>36</v>
      </c>
      <c r="K371" s="47">
        <f ca="1">IF(I371&gt;0,J371*100/I371,0)</f>
        <v>85.714285714285708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6">
        <f ca="1">IFERROR(__xludf.DUMMYFUNCTION("IMPORTRANGE(""https://docs.google.com/spreadsheets/d/1tdoBKaGub7dwA3U6UFTqxio9LNnvDCQjHKmttSEBsFQ/edit?usp=sharing"",""จัดที่ดิน!AG83"")"),283.88)</f>
        <v>283.88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5"/>
      <c r="B374" s="684" t="s">
        <v>153</v>
      </c>
      <c r="C374" s="683"/>
      <c r="D374" s="682"/>
      <c r="E374" s="681"/>
      <c r="F374" s="681"/>
      <c r="G374" s="680"/>
      <c r="H374" s="679" t="s">
        <v>46</v>
      </c>
      <c r="I374" s="678">
        <f ca="1">I386+I388</f>
        <v>200</v>
      </c>
      <c r="J374" s="678">
        <f ca="1">J386+J388</f>
        <v>0</v>
      </c>
      <c r="K374" s="677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41000</v>
      </c>
      <c r="M375" s="132">
        <f ca="1">M376+M377</f>
        <v>41000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12500</v>
      </c>
      <c r="R375" s="132">
        <f ca="1">R376+R377</f>
        <v>12500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41000</v>
      </c>
      <c r="M377" s="47">
        <f ca="1">M380+M383</f>
        <v>41000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12500</v>
      </c>
      <c r="R377" s="47">
        <f ca="1">R380+R383</f>
        <v>12500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41000</v>
      </c>
      <c r="M378" s="47">
        <f ca="1">M379+M380</f>
        <v>41000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12500</v>
      </c>
      <c r="R378" s="47">
        <f ca="1">R379+R380</f>
        <v>12500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IFERROR(__xludf.DUMMYFUNCTION("IMPORTRANGE(""https://docs.google.com/spreadsheets/d/1-uDff_7J0KD5mKrp0Vvzr7lt3OU09vwQwhkpOPPYv2Y/edit?usp=sharing"",""งบพรบ!IE83"")"),41000)</f>
        <v>41000</v>
      </c>
      <c r="M380" s="47">
        <f ca="1">IFERROR(__xludf.DUMMYFUNCTION("IMPORTRANGE(""https://docs.google.com/spreadsheets/d/1-uDff_7J0KD5mKrp0Vvzr7lt3OU09vwQwhkpOPPYv2Y/edit?usp=sharing"",""งบพรบ!IJ83"")"),41000)</f>
        <v>41000</v>
      </c>
      <c r="N380" s="47">
        <f ca="1">IFERROR(__xludf.DUMMYFUNCTION("IMPORTRANGE(""https://docs.google.com/spreadsheets/d/1-uDff_7J0KD5mKrp0Vvzr7lt3OU09vwQwhkpOPPYv2Y/edit?usp=sharing"",""งบพรบ!IL83"")"),0)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IFERROR(__xludf.DUMMYFUNCTION("IMPORTRANGE(""https://docs.google.com/spreadsheets/d/1ItG2mGa2ceCfYo0BwxsXqNm01IGEUdYcSSLTEv9YCik/edit?usp=sharing"",""เบิกจ่ายกองทุน!BW83"")"),12500)</f>
        <v>12500</v>
      </c>
      <c r="R380" s="47">
        <f ca="1">IFERROR(__xludf.DUMMYFUNCTION("IMPORTRANGE(""https://docs.google.com/spreadsheets/d/1ItG2mGa2ceCfYo0BwxsXqNm01IGEUdYcSSLTEv9YCik/edit?usp=sharing"",""เบิกจ่ายกองทุน!BX83"")"),12500)</f>
        <v>12500</v>
      </c>
      <c r="S380" s="47">
        <f ca="1">IFERROR(__xludf.DUMMYFUNCTION("IMPORTRANGE(""https://docs.google.com/spreadsheets/d/1ItG2mGa2ceCfYo0BwxsXqNm01IGEUdYcSSLTEv9YCik/edit?usp=sharing"",""เบิกจ่ายกองทุน!BY83"")"),0)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IFERROR(__xludf.DUMMYFUNCTION("IMPORTRANGE(""https://docs.google.com/spreadsheets/d/1-uDff_7J0KD5mKrp0Vvzr7lt3OU09vwQwhkpOPPYv2Y/edit?usp=sharing"",""งบพรบ!IH83"")"),0)</f>
        <v>0</v>
      </c>
      <c r="M383" s="47">
        <f ca="1">IFERROR(__xludf.DUMMYFUNCTION("IMPORTRANGE(""https://docs.google.com/spreadsheets/d/1-uDff_7J0KD5mKrp0Vvzr7lt3OU09vwQwhkpOPPYv2Y/edit?usp=sharing"",""งบพรบ!IK83"")"),0)</f>
        <v>0</v>
      </c>
      <c r="N383" s="47">
        <f ca="1">IFERROR(__xludf.DUMMYFUNCTION("IMPORTRANGE(""https://docs.google.com/spreadsheets/d/1-uDff_7J0KD5mKrp0Vvzr7lt3OU09vwQwhkpOPPYv2Y/edit?usp=sharing"",""งบพรบ!IM83"")"),0)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IFERROR(__xludf.DUMMYFUNCTION("IMPORTRANGE(""https://docs.google.com/spreadsheets/d/1w5rwWK1o49a35cNtocGL0gxDwhFSTZUQu90BiH9_zqM/edit?usp=sharing"",""RTK!H83"")"),0)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IFERROR(__xludf.DUMMYFUNCTION("IMPORTRANGE(""https://docs.google.com/spreadsheets/d/1w5rwWK1o49a35cNtocGL0gxDwhFSTZUQu90BiH9_zqM/edit?usp=sharing"",""RTK!G83"")"),200)</f>
        <v>200</v>
      </c>
      <c r="J386" s="152">
        <f ca="1">IFERROR(__xludf.DUMMYFUNCTION("IMPORTRANGE(""https://docs.google.com/spreadsheets/d/1w5rwWK1o49a35cNtocGL0gxDwhFSTZUQu90BiH9_zqM/edit?usp=sharing"",""RTK!I83"")"),0)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326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IFERROR(__xludf.DUMMYFUNCTION("IMPORTRANGE(""https://docs.google.com/spreadsheets/d/1w5rwWK1o49a35cNtocGL0gxDwhFSTZUQu90BiH9_zqM/edit?usp=sharing"",""RTK!L83"")"),0)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326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IFERROR(__xludf.DUMMYFUNCTION("IMPORTRANGE(""https://docs.google.com/spreadsheets/d/1w5rwWK1o49a35cNtocGL0gxDwhFSTZUQu90BiH9_zqM/edit?usp=sharing"",""RTK!K83"")"),0)</f>
        <v>0</v>
      </c>
      <c r="J388" s="330">
        <f ca="1">IFERROR(__xludf.DUMMYFUNCTION("IMPORTRANGE(""https://docs.google.com/spreadsheets/d/1w5rwWK1o49a35cNtocGL0gxDwhFSTZUQu90BiH9_zqM/edit?usp=sharing"",""RTK!M83"")"),0)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89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33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IFERROR(__xludf.DUMMYFUNCTION("IMPORTRANGE(""https://docs.google.com/spreadsheets/d/1ItG2mGa2ceCfYo0BwxsXqNm01IGEUdYcSSLTEv9YCik/edit?usp=sharing"",""เบิกจ่ายกองทุน!CL83"")"),0)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IFERROR(__xludf.DUMMYFUNCTION("IMPORTRANGE(""https://docs.google.com/spreadsheets/d/1ItG2mGa2ceCfYo0BwxsXqNm01IGEUdYcSSLTEv9YCik/edit?usp=sharing"",""เบิกจ่ายกองทุน!CM83"")"),0)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IFERROR(__xludf.DUMMYFUNCTION("IMPORTRANGE(""https://docs.google.com/spreadsheets/d/1ItG2mGa2ceCfYo0BwxsXqNm01IGEUdYcSSLTEv9YCik/edit?usp=sharing"",""เบิกจ่ายกองทุน!CN83"")"),0)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89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89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89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89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89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89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89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89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89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33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hidden="1" x14ac:dyDescent="0.3">
      <c r="A412" s="31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40" t="s">
        <v>18</v>
      </c>
      <c r="D413" s="650" t="s">
        <v>19</v>
      </c>
      <c r="E413" s="518"/>
      <c r="F413" s="518"/>
      <c r="G413" s="519"/>
      <c r="H413" s="341" t="s">
        <v>14</v>
      </c>
      <c r="I413" s="45"/>
      <c r="J413" s="45"/>
      <c r="K413" s="46"/>
      <c r="L413" s="550">
        <f ca="1">L414+L415</f>
        <v>0</v>
      </c>
      <c r="M413" s="132">
        <f ca="1">M414+M415</f>
        <v>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45" t="s">
        <v>158</v>
      </c>
      <c r="F414" s="159"/>
      <c r="G414" s="191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0</v>
      </c>
      <c r="M415" s="47">
        <f ca="1">M418+M421</f>
        <v>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0</v>
      </c>
      <c r="R415" s="47">
        <f ca="1">R418+R421</f>
        <v>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hidden="1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0</v>
      </c>
      <c r="M416" s="47">
        <f ca="1">M417+M418</f>
        <v>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IFERROR(__xludf.DUMMYFUNCTION("IMPORTRANGE(""https://docs.google.com/spreadsheets/d/1-uDff_7J0KD5mKrp0Vvzr7lt3OU09vwQwhkpOPPYv2Y/edit?usp=sharing"",""งบพรบ!IO83"")"),0)</f>
        <v>0</v>
      </c>
      <c r="M418" s="47">
        <f ca="1">IFERROR(__xludf.DUMMYFUNCTION("IMPORTRANGE(""https://docs.google.com/spreadsheets/d/1-uDff_7J0KD5mKrp0Vvzr7lt3OU09vwQwhkpOPPYv2Y/edit?usp=sharing"",""งบพรบ!IT83"")"),0)</f>
        <v>0</v>
      </c>
      <c r="N418" s="47">
        <f ca="1">IFERROR(__xludf.DUMMYFUNCTION("IMPORTRANGE(""https://docs.google.com/spreadsheets/d/1-uDff_7J0KD5mKrp0Vvzr7lt3OU09vwQwhkpOPPYv2Y/edit?usp=sharing"",""งบพรบ!IV83"")"),0)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IFERROR(__xludf.DUMMYFUNCTION("IMPORTRANGE(""https://docs.google.com/spreadsheets/d/1ItG2mGa2ceCfYo0BwxsXqNm01IGEUdYcSSLTEv9YCik/edit?usp=sharing"",""เบิกจ่ายกองทุน!BZ83"")"),0)</f>
        <v>0</v>
      </c>
      <c r="R418" s="47">
        <f ca="1">IFERROR(__xludf.DUMMYFUNCTION("IMPORTRANGE(""https://docs.google.com/spreadsheets/d/1ItG2mGa2ceCfYo0BwxsXqNm01IGEUdYcSSLTEv9YCik/edit?usp=sharing"",""เบิกจ่ายกองทุน!CA83"")"),0)</f>
        <v>0</v>
      </c>
      <c r="S418" s="47">
        <f ca="1">IFERROR(__xludf.DUMMYFUNCTION("IMPORTRANGE(""https://docs.google.com/spreadsheets/d/1ItG2mGa2ceCfYo0BwxsXqNm01IGEUdYcSSLTEv9YCik/edit?usp=sharing"",""เบิกจ่ายกองทุน!CB83"")"),0)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hidden="1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IFERROR(__xludf.DUMMYFUNCTION("IMPORTRANGE(""https://docs.google.com/spreadsheets/d/1-uDff_7J0KD5mKrp0Vvzr7lt3OU09vwQwhkpOPPYv2Y/edit?usp=sharing"",""งบพรบ!IR83"")"),0)</f>
        <v>0</v>
      </c>
      <c r="M421" s="47">
        <f ca="1">IFERROR(__xludf.DUMMYFUNCTION("IMPORTRANGE(""https://docs.google.com/spreadsheets/d/1-uDff_7J0KD5mKrp0Vvzr7lt3OU09vwQwhkpOPPYv2Y/edit?usp=sharing"",""งบพรบ!IU83"")"),0)</f>
        <v>0</v>
      </c>
      <c r="N421" s="47">
        <f ca="1">IFERROR(__xludf.DUMMYFUNCTION("IMPORTRANGE(""https://docs.google.com/spreadsheets/d/1-uDff_7J0KD5mKrp0Vvzr7lt3OU09vwQwhkpOPPYv2Y/edit?usp=sharing"",""งบพรบ!IW83"")"),0)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hidden="1" x14ac:dyDescent="0.3">
      <c r="A422" s="217"/>
      <c r="B422" s="159"/>
      <c r="C422" s="340" t="s">
        <v>18</v>
      </c>
      <c r="D422" s="674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669"/>
      <c r="B423" s="464" t="s">
        <v>160</v>
      </c>
      <c r="C423" s="463"/>
      <c r="D423" s="463"/>
      <c r="E423" s="463"/>
      <c r="F423" s="463"/>
      <c r="G423" s="474"/>
      <c r="H423" s="671" t="s">
        <v>46</v>
      </c>
      <c r="I423" s="468">
        <f ca="1">I440</f>
        <v>0</v>
      </c>
      <c r="J423" s="673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IFERROR(__xludf.DUMMYFUNCTION("IMPORTRANGE(""https://docs.google.com/spreadsheets/d/1eHaY18a8A9IcSdp1K8H6x8fbOy06t2VsZHhMHf-1x7Y/edit?usp=sharing"",""แผน!HJ83"")"),0)</f>
        <v>0</v>
      </c>
      <c r="J424" s="670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IFERROR(__xludf.DUMMYFUNCTION("IMPORTRANGE(""https://docs.google.com/spreadsheets/d/1eHaY18a8A9IcSdp1K8H6x8fbOy06t2VsZHhMHf-1x7Y/edit?usp=sharing"",""แผน!HK83"")"),0)</f>
        <v>0</v>
      </c>
      <c r="J425" s="670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IFERROR(__xludf.DUMMYFUNCTION("IMPORTRANGE(""https://docs.google.com/spreadsheets/d/1eHaY18a8A9IcSdp1K8H6x8fbOy06t2VsZHhMHf-1x7Y/edit?usp=sharing"",""แผน!HJ83"")"),0)</f>
        <v>0</v>
      </c>
      <c r="J432" s="670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IFERROR(__xludf.DUMMYFUNCTION("IMPORTRANGE(""https://docs.google.com/spreadsheets/d/1eHaY18a8A9IcSdp1K8H6x8fbOy06t2VsZHhMHf-1x7Y/edit?usp=sharing"",""แผน!HK83"")"),0)</f>
        <v>0</v>
      </c>
      <c r="J433" s="670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IFERROR(__xludf.DUMMYFUNCTION("IMPORTRANGE(""https://docs.google.com/spreadsheets/d/1eHaY18a8A9IcSdp1K8H6x8fbOy06t2VsZHhMHf-1x7Y/edit?usp=sharing"",""แผน!HJ83"")"),0)</f>
        <v>0</v>
      </c>
      <c r="J440" s="670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IFERROR(__xludf.DUMMYFUNCTION("IMPORTRANGE(""https://docs.google.com/spreadsheets/d/1eHaY18a8A9IcSdp1K8H6x8fbOy06t2VsZHhMHf-1x7Y/edit?usp=sharing"",""แผน!HK83"")"),0)</f>
        <v>0</v>
      </c>
      <c r="J441" s="670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70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70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2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669"/>
      <c r="B456" s="464" t="s">
        <v>177</v>
      </c>
      <c r="C456" s="463"/>
      <c r="D456" s="463"/>
      <c r="E456" s="463"/>
      <c r="F456" s="463"/>
      <c r="G456" s="474"/>
      <c r="H456" s="671" t="s">
        <v>46</v>
      </c>
      <c r="I456" s="468">
        <f ca="1">I457</f>
        <v>0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IFERROR(__xludf.DUMMYFUNCTION("IMPORTRANGE(""https://docs.google.com/spreadsheets/d/1eHaY18a8A9IcSdp1K8H6x8fbOy06t2VsZHhMHf-1x7Y/edit?usp=sharing"",""แผน!HL83"")"),0)</f>
        <v>0</v>
      </c>
      <c r="J457" s="670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IFERROR(__xludf.DUMMYFUNCTION("IMPORTRANGE(""https://docs.google.com/spreadsheets/d/1eHaY18a8A9IcSdp1K8H6x8fbOy06t2VsZHhMHf-1x7Y/edit?usp=sharing"",""แผน!HM83"")"),0)</f>
        <v>0</v>
      </c>
      <c r="J458" s="670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669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650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IFERROR(__xludf.DUMMYFUNCTION("IMPORTRANGE(""https://docs.google.com/spreadsheets/d/1-uDff_7J0KD5mKrp0Vvzr7lt3OU09vwQwhkpOPPYv2Y/edit?usp=sharing"",""งบพรบ!HU83"")"),0)</f>
        <v>0</v>
      </c>
      <c r="M498" s="47">
        <f ca="1">IFERROR(__xludf.DUMMYFUNCTION("IMPORTRANGE(""https://docs.google.com/spreadsheets/d/1-uDff_7J0KD5mKrp0Vvzr7lt3OU09vwQwhkpOPPYv2Y/edit?usp=sharing"",""งบพรบ!HZ83"")"),0)</f>
        <v>0</v>
      </c>
      <c r="N498" s="47">
        <f ca="1">IFERROR(__xludf.DUMMYFUNCTION("IMPORTRANGE(""https://docs.google.com/spreadsheets/d/1-uDff_7J0KD5mKrp0Vvzr7lt3OU09vwQwhkpOPPYv2Y/edit?usp=sharing"",""งบพรบ!IB83"")"),0)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IFERROR(__xludf.DUMMYFUNCTION("IMPORTRANGE(""https://docs.google.com/spreadsheets/d/1ItG2mGa2ceCfYo0BwxsXqNm01IGEUdYcSSLTEv9YCik/edit?usp=sharing"",""เบิกจ่ายกองทุน!AD83"")"),0)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IFERROR(__xludf.DUMMYFUNCTION("IMPORTRANGE(""https://docs.google.com/spreadsheets/d/1ItG2mGa2ceCfYo0BwxsXqNm01IGEUdYcSSLTEv9YCik/edit?usp=sharing"",""เบิกจ่ายกองทุน!AE83"")"),0)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IFERROR(__xludf.DUMMYFUNCTION("IMPORTRANGE(""https://docs.google.com/spreadsheets/d/1ItG2mGa2ceCfYo0BwxsXqNm01IGEUdYcSSLTEv9YCik/edit?usp=sharing"",""เบิกจ่ายกองทุน!AF83"")"),0)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IFERROR(__xludf.DUMMYFUNCTION("IMPORTRANGE(""https://docs.google.com/spreadsheets/d/1-uDff_7J0KD5mKrp0Vvzr7lt3OU09vwQwhkpOPPYv2Y/edit?usp=sharing"",""งบพรบ!HX83"")"),0)</f>
        <v>0</v>
      </c>
      <c r="M501" s="47">
        <f ca="1">IFERROR(__xludf.DUMMYFUNCTION("IMPORTRANGE(""https://docs.google.com/spreadsheets/d/1-uDff_7J0KD5mKrp0Vvzr7lt3OU09vwQwhkpOPPYv2Y/edit?usp=sharing"",""งบพรบ!IA83"")"),0)</f>
        <v>0</v>
      </c>
      <c r="N501" s="47">
        <f ca="1">IFERROR(__xludf.DUMMYFUNCTION("IMPORTRANGE(""https://docs.google.com/spreadsheets/d/1-uDff_7J0KD5mKrp0Vvzr7lt3OU09vwQwhkpOPPYv2Y/edit?usp=sharing"",""งบพรบ!IC83"")"),0)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IFERROR(__xludf.DUMMYFUNCTION("IMPORTRANGE(""https://docs.google.com/spreadsheets/d/1eHaY18a8A9IcSdp1K8H6x8fbOy06t2VsZHhMHf-1x7Y/edit?usp=sharing"",""แผน!GX83"")"),0)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IFERROR(__xludf.DUMMYFUNCTION("IMPORTRANGE(""https://docs.google.com/spreadsheets/d/1eHaY18a8A9IcSdp1K8H6x8fbOy06t2VsZHhMHf-1x7Y/edit?usp=sharing"",""แผน!GY83"")"),0)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IFERROR(__xludf.DUMMYFUNCTION("IMPORTRANGE(""https://docs.google.com/spreadsheets/d/1eHaY18a8A9IcSdp1K8H6x8fbOy06t2VsZHhMHf-1x7Y/edit?usp=sharing"",""แผน!GZ83"")"),0)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IFERROR(__xludf.DUMMYFUNCTION("IMPORTRANGE(""https://docs.google.com/spreadsheets/d/1eHaY18a8A9IcSdp1K8H6x8fbOy06t2VsZHhMHf-1x7Y/edit?usp=sharing"",""แผน!HA83"")"),0)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IFERROR(__xludf.DUMMYFUNCTION("IMPORTRANGE(""https://docs.google.com/spreadsheets/d/1eHaY18a8A9IcSdp1K8H6x8fbOy06t2VsZHhMHf-1x7Y/edit?usp=sharing"",""แผน!HB83"")"),0)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IFERROR(__xludf.DUMMYFUNCTION("IMPORTRANGE(""https://docs.google.com/spreadsheets/d/1eHaY18a8A9IcSdp1K8H6x8fbOy06t2VsZHhMHf-1x7Y/edit?usp=sharing"",""แผน!HC83"")"),0)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29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26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25" t="s">
        <v>207</v>
      </c>
      <c r="C512" s="372"/>
      <c r="D512" s="373"/>
      <c r="E512" s="373"/>
      <c r="F512" s="373"/>
      <c r="G512" s="374"/>
      <c r="H512" s="824" t="s">
        <v>61</v>
      </c>
      <c r="I512" s="823">
        <f>I524</f>
        <v>0</v>
      </c>
      <c r="J512" s="823">
        <f>J524</f>
        <v>0</v>
      </c>
      <c r="K512" s="822">
        <f>IF(I512&gt;0,J512*100/I512,0)</f>
        <v>0</v>
      </c>
      <c r="L512" s="591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21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0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IFERROR(__xludf.DUMMYFUNCTION("IMPORTRANGE(""https://docs.google.com/spreadsheets/d/1-uDff_7J0KD5mKrp0Vvzr7lt3OU09vwQwhkpOPPYv2Y/edit?usp=sharing"",""งบพรบ!FM83"")"),0)</f>
        <v>0</v>
      </c>
      <c r="M518" s="47">
        <f ca="1">IFERROR(__xludf.DUMMYFUNCTION("IMPORTRANGE(""https://docs.google.com/spreadsheets/d/1-uDff_7J0KD5mKrp0Vvzr7lt3OU09vwQwhkpOPPYv2Y/edit?usp=sharing"",""งบพรบ!FR83"")"),0)</f>
        <v>0</v>
      </c>
      <c r="N518" s="47">
        <f ca="1">IFERROR(__xludf.DUMMYFUNCTION("IMPORTRANGE(""https://docs.google.com/spreadsheets/d/1-uDff_7J0KD5mKrp0Vvzr7lt3OU09vwQwhkpOPPYv2Y/edit?usp=sharing"",""งบพรบ!FT83"")"),0)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0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IFERROR(__xludf.DUMMYFUNCTION("IMPORTRANGE(""https://docs.google.com/spreadsheets/d/1-uDff_7J0KD5mKrp0Vvzr7lt3OU09vwQwhkpOPPYv2Y/edit?usp=sharing"",""งบพรบ!FP83"")"),0)</f>
        <v>0</v>
      </c>
      <c r="M521" s="47">
        <f ca="1">IFERROR(__xludf.DUMMYFUNCTION("IMPORTRANGE(""https://docs.google.com/spreadsheets/d/1-uDff_7J0KD5mKrp0Vvzr7lt3OU09vwQwhkpOPPYv2Y/edit?usp=sharing"",""งบพรบ!FS83"")"),0)</f>
        <v>0</v>
      </c>
      <c r="N521" s="47">
        <f ca="1">IFERROR(__xludf.DUMMYFUNCTION("IMPORTRANGE(""https://docs.google.com/spreadsheets/d/1-uDff_7J0KD5mKrp0Vvzr7lt3OU09vwQwhkpOPPYv2Y/edit?usp=sharing"",""งบพรบ!FU83"")"),0)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1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19" t="s">
        <v>209</v>
      </c>
      <c r="E524" s="264"/>
      <c r="F524" s="1"/>
      <c r="G524" s="53"/>
      <c r="H524" s="818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4"/>
      <c r="B525" s="613"/>
      <c r="C525" s="613"/>
      <c r="D525" s="612"/>
      <c r="E525" s="612"/>
      <c r="F525" s="612"/>
      <c r="G525" s="611"/>
      <c r="H525" s="610"/>
      <c r="I525" s="609"/>
      <c r="J525" s="609"/>
      <c r="K525" s="608"/>
      <c r="L525" s="589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89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89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89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89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89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89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2">
        <f>I545</f>
        <v>0</v>
      </c>
      <c r="J533" s="592">
        <f>J545</f>
        <v>0</v>
      </c>
      <c r="K533" s="377">
        <f>IF(I533&gt;0,J533*100/I533,0)</f>
        <v>0</v>
      </c>
      <c r="L533" s="591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IFERROR(__xludf.DUMMYFUNCTION("IMPORTRANGE(""https://docs.google.com/spreadsheets/d/1-uDff_7J0KD5mKrp0Vvzr7lt3OU09vwQwhkpOPPYv2Y/edit?usp=sharing"",""งบพรบ!FW83"")"),0)</f>
        <v>0</v>
      </c>
      <c r="M539" s="47">
        <f ca="1">IFERROR(__xludf.DUMMYFUNCTION("IMPORTRANGE(""https://docs.google.com/spreadsheets/d/1-uDff_7J0KD5mKrp0Vvzr7lt3OU09vwQwhkpOPPYv2Y/edit?usp=sharing"",""งบพรบ!GB83"")"),0)</f>
        <v>0</v>
      </c>
      <c r="N539" s="47">
        <f ca="1">IFERROR(__xludf.DUMMYFUNCTION("IMPORTRANGE(""https://docs.google.com/spreadsheets/d/1-uDff_7J0KD5mKrp0Vvzr7lt3OU09vwQwhkpOPPYv2Y/edit?usp=sharing"",""งบพรบ!GD83"")"),0)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IFERROR(__xludf.DUMMYFUNCTION("IMPORTRANGE(""https://docs.google.com/spreadsheets/d/1-uDff_7J0KD5mKrp0Vvzr7lt3OU09vwQwhkpOPPYv2Y/edit?usp=sharing"",""งบพรบ!FZ83"")"),0)</f>
        <v>0</v>
      </c>
      <c r="M542" s="47">
        <f ca="1">IFERROR(__xludf.DUMMYFUNCTION("IMPORTRANGE(""https://docs.google.com/spreadsheets/d/1-uDff_7J0KD5mKrp0Vvzr7lt3OU09vwQwhkpOPPYv2Y/edit?usp=sharing"",""งบพรบ!GC83"")"),0)</f>
        <v>0</v>
      </c>
      <c r="N542" s="47">
        <f ca="1">IFERROR(__xludf.DUMMYFUNCTION("IMPORTRANGE(""https://docs.google.com/spreadsheets/d/1-uDff_7J0KD5mKrp0Vvzr7lt3OU09vwQwhkpOPPYv2Y/edit?usp=sharing"",""งบพรบ!GE83"")"),0)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89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89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89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89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89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89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89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89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89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2">
        <f>I566</f>
        <v>0</v>
      </c>
      <c r="J554" s="592">
        <f>J566</f>
        <v>0</v>
      </c>
      <c r="K554" s="377">
        <f>IF(I554&gt;0,J554*100/I554,0)</f>
        <v>0</v>
      </c>
      <c r="L554" s="591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IFERROR(__xludf.DUMMYFUNCTION("IMPORTRANGE(""https://docs.google.com/spreadsheets/d/1-uDff_7J0KD5mKrp0Vvzr7lt3OU09vwQwhkpOPPYv2Y/edit?usp=sharing"",""งบพรบ!GG83"")"),0)</f>
        <v>0</v>
      </c>
      <c r="M560" s="47">
        <f ca="1">IFERROR(__xludf.DUMMYFUNCTION("IMPORTRANGE(""https://docs.google.com/spreadsheets/d/1-uDff_7J0KD5mKrp0Vvzr7lt3OU09vwQwhkpOPPYv2Y/edit?usp=sharing"",""งบพรบ!GL83"")"),0)</f>
        <v>0</v>
      </c>
      <c r="N560" s="47">
        <f ca="1">IFERROR(__xludf.DUMMYFUNCTION("IMPORTRANGE(""https://docs.google.com/spreadsheets/d/1-uDff_7J0KD5mKrp0Vvzr7lt3OU09vwQwhkpOPPYv2Y/edit?usp=sharing"",""งบพรบ!GN83"")"),0)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IFERROR(__xludf.DUMMYFUNCTION("IMPORTRANGE(""https://docs.google.com/spreadsheets/d/1-uDff_7J0KD5mKrp0Vvzr7lt3OU09vwQwhkpOPPYv2Y/edit?usp=sharing"",""งบพรบ!GJ83"")"),0)</f>
        <v>0</v>
      </c>
      <c r="M563" s="47">
        <f ca="1">IFERROR(__xludf.DUMMYFUNCTION("IMPORTRANGE(""https://docs.google.com/spreadsheets/d/1-uDff_7J0KD5mKrp0Vvzr7lt3OU09vwQwhkpOPPYv2Y/edit?usp=sharing"",""งบพรบ!GM83"")"),0)</f>
        <v>0</v>
      </c>
      <c r="N563" s="47">
        <f ca="1">IFERROR(__xludf.DUMMYFUNCTION("IMPORTRANGE(""https://docs.google.com/spreadsheets/d/1-uDff_7J0KD5mKrp0Vvzr7lt3OU09vwQwhkpOPPYv2Y/edit?usp=sharing"",""งบพรบ!GO83"")"),0)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89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89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89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89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89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89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89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89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89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2">
        <f>I587</f>
        <v>0</v>
      </c>
      <c r="J575" s="592">
        <f>J587</f>
        <v>0</v>
      </c>
      <c r="K575" s="377">
        <f>IF(I575&gt;0,J575*100/I575,0)</f>
        <v>0</v>
      </c>
      <c r="L575" s="591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IFERROR(__xludf.DUMMYFUNCTION("IMPORTRANGE(""https://docs.google.com/spreadsheets/d/1-uDff_7J0KD5mKrp0Vvzr7lt3OU09vwQwhkpOPPYv2Y/edit?usp=sharing"",""งบพรบ!GQ83"")"),0)</f>
        <v>0</v>
      </c>
      <c r="M581" s="47">
        <f ca="1">IFERROR(__xludf.DUMMYFUNCTION("IMPORTRANGE(""https://docs.google.com/spreadsheets/d/1-uDff_7J0KD5mKrp0Vvzr7lt3OU09vwQwhkpOPPYv2Y/edit?usp=sharing"",""งบพรบ!GV83"")"),0)</f>
        <v>0</v>
      </c>
      <c r="N581" s="47">
        <f ca="1">IFERROR(__xludf.DUMMYFUNCTION("IMPORTRANGE(""https://docs.google.com/spreadsheets/d/1-uDff_7J0KD5mKrp0Vvzr7lt3OU09vwQwhkpOPPYv2Y/edit?usp=sharing"",""งบพรบ!GX83"")"),0)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IFERROR(__xludf.DUMMYFUNCTION("IMPORTRANGE(""https://docs.google.com/spreadsheets/d/1-uDff_7J0KD5mKrp0Vvzr7lt3OU09vwQwhkpOPPYv2Y/edit?usp=sharing"",""งบพรบ!GT83"")"),0)</f>
        <v>0</v>
      </c>
      <c r="M584" s="47">
        <f ca="1">IFERROR(__xludf.DUMMYFUNCTION("IMPORTRANGE(""https://docs.google.com/spreadsheets/d/1-uDff_7J0KD5mKrp0Vvzr7lt3OU09vwQwhkpOPPYv2Y/edit?usp=sharing"",""งบพรบ!GW83"")"),0)</f>
        <v>0</v>
      </c>
      <c r="N584" s="47">
        <f ca="1">IFERROR(__xludf.DUMMYFUNCTION("IMPORTRANGE(""https://docs.google.com/spreadsheets/d/1-uDff_7J0KD5mKrp0Vvzr7lt3OU09vwQwhkpOPPYv2Y/edit?usp=sharing"",""งบพรบ!GY83"")"),0)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89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89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89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89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89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89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89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89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89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35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35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417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2">
        <f ca="1">L600+L601</f>
        <v>14072</v>
      </c>
      <c r="M599" s="421">
        <f ca="1">M600+M601</f>
        <v>14072</v>
      </c>
      <c r="N599" s="421">
        <f ca="1">N600+N601</f>
        <v>0</v>
      </c>
      <c r="O599" s="421">
        <f ca="1">IF(L599&gt;0,N599*100/L599,0)</f>
        <v>0</v>
      </c>
      <c r="P599" s="421">
        <f ca="1">IF(M599&gt;0,N599*100/M599,0)</f>
        <v>0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1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1">
        <f ca="1">L604+L607</f>
        <v>14072</v>
      </c>
      <c r="M601" s="331">
        <f ca="1">M604+M607</f>
        <v>14072</v>
      </c>
      <c r="N601" s="331">
        <f ca="1">N604+N607</f>
        <v>0</v>
      </c>
      <c r="O601" s="331">
        <f ca="1">IF(L601&gt;0,N601*100/L601,0)</f>
        <v>0</v>
      </c>
      <c r="P601" s="331">
        <f ca="1">IF(M601&gt;0,N601*100/M601,0)</f>
        <v>0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9.5" x14ac:dyDescent="0.3">
      <c r="A602" s="416"/>
      <c r="B602" s="326"/>
      <c r="C602" s="326"/>
      <c r="D602" s="418" t="s">
        <v>22</v>
      </c>
      <c r="E602" s="424"/>
      <c r="F602" s="424"/>
      <c r="G602" s="425"/>
      <c r="H602" s="419" t="s">
        <v>14</v>
      </c>
      <c r="I602" s="428"/>
      <c r="J602" s="428"/>
      <c r="K602" s="429"/>
      <c r="L602" s="721">
        <f ca="1">L603+L604</f>
        <v>14072</v>
      </c>
      <c r="M602" s="331">
        <f ca="1">M603+M604</f>
        <v>14072</v>
      </c>
      <c r="N602" s="331">
        <f ca="1">N603+N604</f>
        <v>0</v>
      </c>
      <c r="O602" s="331">
        <f ca="1">IF(L602&gt;0,N602*100/L602,0)</f>
        <v>0</v>
      </c>
      <c r="P602" s="331">
        <f ca="1">IF(M602&gt;0,N602*100/M602,0)</f>
        <v>0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1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1">
        <f ca="1">IFERROR(__xludf.DUMMYFUNCTION("IMPORTRANGE(""https://docs.google.com/spreadsheets/d/1-uDff_7J0KD5mKrp0Vvzr7lt3OU09vwQwhkpOPPYv2Y/edit?usp=sharing"",""งบพรบ!HK83"")"),14072)</f>
        <v>14072</v>
      </c>
      <c r="M604" s="331">
        <f ca="1">IFERROR(__xludf.DUMMYFUNCTION("IMPORTRANGE(""https://docs.google.com/spreadsheets/d/1-uDff_7J0KD5mKrp0Vvzr7lt3OU09vwQwhkpOPPYv2Y/edit?usp=sharing"",""งบพรบ!HP83"")"),14072)</f>
        <v>14072</v>
      </c>
      <c r="N604" s="331">
        <f ca="1">IFERROR(__xludf.DUMMYFUNCTION("IMPORTRANGE(""https://docs.google.com/spreadsheets/d/1-uDff_7J0KD5mKrp0Vvzr7lt3OU09vwQwhkpOPPYv2Y/edit?usp=sharing"",""งบพรบ!HR83"")"),0)</f>
        <v>0</v>
      </c>
      <c r="O604" s="331">
        <f ca="1">IF(L604&gt;0,N604*100/L604,0)</f>
        <v>0</v>
      </c>
      <c r="P604" s="331">
        <f ca="1">IF(M604&gt;0,N604*100/M604,0)</f>
        <v>0</v>
      </c>
      <c r="Q604" s="331">
        <f ca="1">IFERROR(__xludf.DUMMYFUNCTION("IMPORTRANGE(""https://docs.google.com/spreadsheets/d/1ItG2mGa2ceCfYo0BwxsXqNm01IGEUdYcSSLTEv9YCik/edit?usp=sharing"",""เบิกจ่ายกองทุน!AV83"")"),0)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IFERROR(__xludf.DUMMYFUNCTION("IMPORTRANGE(""https://docs.google.com/spreadsheets/d/1ItG2mGa2ceCfYo0BwxsXqNm01IGEUdYcSSLTEv9YCik/edit?usp=sharing"",""เบิกจ่ายกองทุน!AW83"")"),0)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IFERROR(__xludf.DUMMYFUNCTION("IMPORTRANGE(""https://docs.google.com/spreadsheets/d/1ItG2mGa2ceCfYo0BwxsXqNm01IGEUdYcSSLTEv9YCik/edit?usp=sharing"",""เบิกจ่ายกองทุน!AX83"")"),0)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9.5" x14ac:dyDescent="0.3">
      <c r="A605" s="416"/>
      <c r="B605" s="326"/>
      <c r="C605" s="326"/>
      <c r="D605" s="418" t="s">
        <v>23</v>
      </c>
      <c r="E605" s="326"/>
      <c r="F605" s="424"/>
      <c r="G605" s="425"/>
      <c r="H605" s="430" t="s">
        <v>14</v>
      </c>
      <c r="I605" s="428"/>
      <c r="J605" s="428"/>
      <c r="K605" s="429"/>
      <c r="L605" s="721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721">
        <v>0</v>
      </c>
      <c r="M606" s="331">
        <v>0</v>
      </c>
      <c r="N606" s="331">
        <v>0</v>
      </c>
      <c r="O606" s="331">
        <f>IF(L606&gt;0,N606*100/L606,0)</f>
        <v>0</v>
      </c>
      <c r="P606" s="331">
        <f>IF(M606&gt;0,N606*100/M606,0)</f>
        <v>0</v>
      </c>
      <c r="Q606" s="331">
        <v>0</v>
      </c>
      <c r="R606" s="331">
        <v>0</v>
      </c>
      <c r="S606" s="331">
        <v>0</v>
      </c>
      <c r="T606" s="331">
        <f>IF(Q606&gt;0,S606*100/Q606,0)</f>
        <v>0</v>
      </c>
      <c r="U606" s="331">
        <f>IF(R606&gt;0,S606*100/R606,0)</f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721">
        <f ca="1">IFERROR(__xludf.DUMMYFUNCTION("IMPORTRANGE(""https://docs.google.com/spreadsheets/d/1-uDff_7J0KD5mKrp0Vvzr7lt3OU09vwQwhkpOPPYv2Y/edit?usp=sharing"",""งบพรบ!HN83"")"),0)</f>
        <v>0</v>
      </c>
      <c r="M607" s="331">
        <f ca="1">IFERROR(__xludf.DUMMYFUNCTION("IMPORTRANGE(""https://docs.google.com/spreadsheets/d/1-uDff_7J0KD5mKrp0Vvzr7lt3OU09vwQwhkpOPPYv2Y/edit?usp=sharing"",""งบพรบ!HQ83"")"),0)</f>
        <v>0</v>
      </c>
      <c r="N607" s="331">
        <f ca="1">IFERROR(__xludf.DUMMYFUNCTION("IMPORTRANGE(""https://docs.google.com/spreadsheets/d/1-uDff_7J0KD5mKrp0Vvzr7lt3OU09vwQwhkpOPPYv2Y/edit?usp=sharing"",""งบพรบ!HS83"")"),0)</f>
        <v>0</v>
      </c>
      <c r="O607" s="331">
        <f ca="1">IF(L607&gt;0,N607*100/L607,0)</f>
        <v>0</v>
      </c>
      <c r="P607" s="331">
        <f ca="1">IF(M607&gt;0,N607*100/M607,0)</f>
        <v>0</v>
      </c>
      <c r="Q607" s="331">
        <f ca="1">IFERROR(__xludf.DUMMYFUNCTION("IMPORTRANGE(""https://docs.google.com/spreadsheets/d/1ItG2mGa2ceCfYo0BwxsXqNm01IGEUdYcSSLTEv9YCik/edit?usp=sharing"",""เบิกจ่ายกองทุน!AY83"")"),0)</f>
        <v>0</v>
      </c>
      <c r="R607" s="331">
        <f ca="1">IFERROR(__xludf.DUMMYFUNCTION("IMPORTRANGE(""https://docs.google.com/spreadsheets/d/1ItG2mGa2ceCfYo0BwxsXqNm01IGEUdYcSSLTEv9YCik/edit?usp=sharing"",""เบิกจ่ายกองทุน!AZ83"")"),0)</f>
        <v>0</v>
      </c>
      <c r="S607" s="331">
        <f ca="1">IFERROR(__xludf.DUMMYFUNCTION("IMPORTRANGE(""https://docs.google.com/spreadsheets/d/1ItG2mGa2ceCfYo0BwxsXqNm01IGEUdYcSSLTEv9YCik/edit?usp=sharing"",""เบิกจ่ายกองทุน!BA83"")"),0)</f>
        <v>0</v>
      </c>
      <c r="T607" s="331">
        <f ca="1">IF(Q607&gt;0,S607*100/Q607,0)</f>
        <v>0</v>
      </c>
      <c r="U607" s="331">
        <f ca="1">IF(R607&gt;0,S607*100/R607,0)</f>
        <v>0</v>
      </c>
    </row>
    <row r="608" spans="1:21" ht="19.5" hidden="1" x14ac:dyDescent="0.3">
      <c r="A608" s="432"/>
      <c r="B608" s="433"/>
      <c r="C608" s="417" t="s">
        <v>18</v>
      </c>
      <c r="D608" s="617" t="s">
        <v>38</v>
      </c>
      <c r="E608" s="435"/>
      <c r="F608" s="435"/>
      <c r="G608" s="436"/>
      <c r="H608" s="437"/>
      <c r="I608" s="428"/>
      <c r="J608" s="428"/>
      <c r="K608" s="429"/>
      <c r="L608" s="553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hidden="1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553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hidden="1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553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hidden="1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553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9.5" hidden="1" thickBot="1" x14ac:dyDescent="0.3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834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0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56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463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188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1675</v>
      </c>
      <c r="R616" s="132">
        <f ca="1">R617+R618</f>
        <v>1675</v>
      </c>
      <c r="S616" s="132">
        <f ca="1">S617+S618</f>
        <v>0</v>
      </c>
      <c r="T616" s="132">
        <f ca="1">IF(Q616&gt;0,S616*100/Q616,0)</f>
        <v>0</v>
      </c>
      <c r="U616" s="132">
        <f ca="1">IF(R616&gt;0,S616*100/R616,0)</f>
        <v>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1675</v>
      </c>
      <c r="R618" s="47">
        <f ca="1">R621+R624</f>
        <v>1675</v>
      </c>
      <c r="S618" s="47">
        <f ca="1">S621+S624</f>
        <v>0</v>
      </c>
      <c r="T618" s="47">
        <f ca="1">IF(Q618&gt;0,S618*100/Q618,0)</f>
        <v>0</v>
      </c>
      <c r="U618" s="47">
        <f ca="1">IF(R618&gt;0,S618*100/R618,0)</f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1675</v>
      </c>
      <c r="R619" s="47">
        <f ca="1">R620+R621</f>
        <v>1675</v>
      </c>
      <c r="S619" s="47">
        <f ca="1">S620+S621</f>
        <v>0</v>
      </c>
      <c r="T619" s="47">
        <f ca="1">IF(Q619&gt;0,S619*100/Q619,0)</f>
        <v>0</v>
      </c>
      <c r="U619" s="47">
        <f ca="1">IF(R619&gt;0,S619*100/R619,0)</f>
        <v>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IFERROR(__xludf.DUMMYFUNCTION("IMPORTRANGE(""https://docs.google.com/spreadsheets/d/1ItG2mGa2ceCfYo0BwxsXqNm01IGEUdYcSSLTEv9YCik/edit?usp=sharing"",""เบิกจ่ายกองทุน!F83"")"),1675)</f>
        <v>1675</v>
      </c>
      <c r="R621" s="47">
        <f ca="1">IFERROR(__xludf.DUMMYFUNCTION("IMPORTRANGE(""https://docs.google.com/spreadsheets/d/1ItG2mGa2ceCfYo0BwxsXqNm01IGEUdYcSSLTEv9YCik/edit?usp=sharing"",""เบิกจ่ายกองทุน!G83"")"),1675)</f>
        <v>1675</v>
      </c>
      <c r="S621" s="47">
        <f ca="1">IFERROR(__xludf.DUMMYFUNCTION("IMPORTRANGE(""https://docs.google.com/spreadsheets/d/1ItG2mGa2ceCfYo0BwxsXqNm01IGEUdYcSSLTEv9YCik/edit?usp=sharing"",""เบิกจ่ายกองทุน!H83"")"),0)</f>
        <v>0</v>
      </c>
      <c r="T621" s="47">
        <f ca="1">IF(Q621&gt;0,S621*100/Q621,0)</f>
        <v>0</v>
      </c>
      <c r="U621" s="47">
        <f ca="1">IF(R621&gt;0,S621*100/R621,0)</f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IFERROR(__xludf.DUMMYFUNCTION("IMPORTRANGE(""https://docs.google.com/spreadsheets/d/1eHaY18a8A9IcSdp1K8H6x8fbOy06t2VsZHhMHf-1x7Y/edit?usp=sharing"",""แผน!ID83"")"),0)</f>
        <v>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IFERROR(__xludf.DUMMYFUNCTION("IMPORTRANGE(""https://docs.google.com/spreadsheets/d/1eHaY18a8A9IcSdp1K8H6x8fbOy06t2VsZHhMHf-1x7Y/edit?usp=sharing"",""แผน!IC83"")"),1)</f>
        <v>1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IFERROR(__xludf.DUMMYFUNCTION("IMPORTRANGE(""https://docs.google.com/spreadsheets/d/1eHaY18a8A9IcSdp1K8H6x8fbOy06t2VsZHhMHf-1x7Y/edit?usp=sharing"",""แผน!IC83"")"),1)</f>
        <v>1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IFERROR(__xludf.DUMMYFUNCTION("IMPORTRANGE(""https://docs.google.com/spreadsheets/d/1eHaY18a8A9IcSdp1K8H6x8fbOy06t2VsZHhMHf-1x7Y/edit?usp=sharing"",""แผน!IE83"")"),0)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63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IFERROR(__xludf.DUMMYFUNCTION("IMPORTRANGE(""https://docs.google.com/spreadsheets/d/1ItG2mGa2ceCfYo0BwxsXqNm01IGEUdYcSSLTEv9YCik/edit?usp=sharing"",""เบิกจ่ายกองทุน!I83"")"),0)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IFERROR(__xludf.DUMMYFUNCTION("IMPORTRANGE(""https://docs.google.com/spreadsheets/d/1ItG2mGa2ceCfYo0BwxsXqNm01IGEUdYcSSLTEv9YCik/edit?usp=sharing"",""เบิกจ่ายกองทุน!J83"")"),0)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IFERROR(__xludf.DUMMYFUNCTION("IMPORTRANGE(""https://docs.google.com/spreadsheets/d/1ItG2mGa2ceCfYo0BwxsXqNm01IGEUdYcSSLTEv9YCik/edit?usp=sharing"",""เบิกจ่ายกองทุน!K83"")"),0)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IFERROR(__xludf.DUMMYFUNCTION("IMPORTRANGE(""https://docs.google.com/spreadsheets/d/1eHaY18a8A9IcSdp1K8H6x8fbOy06t2VsZHhMHf-1x7Y/edit?usp=sharing"",""แผน!IF83"")"),0)</f>
        <v>0</v>
      </c>
      <c r="J652" s="152">
        <f ca="1">IFERROR(__xludf.DUMMYFUNCTION("IMPORTRANGE(""https://docs.google.com/spreadsheets/d/1tdoBKaGub7dwA3U6UFTqxio9LNnvDCQjHKmttSEBsFQ/edit?usp=sharing"",""จัดที่ดิน!AU83"")"),0)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IFERROR(__xludf.DUMMYFUNCTION("IMPORTRANGE(""https://docs.google.com/spreadsheets/d/1eHaY18a8A9IcSdp1K8H6x8fbOy06t2VsZHhMHf-1x7Y/edit?usp=sharing"",""แผน!IG83"")"),0)</f>
        <v>0</v>
      </c>
      <c r="J653" s="152">
        <f ca="1">IFERROR(__xludf.DUMMYFUNCTION("IMPORTRANGE(""https://docs.google.com/spreadsheets/d/1tdoBKaGub7dwA3U6UFTqxio9LNnvDCQjHKmttSEBsFQ/edit?usp=sharing"",""จัดที่ดิน!AW83"")"),0)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IFERROR(__xludf.DUMMYFUNCTION("IMPORTRANGE(""https://docs.google.com/spreadsheets/d/1eHaY18a8A9IcSdp1K8H6x8fbOy06t2VsZHhMHf-1x7Y/edit?usp=sharing"",""แผน!IH83"")"),0)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IFERROR(__xludf.DUMMYFUNCTION("IMPORTRANGE(""https://docs.google.com/spreadsheets/d/1eHaY18a8A9IcSdp1K8H6x8fbOy06t2VsZHhMHf-1x7Y/edit?usp=sharing"",""แผน!II83"")"),0)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IFERROR(__xludf.DUMMYFUNCTION("IMPORTRANGE(""https://docs.google.com/spreadsheets/d/1eHaY18a8A9IcSdp1K8H6x8fbOy06t2VsZHhMHf-1x7Y/edit?usp=sharing"",""แผน!IJ83"")"),0)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IFERROR(__xludf.DUMMYFUNCTION("IMPORTRANGE(""https://docs.google.com/spreadsheets/d/1eHaY18a8A9IcSdp1K8H6x8fbOy06t2VsZHhMHf-1x7Y/edit?usp=sharing"",""แผน!IK83"")"),0)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IFERROR(__xludf.DUMMYFUNCTION("IMPORTRANGE(""https://docs.google.com/spreadsheets/d/1tdoBKaGub7dwA3U6UFTqxio9LNnvDCQjHKmttSEBsFQ/edit?usp=sharing"",""จัดที่ดิน!AY83"")"),0)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IFERROR(__xludf.DUMMYFUNCTION("IMPORTRANGE(""https://docs.google.com/spreadsheets/d/1tdoBKaGub7dwA3U6UFTqxio9LNnvDCQjHKmttSEBsFQ/edit?usp=sharing"",""จัดที่ดิน!AZ83"")"),0)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IFERROR(__xludf.DUMMYFUNCTION("IMPORTRANGE(""https://docs.google.com/spreadsheets/d/1eHaY18a8A9IcSdp1K8H6x8fbOy06t2VsZHhMHf-1x7Y/edit?usp=sharing"",""แผน!IL83"")"),0)</f>
        <v>0</v>
      </c>
      <c r="J673" s="152">
        <f ca="1">IFERROR(__xludf.DUMMYFUNCTION("IMPORTRANGE(""https://docs.google.com/spreadsheets/d/1tdoBKaGub7dwA3U6UFTqxio9LNnvDCQjHKmttSEBsFQ/edit?usp=sharing"",""จัดที่ดิน!BA83"")"),0)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IFERROR(__xludf.DUMMYFUNCTION("IMPORTRANGE(""https://docs.google.com/spreadsheets/d/1eHaY18a8A9IcSdp1K8H6x8fbOy06t2VsZHhMHf-1x7Y/edit?usp=sharing"",""แผน!IM83"")"),0)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IFERROR(__xludf.DUMMYFUNCTION("IMPORTRANGE(""https://docs.google.com/spreadsheets/d/1eHaY18a8A9IcSdp1K8H6x8fbOy06t2VsZHhMHf-1x7Y/edit?usp=sharing"",""แผน!IN83"")"),0)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IFERROR(__xludf.DUMMYFUNCTION("IMPORTRANGE(""https://docs.google.com/spreadsheets/d/1eHaY18a8A9IcSdp1K8H6x8fbOy06t2VsZHhMHf-1x7Y/edit?usp=sharing"",""แผน!IO83"")"),0)</f>
        <v>0</v>
      </c>
      <c r="J676" s="152">
        <f ca="1">IFERROR(__xludf.DUMMYFUNCTION("IMPORTRANGE(""https://docs.google.com/spreadsheets/d/1tdoBKaGub7dwA3U6UFTqxio9LNnvDCQjHKmttSEBsFQ/edit?usp=sharing"",""จัดที่ดิน!BF83"")"),0)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IFERROR(__xludf.DUMMYFUNCTION("IMPORTRANGE(""https://docs.google.com/spreadsheets/d/1tdoBKaGub7dwA3U6UFTqxio9LNnvDCQjHKmttSEBsFQ/edit?usp=sharing"",""จัดที่ดิน!BG83"")"),0)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IFERROR(__xludf.DUMMYFUNCTION("IMPORTRANGE(""https://docs.google.com/spreadsheets/d/1eHaY18a8A9IcSdp1K8H6x8fbOy06t2VsZHhMHf-1x7Y/edit?usp=sharing"",""แผน!IP83"")"),0)</f>
        <v>0</v>
      </c>
      <c r="J678" s="152">
        <f ca="1">IFERROR(__xludf.DUMMYFUNCTION("IMPORTRANGE(""https://docs.google.com/spreadsheets/d/1tdoBKaGub7dwA3U6UFTqxio9LNnvDCQjHKmttSEBsFQ/edit?usp=sharing"",""จัดที่ดิน!BH83"")"),0)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IFERROR(__xludf.DUMMYFUNCTION("IMPORTRANGE(""https://docs.google.com/spreadsheets/d/1eHaY18a8A9IcSdp1K8H6x8fbOy06t2VsZHhMHf-1x7Y/edit?usp=sharing"",""แผน!IQ83"")"),0)</f>
        <v>0</v>
      </c>
      <c r="J679" s="152">
        <f ca="1">IFERROR(__xludf.DUMMYFUNCTION("IMPORTRANGE(""https://docs.google.com/spreadsheets/d/1tdoBKaGub7dwA3U6UFTqxio9LNnvDCQjHKmttSEBsFQ/edit?usp=sharing"",""จัดที่ดิน!BK83"")"),0)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IFERROR(__xludf.DUMMYFUNCTION("IMPORTRANGE(""https://docs.google.com/spreadsheets/d/1tdoBKaGub7dwA3U6UFTqxio9LNnvDCQjHKmttSEBsFQ/edit?usp=sharing"",""จัดที่ดิน!BL83"")"),0)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IFERROR(__xludf.DUMMYFUNCTION("IMPORTRANGE(""https://docs.google.com/spreadsheets/d/1eHaY18a8A9IcSdp1K8H6x8fbOy06t2VsZHhMHf-1x7Y/edit?usp=sharing"",""แผน!IR83"")"),0)</f>
        <v>0</v>
      </c>
      <c r="J681" s="152">
        <f ca="1">IFERROR(__xludf.DUMMYFUNCTION("IMPORTRANGE(""https://docs.google.com/spreadsheets/d/1tdoBKaGub7dwA3U6UFTqxio9LNnvDCQjHKmttSEBsFQ/edit?usp=sharing"",""จัดที่ดิน!BM83"")"),0)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IFERROR(__xludf.DUMMYFUNCTION("IMPORTRANGE(""https://docs.google.com/spreadsheets/d/1eHaY18a8A9IcSdp1K8H6x8fbOy06t2VsZHhMHf-1x7Y/edit?usp=sharing"",""แผน!IS83"")"),0)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hidden="1" x14ac:dyDescent="0.3">
      <c r="A689" s="456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hidden="1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0</v>
      </c>
      <c r="R690" s="132">
        <f ca="1">R691+R692</f>
        <v>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0</v>
      </c>
      <c r="R692" s="47">
        <f ca="1">R695+R698</f>
        <v>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hidden="1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0</v>
      </c>
      <c r="R693" s="47">
        <f ca="1">R694+R695</f>
        <v>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IFERROR(__xludf.DUMMYFUNCTION("IMPORTRANGE(""https://docs.google.com/spreadsheets/d/1ItG2mGa2ceCfYo0BwxsXqNm01IGEUdYcSSLTEv9YCik/edit?usp=sharing"",""เบิกจ่ายกองทุน!L83"")"),0)</f>
        <v>0</v>
      </c>
      <c r="R695" s="47">
        <f ca="1">IFERROR(__xludf.DUMMYFUNCTION("IMPORTRANGE(""https://docs.google.com/spreadsheets/d/1ItG2mGa2ceCfYo0BwxsXqNm01IGEUdYcSSLTEv9YCik/edit?usp=sharing"",""เบิกจ่ายกองทุน!M83"")"),0)</f>
        <v>0</v>
      </c>
      <c r="S695" s="47">
        <f ca="1">IFERROR(__xludf.DUMMYFUNCTION("IMPORTRANGE(""https://docs.google.com/spreadsheets/d/1ItG2mGa2ceCfYo0BwxsXqNm01IGEUdYcSSLTEv9YCik/edit?usp=sharing"",""เบิกจ่ายกองทุน!N83"")"),0)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hidden="1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hidden="1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hidden="1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IFERROR(__xludf.DUMMYFUNCTION("IMPORTRANGE(""https://docs.google.com/spreadsheets/d/1eHaY18a8A9IcSdp1K8H6x8fbOy06t2VsZHhMHf-1x7Y/edit?usp=sharing"",""แผน!LC83"")"),0)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hidden="1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hidden="1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hidden="1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IFERROR(__xludf.DUMMYFUNCTION("IMPORTRANGE(""https://docs.google.com/spreadsheets/d/1eHaY18a8A9IcSdp1K8H6x8fbOy06t2VsZHhMHf-1x7Y/edit?usp=sharing"",""แผน!LJ83"")"),0)</f>
        <v>0</v>
      </c>
      <c r="J703" s="152">
        <f ca="1">IFERROR(__xludf.DUMMYFUNCTION("IMPORTRANGE(""https://docs.google.com/spreadsheets/d/1tdoBKaGub7dwA3U6UFTqxio9LNnvDCQjHKmttSEBsFQ/edit?usp=sharing"",""จัดที่ดิน!AP83"")"),0)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IFERROR(__xludf.DUMMYFUNCTION("IMPORTRANGE(""https://docs.google.com/spreadsheets/d/1tdoBKaGub7dwA3U6UFTqxio9LNnvDCQjHKmttSEBsFQ/edit?usp=sharing"",""จัดที่ดิน!AQ83"")"),0)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IFERROR(__xludf.DUMMYFUNCTION("IMPORTRANGE(""https://docs.google.com/spreadsheets/d/1eHaY18a8A9IcSdp1K8H6x8fbOy06t2VsZHhMHf-1x7Y/edit?usp=sharing"",""แผน!LK83"")"),0)</f>
        <v>0</v>
      </c>
      <c r="J705" s="152">
        <f ca="1">IFERROR(__xludf.DUMMYFUNCTION("IMPORTRANGE(""https://docs.google.com/spreadsheets/d/1tdoBKaGub7dwA3U6UFTqxio9LNnvDCQjHKmttSEBsFQ/edit?usp=sharing"",""จัดที่ดิน!AR83"")"),0)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IFERROR(__xludf.DUMMYFUNCTION("IMPORTRANGE(""https://docs.google.com/spreadsheets/d/1tdoBKaGub7dwA3U6UFTqxio9LNnvDCQjHKmttSEBsFQ/edit?usp=sharing"",""จัดที่ดิน!AS83"")"),0)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IFERROR(__xludf.DUMMYFUNCTION("IMPORTRANGE(""https://docs.google.com/spreadsheets/d/1eHaY18a8A9IcSdp1K8H6x8fbOy06t2VsZHhMHf-1x7Y/edit?usp=sharing"",""แผน!LJ83"")"),0)</f>
        <v>0</v>
      </c>
      <c r="J707" s="152">
        <f ca="1">IFERROR(__xludf.DUMMYFUNCTION("IMPORTRANGE(""https://docs.google.com/spreadsheets/d/1tdoBKaGub7dwA3U6UFTqxio9LNnvDCQjHKmttSEBsFQ/edit?usp=sharing"",""จัดที่ดิน!BN83"")"),0)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IFERROR(__xludf.DUMMYFUNCTION("IMPORTRANGE(""https://docs.google.com/spreadsheets/d/1tdoBKaGub7dwA3U6UFTqxio9LNnvDCQjHKmttSEBsFQ/edit?usp=sharing"",""จัดที่ดิน!BO83"")"),0)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IFERROR(__xludf.DUMMYFUNCTION("IMPORTRANGE(""https://docs.google.com/spreadsheets/d/1eHaY18a8A9IcSdp1K8H6x8fbOy06t2VsZHhMHf-1x7Y/edit?usp=sharing"",""แผน!LK83"")"),0)</f>
        <v>0</v>
      </c>
      <c r="J709" s="152">
        <f ca="1">IFERROR(__xludf.DUMMYFUNCTION("IMPORTRANGE(""https://docs.google.com/spreadsheets/d/1tdoBKaGub7dwA3U6UFTqxio9LNnvDCQjHKmttSEBsFQ/edit?usp=sharing"",""จัดที่ดิน!BP83"")"),0)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hidden="1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IFERROR(__xludf.DUMMYFUNCTION("IMPORTRANGE(""https://docs.google.com/spreadsheets/d/1tdoBKaGub7dwA3U6UFTqxio9LNnvDCQjHKmttSEBsFQ/edit?usp=sharing"",""จัดที่ดิน!BQ83"")"),0)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56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56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56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IFERROR(__xludf.DUMMYFUNCTION("IMPORTRANGE(""https://docs.google.com/spreadsheets/d/1eHaY18a8A9IcSdp1K8H6x8fbOy06t2VsZHhMHf-1x7Y/edit?usp=sharing"",""แผน!GA83"")"),11)</f>
        <v>11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IFERROR(__xludf.DUMMYFUNCTION("IMPORTRANGE(""https://docs.google.com/spreadsheets/d/1eHaY18a8A9IcSdp1K8H6x8fbOy06t2VsZHhMHf-1x7Y/edit?usp=sharing"",""แผน!FZ83"")"),100)</f>
        <v>100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188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111882</v>
      </c>
      <c r="R728" s="132">
        <f ca="1">R729+R730</f>
        <v>111882</v>
      </c>
      <c r="S728" s="132">
        <f ca="1">S729+S730</f>
        <v>2900</v>
      </c>
      <c r="T728" s="132">
        <f ca="1">IF(Q728&gt;0,S728*100/Q728,0)</f>
        <v>2.5920165889061688</v>
      </c>
      <c r="U728" s="132">
        <f ca="1">IF(R728&gt;0,S728*100/R728,0)</f>
        <v>2.5920165889061688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111882</v>
      </c>
      <c r="R730" s="47">
        <f ca="1">R733+R736</f>
        <v>111882</v>
      </c>
      <c r="S730" s="47">
        <f ca="1">S733+S736</f>
        <v>2900</v>
      </c>
      <c r="T730" s="47">
        <f ca="1">IF(Q730&gt;0,S730*100/Q730,0)</f>
        <v>2.5920165889061688</v>
      </c>
      <c r="U730" s="47">
        <f ca="1">IF(R730&gt;0,S730*100/R730,0)</f>
        <v>2.5920165889061688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111882</v>
      </c>
      <c r="R731" s="47">
        <f ca="1">R732+R733</f>
        <v>111882</v>
      </c>
      <c r="S731" s="47">
        <f ca="1">S732+S733</f>
        <v>2900</v>
      </c>
      <c r="T731" s="47">
        <f ca="1">IF(Q731&gt;0,S731*100/Q731,0)</f>
        <v>2.5920165889061688</v>
      </c>
      <c r="U731" s="47">
        <f ca="1">IF(R731&gt;0,S731*100/R731,0)</f>
        <v>2.5920165889061688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IFERROR(__xludf.DUMMYFUNCTION("IMPORTRANGE(""https://docs.google.com/spreadsheets/d/1ItG2mGa2ceCfYo0BwxsXqNm01IGEUdYcSSLTEv9YCik/edit?usp=sharing"",""เบิกจ่ายกองทุน!O83"")"),111882)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IFERROR(__xludf.DUMMYFUNCTION("IMPORTRANGE(""https://docs.google.com/spreadsheets/d/1ItG2mGa2ceCfYo0BwxsXqNm01IGEUdYcSSLTEv9YCik/edit?usp=sharing"",""เบิกจ่ายกองทุน!P83"")"),111882)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IFERROR(__xludf.DUMMYFUNCTION("IMPORTRANGE(""https://docs.google.com/spreadsheets/d/1ItG2mGa2ceCfYo0BwxsXqNm01IGEUdYcSSLTEv9YCik/edit?usp=sharing"",""เบิกจ่ายกองทุน!Q83"")"),2900)</f>
        <v>2900</v>
      </c>
      <c r="T733" s="47">
        <f ca="1">IF(Q733&gt;0,S733*100/Q733,0)</f>
        <v>2.5920165889061688</v>
      </c>
      <c r="U733" s="47">
        <f ca="1">IF(R733&gt;0,S733*100/R733,0)</f>
        <v>2.5920165889061688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IFERROR(__xludf.DUMMYFUNCTION("IMPORTRANGE(""https://docs.google.com/spreadsheets/d/1eHaY18a8A9IcSdp1K8H6x8fbOy06t2VsZHhMHf-1x7Y/edit?usp=sharing"",""แผน!GB83"")"),80)</f>
        <v>80</v>
      </c>
      <c r="J740" s="554">
        <v>0</v>
      </c>
      <c r="K740" s="331">
        <f ca="1">IF(I740&gt;0,J740*100/I740,0)</f>
        <v>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IFERROR(__xludf.DUMMYFUNCTION("IMPORTRANGE(""https://docs.google.com/spreadsheets/d/1eHaY18a8A9IcSdp1K8H6x8fbOy06t2VsZHhMHf-1x7Y/edit?usp=sharing"",""แผน!GC83"")"),8)</f>
        <v>8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IFERROR(__xludf.DUMMYFUNCTION("IMPORTRANGE(""https://docs.google.com/spreadsheets/d/1eHaY18a8A9IcSdp1K8H6x8fbOy06t2VsZHhMHf-1x7Y/edit?usp=sharing"",""แผน!GD83"")"),20)</f>
        <v>20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IFERROR(__xludf.DUMMYFUNCTION("IMPORTRANGE(""https://docs.google.com/spreadsheets/d/1eHaY18a8A9IcSdp1K8H6x8fbOy06t2VsZHhMHf-1x7Y/edit?usp=sharing"",""แผน!GE83"")"),2)</f>
        <v>2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IFERROR(__xludf.DUMMYFUNCTION("IMPORTRANGE(""https://docs.google.com/spreadsheets/d/1eHaY18a8A9IcSdp1K8H6x8fbOy06t2VsZHhMHf-1x7Y/edit?usp=sharing"",""แผน!GF83"")"),1)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IFERROR(__xludf.DUMMYFUNCTION("IMPORTRANGE(""https://docs.google.com/spreadsheets/d/1eHaY18a8A9IcSdp1K8H6x8fbOy06t2VsZHhMHf-1x7Y/edit?usp=sharing"",""แผน!GB83"")"),80)</f>
        <v>80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IFERROR(__xludf.DUMMYFUNCTION("IMPORTRANGE(""https://docs.google.com/spreadsheets/d/1eHaY18a8A9IcSdp1K8H6x8fbOy06t2VsZHhMHf-1x7Y/edit?usp=sharing"",""แผน!GD83"")"),20)</f>
        <v>20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9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56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25</v>
      </c>
      <c r="J758" s="483">
        <f>J772</f>
        <v>25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50</v>
      </c>
      <c r="J759" s="483">
        <f>J774</f>
        <v>50</v>
      </c>
      <c r="K759" s="484">
        <f ca="1">IF(I759&gt;0,J759*100/I759,0)</f>
        <v>100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169530</v>
      </c>
      <c r="R760" s="132">
        <f ca="1">R761+R762</f>
        <v>169530</v>
      </c>
      <c r="S760" s="132">
        <f ca="1">S761+S762</f>
        <v>68550</v>
      </c>
      <c r="T760" s="132">
        <f ca="1">IF(Q760&gt;0,S760*100/Q760,0)</f>
        <v>40.435321182091663</v>
      </c>
      <c r="U760" s="132">
        <f ca="1">IF(R760&gt;0,S760*100/R760,0)</f>
        <v>40.435321182091663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169530</v>
      </c>
      <c r="R762" s="47">
        <f ca="1">R765+R768</f>
        <v>169530</v>
      </c>
      <c r="S762" s="47">
        <f ca="1">S765+S768</f>
        <v>68550</v>
      </c>
      <c r="T762" s="47">
        <f ca="1">IF(Q762&gt;0,S762*100/Q762,0)</f>
        <v>40.435321182091663</v>
      </c>
      <c r="U762" s="47">
        <f ca="1">IF(R762&gt;0,S762*100/R762,0)</f>
        <v>40.435321182091663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169530</v>
      </c>
      <c r="R763" s="47">
        <f ca="1">R764+R765</f>
        <v>169530</v>
      </c>
      <c r="S763" s="47">
        <f ca="1">S764+S765</f>
        <v>68550</v>
      </c>
      <c r="T763" s="47">
        <f ca="1">IF(Q763&gt;0,S763*100/Q763,0)</f>
        <v>40.435321182091663</v>
      </c>
      <c r="U763" s="47">
        <f ca="1">IF(R763&gt;0,S763*100/R763,0)</f>
        <v>40.435321182091663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IFERROR(__xludf.DUMMYFUNCTION("IMPORTRANGE(""https://docs.google.com/spreadsheets/d/1ItG2mGa2ceCfYo0BwxsXqNm01IGEUdYcSSLTEv9YCik/edit?usp=sharing"",""เบิกจ่ายกองทุน!AA83"")"),169530)</f>
        <v>169530</v>
      </c>
      <c r="R765" s="47">
        <f ca="1">IFERROR(__xludf.DUMMYFUNCTION("IMPORTRANGE(""https://docs.google.com/spreadsheets/d/1ItG2mGa2ceCfYo0BwxsXqNm01IGEUdYcSSLTEv9YCik/edit?usp=sharing"",""เบิกจ่ายกองทุน!AB83"")"),169530)</f>
        <v>169530</v>
      </c>
      <c r="S765" s="47">
        <f ca="1">IFERROR(__xludf.DUMMYFUNCTION("IMPORTRANGE(""https://docs.google.com/spreadsheets/d/1ItG2mGa2ceCfYo0BwxsXqNm01IGEUdYcSSLTEv9YCik/edit?usp=sharing"",""เบิกจ่ายกองทุน!AC83"")"),68550)</f>
        <v>68550</v>
      </c>
      <c r="T765" s="47">
        <f ca="1">IF(Q765&gt;0,S765*100/Q765,0)</f>
        <v>40.435321182091663</v>
      </c>
      <c r="U765" s="47">
        <f ca="1">IF(R765&gt;0,S765*100/R765,0)</f>
        <v>40.435321182091663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IFERROR(__xludf.DUMMYFUNCTION("IMPORTRANGE(""https://docs.google.com/spreadsheets/d/1eHaY18a8A9IcSdp1K8H6x8fbOy06t2VsZHhMHf-1x7Y/edit?usp=sharing"",""แผน!FI83"")"),0)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IFERROR(__xludf.DUMMYFUNCTION("IMPORTRANGE(""https://docs.google.com/spreadsheets/d/1eHaY18a8A9IcSdp1K8H6x8fbOy06t2VsZHhMHf-1x7Y/edit?usp=sharing"",""แผน!FQ83"")"),25)</f>
        <v>25</v>
      </c>
      <c r="J772" s="167">
        <v>25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IFERROR(__xludf.DUMMYFUNCTION("IMPORTRANGE(""https://docs.google.com/spreadsheets/d/1eHaY18a8A9IcSdp1K8H6x8fbOy06t2VsZHhMHf-1x7Y/edit?usp=sharing"",""แผน!FR83"")"),50)</f>
        <v>50</v>
      </c>
      <c r="J774" s="167">
        <v>50</v>
      </c>
      <c r="K774" s="47">
        <f ca="1">IF(I774&gt;0,J774*100/I774,0)</f>
        <v>100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IFERROR(__xludf.DUMMYFUNCTION("IMPORTRANGE(""https://docs.google.com/spreadsheets/d/1eHaY18a8A9IcSdp1K8H6x8fbOy06t2VsZHhMHf-1x7Y/edit?usp=sharing"",""แผน!FS83"")"),50)</f>
        <v>50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IFERROR(__xludf.DUMMYFUNCTION("IMPORTRANGE(""https://docs.google.com/spreadsheets/d/1eHaY18a8A9IcSdp1K8H6x8fbOy06t2VsZHhMHf-1x7Y/edit?usp=sharing"",""แผน!FT83"")"),25)</f>
        <v>25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IFERROR(__xludf.DUMMYFUNCTION("IMPORTRANGE(""https://docs.google.com/spreadsheets/d/10OvvATaaLtwErnr3qtWFcTmtbfpFEt5Bsqel9sXx0uE/edit?usp=sharing"",""งานกองทุน!D83"")"),447454.12)</f>
        <v>447454.12</v>
      </c>
      <c r="J778" s="152">
        <f ca="1">IFERROR(__xludf.DUMMYFUNCTION("IMPORTRANGE(""https://docs.google.com/spreadsheets/d/10OvvATaaLtwErnr3qtWFcTmtbfpFEt5Bsqel9sXx0uE/edit?usp=sharing"",""งานกองทุน!F83"")"),170426.8)</f>
        <v>170426.8</v>
      </c>
      <c r="K778" s="47">
        <f ca="1">IF(I778&gt;0,J778*100/I778,0)</f>
        <v>38.088106105716491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IFERROR(__xludf.DUMMYFUNCTION("IMPORTRANGE(""https://docs.google.com/spreadsheets/d/10OvvATaaLtwErnr3qtWFcTmtbfpFEt5Bsqel9sXx0uE/edit?usp=sharing"",""งานกองทุน!C83"")"),27)</f>
        <v>27</v>
      </c>
      <c r="J779" s="152">
        <f ca="1">IFERROR(__xludf.DUMMYFUNCTION("IMPORTRANGE(""https://docs.google.com/spreadsheets/d/10OvvATaaLtwErnr3qtWFcTmtbfpFEt5Bsqel9sXx0uE/edit?usp=sharing"",""งานกองทุน!E83"")"),9)</f>
        <v>9</v>
      </c>
      <c r="K779" s="47">
        <f ca="1">IF(I779&gt;0,J779*100/I779,0)</f>
        <v>33.333333333333336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IFERROR(__xludf.DUMMYFUNCTION("IMPORTRANGE(""https://docs.google.com/spreadsheets/d/10OvvATaaLtwErnr3qtWFcTmtbfpFEt5Bsqel9sXx0uE/edit?usp=sharing"",""งานกองทุน!I83"")"),158551.29)</f>
        <v>158551.29</v>
      </c>
      <c r="J780" s="152">
        <f ca="1">IFERROR(__xludf.DUMMYFUNCTION("IMPORTRANGE(""https://docs.google.com/spreadsheets/d/10OvvATaaLtwErnr3qtWFcTmtbfpFEt5Bsqel9sXx0uE/edit?usp=sharing"",""งานกองทุน!K83"")"),78588.27)</f>
        <v>78588.27</v>
      </c>
      <c r="K780" s="47">
        <f ca="1">IF(I780&gt;0,J780*100/I780,0)</f>
        <v>49.56646521135211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IFERROR(__xludf.DUMMYFUNCTION("IMPORTRANGE(""https://docs.google.com/spreadsheets/d/10OvvATaaLtwErnr3qtWFcTmtbfpFEt5Bsqel9sXx0uE/edit?usp=sharing"",""งานกองทุน!H83"")"),7)</f>
        <v>7</v>
      </c>
      <c r="J781" s="152">
        <f ca="1">IFERROR(__xludf.DUMMYFUNCTION("IMPORTRANGE(""https://docs.google.com/spreadsheets/d/10OvvATaaLtwErnr3qtWFcTmtbfpFEt5Bsqel9sXx0uE/edit?usp=sharing"",""งานกองทุน!J83"")"),6)</f>
        <v>6</v>
      </c>
      <c r="K781" s="47">
        <f ca="1">IF(I781&gt;0,J781*100/I781,0)</f>
        <v>85.714285714285708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IFERROR(__xludf.DUMMYFUNCTION("IMPORTRANGE(""https://docs.google.com/spreadsheets/d/10OvvATaaLtwErnr3qtWFcTmtbfpFEt5Bsqel9sXx0uE/edit?usp=sharing"",""งานกองทุน!N83"")"),0)</f>
        <v>0</v>
      </c>
      <c r="J782" s="152">
        <f ca="1">IFERROR(__xludf.DUMMYFUNCTION("IMPORTRANGE(""https://docs.google.com/spreadsheets/d/10OvvATaaLtwErnr3qtWFcTmtbfpFEt5Bsqel9sXx0uE/edit?usp=sharing"",""งานกองทุน!P83"")"),0)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IFERROR(__xludf.DUMMYFUNCTION("IMPORTRANGE(""https://docs.google.com/spreadsheets/d/10OvvATaaLtwErnr3qtWFcTmtbfpFEt5Bsqel9sXx0uE/edit?usp=sharing"",""งานกองทุน!M83"")"),0)</f>
        <v>0</v>
      </c>
      <c r="J783" s="152">
        <f ca="1">IFERROR(__xludf.DUMMYFUNCTION("IMPORTRANGE(""https://docs.google.com/spreadsheets/d/10OvvATaaLtwErnr3qtWFcTmtbfpFEt5Bsqel9sXx0uE/edit?usp=sharing"",""งานกองทุน!O83"")"),0)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IFERROR(__xludf.DUMMYFUNCTION("IMPORTRANGE(""https://docs.google.com/spreadsheets/d/10OvvATaaLtwErnr3qtWFcTmtbfpFEt5Bsqel9sXx0uE/edit?usp=sharing"",""งานกองทุน!S83"")"),252000)</f>
        <v>252000</v>
      </c>
      <c r="J784" s="152">
        <f ca="1">IFERROR(__xludf.DUMMYFUNCTION("IMPORTRANGE(""https://docs.google.com/spreadsheets/d/10OvvATaaLtwErnr3qtWFcTmtbfpFEt5Bsqel9sXx0uE/edit?usp=sharing"",""งานกองทุน!U83"")"),0)</f>
        <v>0</v>
      </c>
      <c r="K784" s="47">
        <f ca="1">IF(I784&gt;0,J784*100/I784,0)</f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IFERROR(__xludf.DUMMYFUNCTION("IMPORTRANGE(""https://docs.google.com/spreadsheets/d/10OvvATaaLtwErnr3qtWFcTmtbfpFEt5Bsqel9sXx0uE/edit?usp=sharing"",""งานกองทุน!R83"")"),9)</f>
        <v>9</v>
      </c>
      <c r="J785" s="197">
        <f ca="1">IFERROR(__xludf.DUMMYFUNCTION("IMPORTRANGE(""https://docs.google.com/spreadsheets/d/10OvvATaaLtwErnr3qtWFcTmtbfpFEt5Bsqel9sXx0uE/edit?usp=sharing"",""งานกองทุน!T83"")"),0)</f>
        <v>0</v>
      </c>
      <c r="K785" s="111">
        <f ca="1">IF(I785&gt;0,J785*100/I785,0)</f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4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5CDEA-D493-455A-90B4-E3191088FE99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20" width="19.28515625" bestFit="1" customWidth="1"/>
    <col min="21" max="21" width="21.28515625" bestFit="1" customWidth="1"/>
  </cols>
  <sheetData>
    <row r="1" spans="1:21" ht="19.5" x14ac:dyDescent="0.3">
      <c r="A1" s="817" t="s">
        <v>0</v>
      </c>
      <c r="B1" s="817"/>
      <c r="C1" s="817"/>
      <c r="D1" s="817"/>
      <c r="E1" s="817"/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7"/>
      <c r="R1" s="817"/>
      <c r="S1" s="817"/>
      <c r="T1" s="817"/>
      <c r="U1" s="817"/>
    </row>
    <row r="2" spans="1:21" s="897" customFormat="1" ht="19.5" x14ac:dyDescent="0.3">
      <c r="A2" s="817" t="s">
        <v>324</v>
      </c>
      <c r="B2" s="817"/>
      <c r="C2" s="817"/>
      <c r="D2" s="817"/>
      <c r="E2" s="817"/>
      <c r="F2" s="817"/>
      <c r="G2" s="817"/>
      <c r="H2" s="817"/>
      <c r="I2" s="817"/>
      <c r="J2" s="817"/>
      <c r="K2" s="817"/>
      <c r="L2" s="817"/>
      <c r="M2" s="817"/>
      <c r="N2" s="817"/>
      <c r="O2" s="817"/>
      <c r="P2" s="817"/>
      <c r="Q2" s="817"/>
      <c r="R2" s="817"/>
      <c r="S2" s="817"/>
      <c r="T2" s="817"/>
      <c r="U2" s="817"/>
    </row>
    <row r="3" spans="1:21" ht="19.5" x14ac:dyDescent="0.3">
      <c r="A3" s="817" t="s">
        <v>332</v>
      </c>
      <c r="B3" s="817"/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  <c r="S3" s="817"/>
      <c r="T3" s="817"/>
      <c r="U3" s="817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816"/>
      <c r="L4" s="815" t="s">
        <v>2</v>
      </c>
      <c r="M4" s="518"/>
      <c r="N4" s="518"/>
      <c r="O4" s="518"/>
      <c r="P4" s="519"/>
      <c r="Q4" s="814" t="s">
        <v>3</v>
      </c>
      <c r="R4" s="518"/>
      <c r="S4" s="518"/>
      <c r="T4" s="518"/>
      <c r="U4" s="519"/>
    </row>
    <row r="5" spans="1:21" ht="19.5" x14ac:dyDescent="0.3">
      <c r="A5" s="813" t="s">
        <v>4</v>
      </c>
      <c r="B5" s="522"/>
      <c r="C5" s="522"/>
      <c r="D5" s="522"/>
      <c r="E5" s="522"/>
      <c r="F5" s="522"/>
      <c r="G5" s="535"/>
      <c r="H5" s="812" t="s">
        <v>5</v>
      </c>
      <c r="I5" s="527" t="s">
        <v>6</v>
      </c>
      <c r="J5" s="518"/>
      <c r="K5" s="519"/>
      <c r="L5" s="811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0"/>
      <c r="I6" s="7" t="s">
        <v>9</v>
      </c>
      <c r="J6" s="8" t="s">
        <v>10</v>
      </c>
      <c r="K6" s="7" t="s">
        <v>11</v>
      </c>
      <c r="L6" s="809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2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1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1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1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1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1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1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1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1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08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7">
        <f ca="1">L19+L20</f>
        <v>1823220</v>
      </c>
      <c r="M18" s="35">
        <f ca="1">M19+M20</f>
        <v>1861150</v>
      </c>
      <c r="N18" s="35">
        <f ca="1">N19+N20</f>
        <v>1240372.54</v>
      </c>
      <c r="O18" s="35">
        <f ca="1">IF(L18&gt;0,N18*100/L18,0)</f>
        <v>68.031973102532888</v>
      </c>
      <c r="P18" s="35">
        <f ca="1">IF(M18&gt;0,N18*100/M18,0)</f>
        <v>66.645490153937075</v>
      </c>
      <c r="Q18" s="888">
        <f ca="1">Q19+Q20</f>
        <v>726208.99</v>
      </c>
      <c r="R18" s="887">
        <f ca="1">R19+R20</f>
        <v>726209</v>
      </c>
      <c r="S18" s="887">
        <f ca="1">S19+S20</f>
        <v>213669.91</v>
      </c>
      <c r="T18" s="887">
        <f ca="1">IF(Q18&gt;0,S18*100/Q18,0)</f>
        <v>29.422647329111143</v>
      </c>
      <c r="U18" s="887">
        <f ca="1">IF(R18&gt;0,S18*100/R18,0)</f>
        <v>29.422646923957153</v>
      </c>
    </row>
    <row r="19" spans="1:21" ht="18.75" hidden="1" x14ac:dyDescent="0.25">
      <c r="A19" s="27"/>
      <c r="B19" s="28"/>
      <c r="C19" s="28"/>
      <c r="D19" s="28"/>
      <c r="E19" s="806" t="s">
        <v>20</v>
      </c>
      <c r="F19" s="28"/>
      <c r="G19" s="31"/>
      <c r="H19" s="805" t="s">
        <v>14</v>
      </c>
      <c r="I19" s="33"/>
      <c r="J19" s="33"/>
      <c r="K19" s="34"/>
      <c r="L19" s="804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804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3">
        <f ca="1">L23+L26</f>
        <v>1823220</v>
      </c>
      <c r="M20" s="39">
        <f ca="1">M23+M26</f>
        <v>1861150</v>
      </c>
      <c r="N20" s="39">
        <f ca="1">N23+N26</f>
        <v>1240372.54</v>
      </c>
      <c r="O20" s="39">
        <f ca="1">IF(L20&gt;0,N20*100/L20,0)</f>
        <v>68.031973102532888</v>
      </c>
      <c r="P20" s="39">
        <f ca="1">IF(M20&gt;0,N20*100/M20,0)</f>
        <v>66.645490153937075</v>
      </c>
      <c r="Q20" s="803">
        <f ca="1">Q23+Q26</f>
        <v>726208.99</v>
      </c>
      <c r="R20" s="39">
        <f ca="1">R23+R26</f>
        <v>726209</v>
      </c>
      <c r="S20" s="39">
        <f ca="1">S23+S26</f>
        <v>213669.91</v>
      </c>
      <c r="T20" s="39">
        <f ca="1">IF(Q20&gt;0,S20*100/Q20,0)</f>
        <v>29.422647329111143</v>
      </c>
      <c r="U20" s="39">
        <f ca="1">IF(R20&gt;0,S20*100/R20,0)</f>
        <v>29.422646923957153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1823220</v>
      </c>
      <c r="M21" s="47">
        <f ca="1">M22+M23</f>
        <v>1861150</v>
      </c>
      <c r="N21" s="47">
        <f ca="1">N22+N23</f>
        <v>1240372.54</v>
      </c>
      <c r="O21" s="47">
        <f ca="1">IF(L21&gt;0,N21*100/L21,0)</f>
        <v>68.031973102532888</v>
      </c>
      <c r="P21" s="47">
        <f ca="1">IF(M21&gt;0,N21*100/M21,0)</f>
        <v>66.645490153937075</v>
      </c>
      <c r="Q21" s="548">
        <f ca="1">Q22+Q23</f>
        <v>726208.99</v>
      </c>
      <c r="R21" s="47">
        <f ca="1">R22+R23</f>
        <v>726209</v>
      </c>
      <c r="S21" s="47">
        <f ca="1">S22+S23</f>
        <v>213669.91</v>
      </c>
      <c r="T21" s="47">
        <f ca="1">IF(Q21&gt;0,S21*100/Q21,0)</f>
        <v>29.422647329111143</v>
      </c>
      <c r="U21" s="47">
        <f ca="1">IF(R21&gt;0,S21*100/R21,0)</f>
        <v>29.422646923957153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5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L49+L64+L77+L99+L130+L144+L162+L191+L178+L271+L287+L308+L325+L338+L361+L518</f>
        <v>1823220</v>
      </c>
      <c r="M23" s="47">
        <f ca="1">M49+M64+M77+M99+M130+M144+M162+M191+M178+M271+M287+M308+M325+M338+M361+M518</f>
        <v>1861150</v>
      </c>
      <c r="N23" s="47">
        <f ca="1">N49+N64+N77+N99+N130+N144+N162+N191+N178+N271+N287+N308+N325+N338+N361+N518</f>
        <v>1240372.54</v>
      </c>
      <c r="O23" s="47">
        <f ca="1">IF(L23&gt;0,N23*100/L23,0)</f>
        <v>68.031973102532888</v>
      </c>
      <c r="P23" s="47">
        <f ca="1">IF(M23&gt;0,N23*100/M23,0)</f>
        <v>66.645490153937075</v>
      </c>
      <c r="Q23" s="548">
        <f ca="1">Q77+Q99+Q122+Q144+Q162+Q178+Q191+Q271+Q287+Q308+Q338+Q380+Q397+Q418+Q498+Q604+Q621+Q647+Q695+Q719+Q733+Q765</f>
        <v>726208.99</v>
      </c>
      <c r="R23" s="47">
        <f ca="1">R77+R99+R122+R144+R162+R178+R191+R271+R287+R308+R338+R380+R397+R418+R498+R604+R621+R647+R695+R719+R733+R765</f>
        <v>726209</v>
      </c>
      <c r="S23" s="47">
        <f ca="1">S77+S99+S122+S144+S162+S178+S191+S271+S287+S308+S338+S380+S397+S418+S498+S604+S621+S647+S695+S719+S733+S765</f>
        <v>213669.91</v>
      </c>
      <c r="T23" s="47">
        <f ca="1">IF(Q23&gt;0,S23*100/Q23,0)</f>
        <v>29.422647329111143</v>
      </c>
      <c r="U23" s="47">
        <f ca="1">IF(R23&gt;0,S23*100/R23,0)</f>
        <v>29.422646923957153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548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5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L52+L67+L80+L102+L133+L147+L165+L194+L181+L274+L290+L311+L328+L341+L364+L521</f>
        <v>0</v>
      </c>
      <c r="M26" s="47">
        <f ca="1">M52+M67+M80+M102+M133+M147+M165+M194+M181+M274+M290+M311+M328+M341+M364+M521</f>
        <v>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5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5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5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545"/>
      <c r="R29" s="4"/>
      <c r="S29" s="4"/>
      <c r="T29" s="4"/>
      <c r="U29" s="4"/>
    </row>
    <row r="30" spans="1:21" ht="12.75" hidden="1" x14ac:dyDescent="0.2">
      <c r="A30" s="802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710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1"/>
      <c r="M31" s="22"/>
      <c r="N31" s="22"/>
      <c r="O31" s="22"/>
      <c r="P31" s="22"/>
      <c r="Q31" s="701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1"/>
      <c r="M32" s="22"/>
      <c r="N32" s="22"/>
      <c r="O32" s="22"/>
      <c r="P32" s="22"/>
      <c r="Q32" s="701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1"/>
      <c r="M33" s="22"/>
      <c r="N33" s="22"/>
      <c r="O33" s="22"/>
      <c r="P33" s="22"/>
      <c r="Q33" s="701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1"/>
      <c r="M34" s="22"/>
      <c r="N34" s="22"/>
      <c r="O34" s="22"/>
      <c r="P34" s="22"/>
      <c r="Q34" s="701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1"/>
      <c r="M35" s="22"/>
      <c r="N35" s="22"/>
      <c r="O35" s="22"/>
      <c r="P35" s="22"/>
      <c r="Q35" s="701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1"/>
      <c r="M36" s="22"/>
      <c r="N36" s="22"/>
      <c r="O36" s="22"/>
      <c r="P36" s="22"/>
      <c r="Q36" s="701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1"/>
      <c r="M37" s="22"/>
      <c r="N37" s="22"/>
      <c r="O37" s="22"/>
      <c r="P37" s="22"/>
      <c r="Q37" s="701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1"/>
      <c r="M38" s="22"/>
      <c r="N38" s="22"/>
      <c r="O38" s="22"/>
      <c r="P38" s="22"/>
      <c r="Q38" s="701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710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1">
        <f ca="1">L44+L59+L72+L94+L125+L139+L157+L173+L186+L266+L282+L303+L320+L333+L356</f>
        <v>1823220</v>
      </c>
      <c r="M40" s="800">
        <f ca="1">M44+M59+M72+M94+M125+M139+M157+M173+M186+M266+M282+M303+M320+M333+M356</f>
        <v>1861150</v>
      </c>
      <c r="N40" s="800">
        <f ca="1">N44+N59+N72+N94+N125+N139+N157+N173+N186+N266+N282+N303+N320+N333+N356</f>
        <v>1240372.54</v>
      </c>
      <c r="O40" s="800">
        <f ca="1">IF(L40&gt;0,N40*100/L40,0)</f>
        <v>68.031973102532888</v>
      </c>
      <c r="P40" s="800">
        <f ca="1">IF(M40&gt;0,N40*100/M40,0)</f>
        <v>66.645490153937075</v>
      </c>
      <c r="Q40" s="886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885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99"/>
      <c r="M42" s="70"/>
      <c r="N42" s="70"/>
      <c r="O42" s="70"/>
      <c r="P42" s="70"/>
      <c r="Q42" s="799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1"/>
      <c r="M43" s="22"/>
      <c r="N43" s="22"/>
      <c r="O43" s="22"/>
      <c r="P43" s="22"/>
      <c r="Q43" s="701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221000</v>
      </c>
      <c r="M44" s="79">
        <f ca="1">M45+M46</f>
        <v>227980</v>
      </c>
      <c r="N44" s="79">
        <f ca="1">N45+N46</f>
        <v>163027</v>
      </c>
      <c r="O44" s="79">
        <f ca="1">IF(L44&gt;0,N44*100/L44,0)</f>
        <v>73.76787330316742</v>
      </c>
      <c r="P44" s="79">
        <f ca="1">IF(M44&gt;0,N44*100/M44,0)</f>
        <v>71.509342924817972</v>
      </c>
      <c r="Q44" s="797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794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221000</v>
      </c>
      <c r="M46" s="83">
        <f ca="1">M49+M52</f>
        <v>227980</v>
      </c>
      <c r="N46" s="83">
        <f ca="1">N49+N52</f>
        <v>163027</v>
      </c>
      <c r="O46" s="83">
        <f ca="1">IF(L46&gt;0,N46*100/L46,0)</f>
        <v>73.76787330316742</v>
      </c>
      <c r="P46" s="83">
        <f ca="1">IF(M46&gt;0,N46*100/M46,0)</f>
        <v>71.509342924817972</v>
      </c>
      <c r="Q46" s="79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221000</v>
      </c>
      <c r="M47" s="47">
        <f ca="1">M48+M49</f>
        <v>227980</v>
      </c>
      <c r="N47" s="47">
        <f ca="1">N48+N49</f>
        <v>163027</v>
      </c>
      <c r="O47" s="47">
        <f ca="1">IF(L47&gt;0,N47*100/L47,0)</f>
        <v>73.76787330316742</v>
      </c>
      <c r="P47" s="47">
        <f ca="1">IF(M47&gt;0,N47*100/M47,0)</f>
        <v>71.509342924817972</v>
      </c>
      <c r="Q47" s="548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5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IFERROR(__xludf.DUMMYFUNCTION("IMPORTRANGE(""https://docs.google.com/spreadsheets/d/1-uDff_7J0KD5mKrp0Vvzr7lt3OU09vwQwhkpOPPYv2Y/edit?usp=sharing"",""งบพรบ!P84"")"),221000)</f>
        <v>221000</v>
      </c>
      <c r="M49" s="47">
        <f ca="1">IFERROR(__xludf.DUMMYFUNCTION("IMPORTRANGE(""https://docs.google.com/spreadsheets/d/1-uDff_7J0KD5mKrp0Vvzr7lt3OU09vwQwhkpOPPYv2Y/edit?usp=sharing"",""งบพรบ!V84"")"),227980)</f>
        <v>227980</v>
      </c>
      <c r="N49" s="47">
        <f ca="1">IFERROR(__xludf.DUMMYFUNCTION("IMPORTRANGE(""https://docs.google.com/spreadsheets/d/1-uDff_7J0KD5mKrp0Vvzr7lt3OU09vwQwhkpOPPYv2Y/edit?usp=sharing"",""งบพรบ!Y84"")"),163027)</f>
        <v>163027</v>
      </c>
      <c r="O49" s="47">
        <f ca="1">IF(L49&gt;0,N49*100/L49,0)</f>
        <v>73.76787330316742</v>
      </c>
      <c r="P49" s="47">
        <f ca="1">IF(M49&gt;0,N49*100/M49,0)</f>
        <v>71.509342924817972</v>
      </c>
      <c r="Q49" s="548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548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5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IFERROR(__xludf.DUMMYFUNCTION("IMPORTRANGE(""https://docs.google.com/spreadsheets/d/1-uDff_7J0KD5mKrp0Vvzr7lt3OU09vwQwhkpOPPYv2Y/edit?usp=sharing"",""งบพรบ!S84"")"),0)</f>
        <v>0</v>
      </c>
      <c r="M52" s="47">
        <f ca="1">IFERROR(__xludf.DUMMYFUNCTION("IMPORTRANGE(""https://docs.google.com/spreadsheets/d/1-uDff_7J0KD5mKrp0Vvzr7lt3OU09vwQwhkpOPPYv2Y/edit?usp=sharing"",""งบพรบ!W84"")"),0)</f>
        <v>0</v>
      </c>
      <c r="N52" s="47">
        <f ca="1">IFERROR(__xludf.DUMMYFUNCTION("IMPORTRANGE(""https://docs.google.com/spreadsheets/d/1-uDff_7J0KD5mKrp0Vvzr7lt3OU09vwQwhkpOPPYv2Y/edit?usp=sharing"",""งบพรบ!Z84"")"),0)</f>
        <v>0</v>
      </c>
      <c r="O52" s="47">
        <f ca="1">IF(L52&gt;0,N52*100/L52,0)</f>
        <v>0</v>
      </c>
      <c r="P52" s="47">
        <f ca="1">IF(M52&gt;0,N52*100/M52,0)</f>
        <v>0</v>
      </c>
      <c r="Q52" s="548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5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5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545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84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792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791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578900</v>
      </c>
      <c r="M59" s="106">
        <f ca="1">M60+M61</f>
        <v>578900</v>
      </c>
      <c r="N59" s="106">
        <f ca="1">N60+N61</f>
        <v>461889.85</v>
      </c>
      <c r="O59" s="106">
        <f ca="1">IF(L59&gt;0,N59*100/L59,0)</f>
        <v>79.787502159267575</v>
      </c>
      <c r="P59" s="106">
        <f ca="1">IF(M59&gt;0,N59*100/M59,0)</f>
        <v>79.787502159267575</v>
      </c>
      <c r="Q59" s="789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786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578900</v>
      </c>
      <c r="M61" s="109">
        <f ca="1">M64+M67</f>
        <v>578900</v>
      </c>
      <c r="N61" s="109">
        <f ca="1">N64+N67</f>
        <v>461889.85</v>
      </c>
      <c r="O61" s="109">
        <f ca="1">IF(L61&gt;0,N61*100/L61,0)</f>
        <v>79.787502159267575</v>
      </c>
      <c r="P61" s="109">
        <f ca="1">IF(M61&gt;0,N61*100/M61,0)</f>
        <v>79.787502159267575</v>
      </c>
      <c r="Q61" s="785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578900</v>
      </c>
      <c r="M62" s="47">
        <f ca="1">M63+M64</f>
        <v>578900</v>
      </c>
      <c r="N62" s="47">
        <f ca="1">N63+N64</f>
        <v>461889.85</v>
      </c>
      <c r="O62" s="47">
        <f ca="1">IF(L62&gt;0,N62*100/L62,0)</f>
        <v>79.787502159267575</v>
      </c>
      <c r="P62" s="47">
        <f ca="1">IF(M62&gt;0,N62*100/M62,0)</f>
        <v>79.787502159267575</v>
      </c>
      <c r="Q62" s="548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5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IFERROR(__xludf.DUMMYFUNCTION("IMPORTRANGE(""https://docs.google.com/spreadsheets/d/1-uDff_7J0KD5mKrp0Vvzr7lt3OU09vwQwhkpOPPYv2Y/edit?usp=sharing"",""งบพรบ!AC84"")"),578900)</f>
        <v>578900</v>
      </c>
      <c r="M64" s="47">
        <f ca="1">IFERROR(__xludf.DUMMYFUNCTION("IMPORTRANGE(""https://docs.google.com/spreadsheets/d/1-uDff_7J0KD5mKrp0Vvzr7lt3OU09vwQwhkpOPPYv2Y/edit?usp=sharing"",""งบพรบ!AH84"")"),578900)</f>
        <v>578900</v>
      </c>
      <c r="N64" s="47">
        <f ca="1">IFERROR(__xludf.DUMMYFUNCTION("IMPORTRANGE(""https://docs.google.com/spreadsheets/d/1-uDff_7J0KD5mKrp0Vvzr7lt3OU09vwQwhkpOPPYv2Y/edit?usp=sharing"",""งบพรบ!AJ84"")"),461889.85)</f>
        <v>461889.85</v>
      </c>
      <c r="O64" s="47">
        <f ca="1">IF(L64&gt;0,N64*100/L64,0)</f>
        <v>79.787502159267575</v>
      </c>
      <c r="P64" s="47">
        <f ca="1">IF(M64&gt;0,N64*100/M64,0)</f>
        <v>79.787502159267575</v>
      </c>
      <c r="Q64" s="548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548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5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IFERROR(__xludf.DUMMYFUNCTION("IMPORTRANGE(""https://docs.google.com/spreadsheets/d/1-uDff_7J0KD5mKrp0Vvzr7lt3OU09vwQwhkpOPPYv2Y/edit?usp=sharing"",""งบพรบ!AF84"")"),0)</f>
        <v>0</v>
      </c>
      <c r="M67" s="111">
        <f ca="1">IFERROR(__xludf.DUMMYFUNCTION("IMPORTRANGE(""https://docs.google.com/spreadsheets/d/1-uDff_7J0KD5mKrp0Vvzr7lt3OU09vwQwhkpOPPYv2Y/edit?usp=sharing"",""งบพรบ!AI84"")"),0)</f>
        <v>0</v>
      </c>
      <c r="N67" s="111">
        <f ca="1">IFERROR(__xludf.DUMMYFUNCTION("IMPORTRANGE(""https://docs.google.com/spreadsheets/d/1-uDff_7J0KD5mKrp0Vvzr7lt3OU09vwQwhkpOPPYv2Y/edit?usp=sharing"",""งบพรบ!AK84"")"),0)</f>
        <v>0</v>
      </c>
      <c r="O67" s="111">
        <f ca="1">IF(L67&gt;0,N67*100/L67,0)</f>
        <v>0</v>
      </c>
      <c r="P67" s="111">
        <f ca="1">IF(M67&gt;0,N67*100/M67,0)</f>
        <v>0</v>
      </c>
      <c r="Q67" s="783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883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782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2"/>
      <c r="M70" s="34"/>
      <c r="N70" s="34"/>
      <c r="O70" s="34"/>
      <c r="P70" s="34"/>
      <c r="Q70" s="582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2"/>
      <c r="M71" s="34"/>
      <c r="N71" s="34"/>
      <c r="O71" s="34"/>
      <c r="P71" s="34"/>
      <c r="Q71" s="582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0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550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5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548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548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5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IFERROR(__xludf.DUMMYFUNCTION("IMPORTRANGE(""https://docs.google.com/spreadsheets/d/1-uDff_7J0KD5mKrp0Vvzr7lt3OU09vwQwhkpOPPYv2Y/edit?usp=sharing"",""งบพรบ!AM84"")"),0)</f>
        <v>0</v>
      </c>
      <c r="M77" s="47">
        <f ca="1">IFERROR(__xludf.DUMMYFUNCTION("IMPORTRANGE(""https://docs.google.com/spreadsheets/d/1-uDff_7J0KD5mKrp0Vvzr7lt3OU09vwQwhkpOPPYv2Y/edit?usp=sharing"",""งบพรบ!AR84"")"),0)</f>
        <v>0</v>
      </c>
      <c r="N77" s="47">
        <f ca="1">IFERROR(__xludf.DUMMYFUNCTION("IMPORTRANGE(""https://docs.google.com/spreadsheets/d/1-uDff_7J0KD5mKrp0Vvzr7lt3OU09vwQwhkpOPPYv2Y/edit?usp=sharing"",""งบพรบ!AT84"")"),0)</f>
        <v>0</v>
      </c>
      <c r="O77" s="47">
        <f ca="1">IF(L77&gt;0,N77*100/L77,0)</f>
        <v>0</v>
      </c>
      <c r="P77" s="47">
        <f ca="1">IF(M77&gt;0,N77*100/M77,0)</f>
        <v>0</v>
      </c>
      <c r="Q77" s="548">
        <f ca="1">IFERROR(__xludf.DUMMYFUNCTION("IMPORTRANGE(""https://docs.google.com/spreadsheets/d/1ItG2mGa2ceCfYo0BwxsXqNm01IGEUdYcSSLTEv9YCik/edit?usp=sharing"",""เบิกจ่ายกองทุน!BH84"")"),0)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IFERROR(__xludf.DUMMYFUNCTION("IMPORTRANGE(""https://docs.google.com/spreadsheets/d/1ItG2mGa2ceCfYo0BwxsXqNm01IGEUdYcSSLTEv9YCik/edit?usp=sharing"",""เบิกจ่ายกองทุน!BI84"")"),0)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IFERROR(__xludf.DUMMYFUNCTION("IMPORTRANGE(""https://docs.google.com/spreadsheets/d/1ItG2mGa2ceCfYo0BwxsXqNm01IGEUdYcSSLTEv9YCik/edit?usp=sharing"",""เบิกจ่ายกองทุน!BJ84"")"),0)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548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549">
        <v>0</v>
      </c>
      <c r="R79" s="49">
        <v>0</v>
      </c>
      <c r="S79" s="49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IFERROR(__xludf.DUMMYFUNCTION("IMPORTRANGE(""https://docs.google.com/spreadsheets/d/1-uDff_7J0KD5mKrp0Vvzr7lt3OU09vwQwhkpOPPYv2Y/edit?usp=sharing"",""งบพรบ!AP84"")"),0)</f>
        <v>0</v>
      </c>
      <c r="M80" s="47">
        <f ca="1">IFERROR(__xludf.DUMMYFUNCTION("IMPORTRANGE(""https://docs.google.com/spreadsheets/d/1-uDff_7J0KD5mKrp0Vvzr7lt3OU09vwQwhkpOPPYv2Y/edit?usp=sharing"",""งบพรบ!AS84"")"),0)</f>
        <v>0</v>
      </c>
      <c r="N80" s="47">
        <f ca="1">IFERROR(__xludf.DUMMYFUNCTION("IMPORTRANGE(""https://docs.google.com/spreadsheets/d/1-uDff_7J0KD5mKrp0Vvzr7lt3OU09vwQwhkpOPPYv2Y/edit?usp=sharing"",""งบพรบ!AU84"")"),0)</f>
        <v>0</v>
      </c>
      <c r="O80" s="47">
        <f ca="1">IF(L80&gt;0,N80*100/L80,0)</f>
        <v>0</v>
      </c>
      <c r="P80" s="47">
        <f ca="1">IF(M80&gt;0,N80*100/M80,0)</f>
        <v>0</v>
      </c>
      <c r="Q80" s="548">
        <f ca="1">IFERROR(__xludf.DUMMYFUNCTION("IMPORTRANGE(""https://docs.google.com/spreadsheets/d/1ItG2mGa2ceCfYo0BwxsXqNm01IGEUdYcSSLTEv9YCik/edit?usp=sharing"",""เบิกจ่ายกองทุน!BK84"")"),0)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IFERROR(__xludf.DUMMYFUNCTION("IMPORTRANGE(""https://docs.google.com/spreadsheets/d/1ItG2mGa2ceCfYo0BwxsXqNm01IGEUdYcSSLTEv9YCik/edit?usp=sharing"",""เบิกจ่ายกองทุน!BL84"")"),0)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IFERROR(__xludf.DUMMYFUNCTION("IMPORTRANGE(""https://docs.google.com/spreadsheets/d/1ItG2mGa2ceCfYo0BwxsXqNm01IGEUdYcSSLTEv9YCik/edit?usp=sharing"",""เบิกจ่ายกองทุน!BM84"")"),0)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558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558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558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IFERROR(__xludf.DUMMYFUNCTION("IMPORTRANGE(""https://docs.google.com/spreadsheets/d/1eHaY18a8A9IcSdp1K8H6x8fbOy06t2VsZHhMHf-1x7Y/edit?usp=sharing"",""แผน!H84"")"),0)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558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IFERROR(__xludf.DUMMYFUNCTION("IMPORTRANGE(""https://docs.google.com/spreadsheets/d/1eHaY18a8A9IcSdp1K8H6x8fbOy06t2VsZHhMHf-1x7Y/edit?usp=sharing"",""แผน!I84"")"),0)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558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IFERROR(__xludf.DUMMYFUNCTION("IMPORTRANGE(""https://docs.google.com/spreadsheets/d/1eHaY18a8A9IcSdp1K8H6x8fbOy06t2VsZHhMHf-1x7Y/edit?usp=sharing"",""แผน!F84"")"),0)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558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IFERROR(__xludf.DUMMYFUNCTION("IMPORTRANGE(""https://docs.google.com/spreadsheets/d/1eHaY18a8A9IcSdp1K8H6x8fbOy06t2VsZHhMHf-1x7Y/edit?usp=sharing"",""แผน!G84"")"),0)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558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IFERROR(__xludf.DUMMYFUNCTION("IMPORTRANGE(""https://docs.google.com/spreadsheets/d/1eHaY18a8A9IcSdp1K8H6x8fbOy06t2VsZHhMHf-1x7Y/edit?usp=sharing"",""แผน!D84"")"),0)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558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IFERROR(__xludf.DUMMYFUNCTION("IMPORTRANGE(""https://docs.google.com/spreadsheets/d/1eHaY18a8A9IcSdp1K8H6x8fbOy06t2VsZHhMHf-1x7Y/edit?usp=sharing"",""แผน!E84"")"),0)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558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IFERROR(__xludf.DUMMYFUNCTION("IMPORTRANGE(""https://docs.google.com/spreadsheets/d/1eHaY18a8A9IcSdp1K8H6x8fbOy06t2VsZHhMHf-1x7Y/edit?usp=sharing"",""แผน!J84"")"),0)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558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782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2"/>
      <c r="M92" s="34"/>
      <c r="N92" s="34"/>
      <c r="O92" s="34"/>
      <c r="P92" s="34"/>
      <c r="Q92" s="582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2"/>
      <c r="M93" s="34"/>
      <c r="N93" s="34"/>
      <c r="O93" s="34"/>
      <c r="P93" s="34"/>
      <c r="Q93" s="582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0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550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5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548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548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5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IFERROR(__xludf.DUMMYFUNCTION("IMPORTRANGE(""https://docs.google.com/spreadsheets/d/1-uDff_7J0KD5mKrp0Vvzr7lt3OU09vwQwhkpOPPYv2Y/edit?usp=sharing"",""งบพรบ!AW84"")"),0)</f>
        <v>0</v>
      </c>
      <c r="M99" s="47">
        <f ca="1">IFERROR(__xludf.DUMMYFUNCTION("IMPORTRANGE(""https://docs.google.com/spreadsheets/d/1-uDff_7J0KD5mKrp0Vvzr7lt3OU09vwQwhkpOPPYv2Y/edit?usp=sharing"",""งบพรบ!BB84"")"),0)</f>
        <v>0</v>
      </c>
      <c r="N99" s="47">
        <f ca="1">IFERROR(__xludf.DUMMYFUNCTION("IMPORTRANGE(""https://docs.google.com/spreadsheets/d/1-uDff_7J0KD5mKrp0Vvzr7lt3OU09vwQwhkpOPPYv2Y/edit?usp=sharing"",""งบพรบ!BD84"")"),0)</f>
        <v>0</v>
      </c>
      <c r="O99" s="47">
        <f ca="1">IF(L99&gt;0,N99*100/L99,0)</f>
        <v>0</v>
      </c>
      <c r="P99" s="47">
        <f ca="1">IF(M99&gt;0,N99*100/M99,0)</f>
        <v>0</v>
      </c>
      <c r="Q99" s="548">
        <f ca="1">IFERROR(__xludf.DUMMYFUNCTION("IMPORTRANGE(""https://docs.google.com/spreadsheets/d/1ItG2mGa2ceCfYo0BwxsXqNm01IGEUdYcSSLTEv9YCik/edit?usp=sharing"",""เบิกจ่ายกองทุน!AJ84"")"),0)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IFERROR(__xludf.DUMMYFUNCTION("IMPORTRANGE(""https://docs.google.com/spreadsheets/d/1ItG2mGa2ceCfYo0BwxsXqNm01IGEUdYcSSLTEv9YCik/edit?usp=sharing"",""เบิกจ่ายกองทุน!AK84"")"),0)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IFERROR(__xludf.DUMMYFUNCTION("IMPORTRANGE(""https://docs.google.com/spreadsheets/d/1ItG2mGa2ceCfYo0BwxsXqNm01IGEUdYcSSLTEv9YCik/edit?usp=sharing"",""เบิกจ่ายกองทุน!AL84"")"),0)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548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5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IFERROR(__xludf.DUMMYFUNCTION("IMPORTRANGE(""https://docs.google.com/spreadsheets/d/1-uDff_7J0KD5mKrp0Vvzr7lt3OU09vwQwhkpOPPYv2Y/edit?usp=sharing"",""งบพรบ!AZ84"")"),0)</f>
        <v>0</v>
      </c>
      <c r="M102" s="47">
        <f ca="1">IFERROR(__xludf.DUMMYFUNCTION("IMPORTRANGE(""https://docs.google.com/spreadsheets/d/1-uDff_7J0KD5mKrp0Vvzr7lt3OU09vwQwhkpOPPYv2Y/edit?usp=sharing"",""งบพรบ!BC84"")"),0)</f>
        <v>0</v>
      </c>
      <c r="N102" s="47">
        <f ca="1">IFERROR(__xludf.DUMMYFUNCTION("IMPORTRANGE(""https://docs.google.com/spreadsheets/d/1-uDff_7J0KD5mKrp0Vvzr7lt3OU09vwQwhkpOPPYv2Y/edit?usp=sharing"",""งบพรบ!BE84"")"),0)</f>
        <v>0</v>
      </c>
      <c r="O102" s="47">
        <f ca="1">IF(L102&gt;0,N102*100/L102,0)</f>
        <v>0</v>
      </c>
      <c r="P102" s="47">
        <f ca="1">IF(M102&gt;0,N102*100/M102,0)</f>
        <v>0</v>
      </c>
      <c r="Q102" s="548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5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1"/>
      <c r="M104" s="22"/>
      <c r="N104" s="22"/>
      <c r="O104" s="22"/>
      <c r="P104" s="22"/>
      <c r="Q104" s="701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1"/>
      <c r="M105" s="22"/>
      <c r="N105" s="22"/>
      <c r="O105" s="22"/>
      <c r="P105" s="22"/>
      <c r="Q105" s="701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1"/>
      <c r="M106" s="22"/>
      <c r="N106" s="22"/>
      <c r="O106" s="22"/>
      <c r="P106" s="22"/>
      <c r="Q106" s="701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5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IFERROR(__xludf.DUMMYFUNCTION("IMPORTRANGE(""https://docs.google.com/spreadsheets/d/1eHaY18a8A9IcSdp1K8H6x8fbOy06t2VsZHhMHf-1x7Y/edit?usp=sharing"",""แผน!N84"")"),0)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5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IFERROR(__xludf.DUMMYFUNCTION("IMPORTRANGE(""https://docs.google.com/spreadsheets/d/1eHaY18a8A9IcSdp1K8H6x8fbOy06t2VsZHhMHf-1x7Y/edit?usp=sharing"",""แผน!O84"")"),0)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5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1"/>
      <c r="M110" s="22"/>
      <c r="N110" s="22"/>
      <c r="O110" s="22"/>
      <c r="P110" s="22"/>
      <c r="Q110" s="701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1"/>
      <c r="M111" s="22"/>
      <c r="N111" s="22"/>
      <c r="O111" s="22"/>
      <c r="P111" s="22"/>
      <c r="Q111" s="701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1"/>
      <c r="M112" s="22"/>
      <c r="N112" s="22"/>
      <c r="O112" s="22"/>
      <c r="P112" s="22"/>
      <c r="Q112" s="701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1"/>
      <c r="M113" s="22"/>
      <c r="N113" s="22"/>
      <c r="O113" s="22"/>
      <c r="P113" s="22"/>
      <c r="Q113" s="546"/>
      <c r="R113" s="46"/>
      <c r="S113" s="46"/>
      <c r="T113" s="136"/>
      <c r="U113" s="136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IFERROR(__xludf.DUMMYFUNCTION("IMPORTRANGE(""https://docs.google.com/spreadsheets/d/1eHaY18a8A9IcSdp1K8H6x8fbOy06t2VsZHhMHf-1x7Y/edit?usp=sharing"",""แผน!R84"")"),0)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5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782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82"/>
      <c r="M116" s="34"/>
      <c r="N116" s="34"/>
      <c r="O116" s="34"/>
      <c r="P116" s="34"/>
      <c r="Q116" s="582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9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550">
        <f ca="1">Q118+Q119</f>
        <v>191460</v>
      </c>
      <c r="R117" s="132">
        <f ca="1">R118+R119</f>
        <v>191460</v>
      </c>
      <c r="S117" s="132">
        <f ca="1">S118+S119</f>
        <v>132453.44</v>
      </c>
      <c r="T117" s="132">
        <f ca="1">IF(Q117&gt;0,S117*100/Q117,0)</f>
        <v>69.180737490859713</v>
      </c>
      <c r="U117" s="132">
        <f ca="1">IF(R117&gt;0,S117*100/R117,0)</f>
        <v>69.180737490859713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5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548">
        <f ca="1">Q122+Q125</f>
        <v>191460</v>
      </c>
      <c r="R119" s="47">
        <f ca="1">R122+R125</f>
        <v>191460</v>
      </c>
      <c r="S119" s="47">
        <f ca="1">S122+S125</f>
        <v>132453.44</v>
      </c>
      <c r="T119" s="47">
        <f ca="1">IF(Q119&gt;0,S119*100/Q119,0)</f>
        <v>69.180737490859713</v>
      </c>
      <c r="U119" s="47">
        <f ca="1">IF(R119&gt;0,S119*100/R119,0)</f>
        <v>69.180737490859713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548">
        <f ca="1">Q121+Q122</f>
        <v>191460</v>
      </c>
      <c r="R120" s="47">
        <f ca="1">R121+R122</f>
        <v>191460</v>
      </c>
      <c r="S120" s="47">
        <f ca="1">S121+S122</f>
        <v>132453.44</v>
      </c>
      <c r="T120" s="47">
        <f ca="1">IF(Q120&gt;0,S120*100/Q120,0)</f>
        <v>69.180737490859713</v>
      </c>
      <c r="U120" s="47">
        <f ca="1">IF(R120&gt;0,S120*100/R120,0)</f>
        <v>69.180737490859713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5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IFERROR(__xludf.DUMMYFUNCTION("IMPORTRANGE(""https://docs.google.com/spreadsheets/d/1-uDff_7J0KD5mKrp0Vvzr7lt3OU09vwQwhkpOPPYv2Y/edit?usp=sharing"",""งบพรบ!BG84"")"),0)</f>
        <v>0</v>
      </c>
      <c r="M122" s="47">
        <f ca="1">IFERROR(__xludf.DUMMYFUNCTION("IMPORTRANGE(""https://docs.google.com/spreadsheets/d/1-uDff_7J0KD5mKrp0Vvzr7lt3OU09vwQwhkpOPPYv2Y/edit?usp=sharing"",""งบพรบ!BL84"")"),0)</f>
        <v>0</v>
      </c>
      <c r="N122" s="47">
        <f ca="1">IFERROR(__xludf.DUMMYFUNCTION("IMPORTRANGE(""https://docs.google.com/spreadsheets/d/1-uDff_7J0KD5mKrp0Vvzr7lt3OU09vwQwhkpOPPYv2Y/edit?usp=sharing"",""งบพรบ!BN84"")"),0)</f>
        <v>0</v>
      </c>
      <c r="O122" s="47">
        <f ca="1">IF(L122&gt;0,N122*100/L122,0)</f>
        <v>0</v>
      </c>
      <c r="P122" s="47">
        <f ca="1">IF(M122&gt;0,N122*100/M122,0)</f>
        <v>0</v>
      </c>
      <c r="Q122" s="548">
        <f ca="1">IFERROR(__xludf.DUMMYFUNCTION("IMPORTRANGE(""https://docs.google.com/spreadsheets/d/1ItG2mGa2ceCfYo0BwxsXqNm01IGEUdYcSSLTEv9YCik/edit?usp=sharing"",""เบิกจ่ายกองทุน!U84"")"),191460)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IFERROR(__xludf.DUMMYFUNCTION("IMPORTRANGE(""https://docs.google.com/spreadsheets/d/1ItG2mGa2ceCfYo0BwxsXqNm01IGEUdYcSSLTEv9YCik/edit?usp=sharing"",""เบิกจ่ายกองทุน!V84"")"),191460)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IFERROR(__xludf.DUMMYFUNCTION("IMPORTRANGE(""https://docs.google.com/spreadsheets/d/1ItG2mGa2ceCfYo0BwxsXqNm01IGEUdYcSSLTEv9YCik/edit?usp=sharing"",""เบิกจ่ายกองทุน!W84"")"),132453.44)</f>
        <v>132453.44</v>
      </c>
      <c r="T122" s="47">
        <f ca="1">IF(Q122&gt;0,S122*100/Q122,0)</f>
        <v>69.180737490859713</v>
      </c>
      <c r="U122" s="47">
        <f ca="1">IF(R122&gt;0,S122*100/R122,0)</f>
        <v>69.180737490859713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548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5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IFERROR(__xludf.DUMMYFUNCTION("IMPORTRANGE(""https://docs.google.com/spreadsheets/d/1-uDff_7J0KD5mKrp0Vvzr7lt3OU09vwQwhkpOPPYv2Y/edit?usp=sharing"",""งบพรบ!BJ84"")"),0)</f>
        <v>0</v>
      </c>
      <c r="M125" s="47">
        <f ca="1">IFERROR(__xludf.DUMMYFUNCTION("IMPORTRANGE(""https://docs.google.com/spreadsheets/d/1-uDff_7J0KD5mKrp0Vvzr7lt3OU09vwQwhkpOPPYv2Y/edit?usp=sharing"",""งบพรบ!BM84"")"),0)</f>
        <v>0</v>
      </c>
      <c r="N125" s="47">
        <f ca="1">IFERROR(__xludf.DUMMYFUNCTION("IMPORTRANGE(""https://docs.google.com/spreadsheets/d/1-uDff_7J0KD5mKrp0Vvzr7lt3OU09vwQwhkpOPPYv2Y/edit?usp=sharing"",""งบพรบ!BO84"")"),0)</f>
        <v>0</v>
      </c>
      <c r="O125" s="47">
        <f ca="1">IF(L125&gt;0,N125*100/L125,0)</f>
        <v>0</v>
      </c>
      <c r="P125" s="47">
        <f ca="1">IF(M125&gt;0,N125*100/M125,0)</f>
        <v>0</v>
      </c>
      <c r="Q125" s="548">
        <f ca="1">IFERROR(__xludf.DUMMYFUNCTION("IMPORTRANGE(""https://docs.google.com/spreadsheets/d/1ItG2mGa2ceCfYo0BwxsXqNm01IGEUdYcSSLTEv9YCik/edit?usp=sharing"",""เบิกจ่ายกองทุน!X84"")"),0)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IFERROR(__xludf.DUMMYFUNCTION("IMPORTRANGE(""https://docs.google.com/spreadsheets/d/1ItG2mGa2ceCfYo0BwxsXqNm01IGEUdYcSSLTEv9YCik/edit?usp=sharing"",""เบิกจ่ายกองทุน!Y84"")"),0)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IFERROR(__xludf.DUMMYFUNCTION("IMPORTRANGE(""https://docs.google.com/spreadsheets/d/1ItG2mGa2ceCfYo0BwxsXqNm01IGEUdYcSSLTEv9YCik/edit?usp=sharing"",""เบิกจ่ายกองทุน!Z84"")"),0)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5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IFERROR(__xludf.DUMMYFUNCTION("IMPORTRANGE(""https://docs.google.com/spreadsheets/d/1eHaY18a8A9IcSdp1K8H6x8fbOy06t2VsZHhMHf-1x7Y/edit?usp=sharing"",""แผน!FF84"")"),15)</f>
        <v>15</v>
      </c>
      <c r="J127" s="167">
        <v>15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5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IFERROR(__xludf.DUMMYFUNCTION("IMPORTRANGE(""https://docs.google.com/spreadsheets/d/1eHaY18a8A9IcSdp1K8H6x8fbOy06t2VsZHhMHf-1x7Y/edit?usp=sharing"",""แผน!FG84"")"),0)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5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IFERROR(__xludf.DUMMYFUNCTION("IMPORTRANGE(""https://docs.google.com/spreadsheets/d/1eHaY18a8A9IcSdp1K8H6x8fbOy06t2VsZHhMHf-1x7Y/edit?usp=sharing"",""แผน!FH84"")"),15)</f>
        <v>15</v>
      </c>
      <c r="J129" s="167">
        <v>15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5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IFERROR(__xludf.DUMMYFUNCTION("IMPORTRANGE(""https://docs.google.com/spreadsheets/d/1eHaY18a8A9IcSdp1K8H6x8fbOy06t2VsZHhMHf-1x7Y/edit?usp=sharing"",""แผน!FI84"")"),0)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5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5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5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1"/>
      <c r="M133" s="22"/>
      <c r="N133" s="22"/>
      <c r="O133" s="22"/>
      <c r="P133" s="22"/>
      <c r="Q133" s="701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782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2"/>
      <c r="M135" s="34"/>
      <c r="N135" s="34"/>
      <c r="O135" s="34"/>
      <c r="P135" s="34"/>
      <c r="Q135" s="582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2"/>
      <c r="M136" s="34"/>
      <c r="N136" s="34"/>
      <c r="O136" s="34"/>
      <c r="P136" s="34"/>
      <c r="Q136" s="582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2"/>
      <c r="M137" s="34"/>
      <c r="N137" s="34"/>
      <c r="O137" s="34"/>
      <c r="P137" s="34"/>
      <c r="Q137" s="582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2"/>
      <c r="M138" s="34"/>
      <c r="N138" s="34"/>
      <c r="O138" s="34"/>
      <c r="P138" s="34"/>
      <c r="Q138" s="582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550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5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548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548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5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IFERROR(__xludf.DUMMYFUNCTION("IMPORTRANGE(""https://docs.google.com/spreadsheets/d/1-uDff_7J0KD5mKrp0Vvzr7lt3OU09vwQwhkpOPPYv2Y/edit?usp=sharing"",""งบพรบ!BQ84"")"),0)</f>
        <v>0</v>
      </c>
      <c r="M144" s="47">
        <f ca="1">IFERROR(__xludf.DUMMYFUNCTION("IMPORTRANGE(""https://docs.google.com/spreadsheets/d/1-uDff_7J0KD5mKrp0Vvzr7lt3OU09vwQwhkpOPPYv2Y/edit?usp=sharing"",""งบพรบ!BV84"")"),0)</f>
        <v>0</v>
      </c>
      <c r="N144" s="47">
        <f ca="1">IFERROR(__xludf.DUMMYFUNCTION("IMPORTRANGE(""https://docs.google.com/spreadsheets/d/1-uDff_7J0KD5mKrp0Vvzr7lt3OU09vwQwhkpOPPYv2Y/edit?usp=sharing"",""งบพรบ!BX84"")"),0)</f>
        <v>0</v>
      </c>
      <c r="O144" s="47">
        <f ca="1">IF(L144&gt;0,N144*100/L144,0)</f>
        <v>0</v>
      </c>
      <c r="P144" s="47">
        <f ca="1">IF(M144&gt;0,N144*100/M144,0)</f>
        <v>0</v>
      </c>
      <c r="Q144" s="548">
        <f ca="1">IFERROR(__xludf.DUMMYFUNCTION("IMPORTRANGE(""https://docs.google.com/spreadsheets/d/1ItG2mGa2ceCfYo0BwxsXqNm01IGEUdYcSSLTEv9YCik/edit?usp=sharing"",""เบิกจ่ายกองทุน!CF84"")"),0)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IFERROR(__xludf.DUMMYFUNCTION("IMPORTRANGE(""https://docs.google.com/spreadsheets/d/1ItG2mGa2ceCfYo0BwxsXqNm01IGEUdYcSSLTEv9YCik/edit?usp=sharing"",""เบิกจ่ายกองทุน!CG84"")"),0)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IFERROR(__xludf.DUMMYFUNCTION("IMPORTRANGE(""https://docs.google.com/spreadsheets/d/1ItG2mGa2ceCfYo0BwxsXqNm01IGEUdYcSSLTEv9YCik/edit?usp=sharing"",""เบิกจ่ายกองทุน!CH84"")"),0)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548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5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IFERROR(__xludf.DUMMYFUNCTION("IMPORTRANGE(""https://docs.google.com/spreadsheets/d/1-uDff_7J0KD5mKrp0Vvzr7lt3OU09vwQwhkpOPPYv2Y/edit?usp=sharing"",""งบพรบ!BT84"")"),0)</f>
        <v>0</v>
      </c>
      <c r="M147" s="47">
        <f ca="1">IFERROR(__xludf.DUMMYFUNCTION("IMPORTRANGE(""https://docs.google.com/spreadsheets/d/1-uDff_7J0KD5mKrp0Vvzr7lt3OU09vwQwhkpOPPYv2Y/edit?usp=sharing"",""งบพรบ!BW84"")"),0)</f>
        <v>0</v>
      </c>
      <c r="N147" s="47">
        <f ca="1">IFERROR(__xludf.DUMMYFUNCTION("IMPORTRANGE(""https://docs.google.com/spreadsheets/d/1-uDff_7J0KD5mKrp0Vvzr7lt3OU09vwQwhkpOPPYv2Y/edit?usp=sharing"",""งบพรบ!BY84"")"),0)</f>
        <v>0</v>
      </c>
      <c r="O147" s="47">
        <f ca="1">IF(L147&gt;0,N147*100/L147,0)</f>
        <v>0</v>
      </c>
      <c r="P147" s="47">
        <f ca="1">IF(M147&gt;0,N147*100/M147,0)</f>
        <v>0</v>
      </c>
      <c r="Q147" s="548">
        <f ca="1">IFERROR(__xludf.DUMMYFUNCTION("IMPORTRANGE(""https://docs.google.com/spreadsheets/d/1ItG2mGa2ceCfYo0BwxsXqNm01IGEUdYcSSLTEv9YCik/edit?usp=sharing"",""เบิกจ่ายกองทุน!CI84"")"),0)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IFERROR(__xludf.DUMMYFUNCTION("IMPORTRANGE(""https://docs.google.com/spreadsheets/d/1ItG2mGa2ceCfYo0BwxsXqNm01IGEUdYcSSLTEv9YCik/edit?usp=sharing"",""เบิกจ่ายกองทุน!CJ84"")"),0)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IFERROR(__xludf.DUMMYFUNCTION("IMPORTRANGE(""https://docs.google.com/spreadsheets/d/1ItG2mGa2ceCfYo0BwxsXqNm01IGEUdYcSSLTEv9YCik/edit?usp=sharing"",""เบิกจ่ายกองทุน!CK84"")"),0)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5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5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IFERROR(__xludf.DUMMYFUNCTION("IMPORTRANGE(""https://docs.google.com/spreadsheets/d/1eHaY18a8A9IcSdp1K8H6x8fbOy06t2VsZHhMHf-1x7Y/edit?usp=sharing"",""แผน!U84"")"),0)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5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IFERROR(__xludf.DUMMYFUNCTION("IMPORTRANGE(""https://docs.google.com/spreadsheets/d/1eHaY18a8A9IcSdp1K8H6x8fbOy06t2VsZHhMHf-1x7Y/edit?usp=sharing"",""แผน!V84"")"),0)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5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IFERROR(__xludf.DUMMYFUNCTION("IMPORTRANGE(""https://docs.google.com/spreadsheets/d/1eHaY18a8A9IcSdp1K8H6x8fbOy06t2VsZHhMHf-1x7Y/edit?usp=sharing"",""แผน!W84"")"),0)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5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IFERROR(__xludf.DUMMYFUNCTION("IMPORTRANGE(""https://docs.google.com/spreadsheets/d/1eHaY18a8A9IcSdp1K8H6x8fbOy06t2VsZHhMHf-1x7Y/edit?usp=sharing"",""แผน!X84"")"),0)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5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IFERROR(__xludf.DUMMYFUNCTION("IMPORTRANGE(""https://docs.google.com/spreadsheets/d/1eHaY18a8A9IcSdp1K8H6x8fbOy06t2VsZHhMHf-1x7Y/edit?usp=sharing"",""แผน!Y84"")"),0)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5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782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2"/>
      <c r="M156" s="34"/>
      <c r="N156" s="34"/>
      <c r="O156" s="34"/>
      <c r="P156" s="34"/>
      <c r="Q156" s="582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550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5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548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548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5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IFERROR(__xludf.DUMMYFUNCTION("IMPORTRANGE(""https://docs.google.com/spreadsheets/d/1-uDff_7J0KD5mKrp0Vvzr7lt3OU09vwQwhkpOPPYv2Y/edit?usp=sharing"",""งบพรบ!CA84"")"),0)</f>
        <v>0</v>
      </c>
      <c r="M162" s="47">
        <f ca="1">IFERROR(__xludf.DUMMYFUNCTION("IMPORTRANGE(""https://docs.google.com/spreadsheets/d/1-uDff_7J0KD5mKrp0Vvzr7lt3OU09vwQwhkpOPPYv2Y/edit?usp=sharing"",""งบพรบ!CF84"")"),0)</f>
        <v>0</v>
      </c>
      <c r="N162" s="47">
        <f ca="1">IFERROR(__xludf.DUMMYFUNCTION("IMPORTRANGE(""https://docs.google.com/spreadsheets/d/1-uDff_7J0KD5mKrp0Vvzr7lt3OU09vwQwhkpOPPYv2Y/edit?usp=sharing"",""งบพรบ!CH84"")"),0)</f>
        <v>0</v>
      </c>
      <c r="O162" s="47">
        <f ca="1">IF(L162&gt;0,N162*100/L162,0)</f>
        <v>0</v>
      </c>
      <c r="P162" s="47">
        <f ca="1">IF(M162&gt;0,N162*100/M162,0)</f>
        <v>0</v>
      </c>
      <c r="Q162" s="548">
        <f ca="1">IFERROR(__xludf.DUMMYFUNCTION("IMPORTRANGE(""https://docs.google.com/spreadsheets/d/1ItG2mGa2ceCfYo0BwxsXqNm01IGEUdYcSSLTEv9YCik/edit?usp=sharing"",""เบิกจ่ายกองทุน!AM84"")"),0)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IFERROR(__xludf.DUMMYFUNCTION("IMPORTRANGE(""https://docs.google.com/spreadsheets/d/1ItG2mGa2ceCfYo0BwxsXqNm01IGEUdYcSSLTEv9YCik/edit?usp=sharing"",""เบิกจ่ายกองทุน!AN84"")"),0)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IFERROR(__xludf.DUMMYFUNCTION("IMPORTRANGE(""https://docs.google.com/spreadsheets/d/1ItG2mGa2ceCfYo0BwxsXqNm01IGEUdYcSSLTEv9YCik/edit?usp=sharing"",""เบิกจ่ายกองทุน!AO84"")"),0)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548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5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IFERROR(__xludf.DUMMYFUNCTION("IMPORTRANGE(""https://docs.google.com/spreadsheets/d/1-uDff_7J0KD5mKrp0Vvzr7lt3OU09vwQwhkpOPPYv2Y/edit?usp=sharing"",""งบพรบ!CD84"")"),0)</f>
        <v>0</v>
      </c>
      <c r="M165" s="47">
        <f ca="1">IFERROR(__xludf.DUMMYFUNCTION("IMPORTRANGE(""https://docs.google.com/spreadsheets/d/1-uDff_7J0KD5mKrp0Vvzr7lt3OU09vwQwhkpOPPYv2Y/edit?usp=sharing"",""งบพรบ!CG84"")"),0)</f>
        <v>0</v>
      </c>
      <c r="N165" s="47">
        <f ca="1">IFERROR(__xludf.DUMMYFUNCTION("IMPORTRANGE(""https://docs.google.com/spreadsheets/d/1-uDff_7J0KD5mKrp0Vvzr7lt3OU09vwQwhkpOPPYv2Y/edit?usp=sharing"",""งบพรบ!CI84"")"),0)</f>
        <v>0</v>
      </c>
      <c r="O165" s="47">
        <f ca="1">IF(L165&gt;0,N165*100/L165,0)</f>
        <v>0</v>
      </c>
      <c r="P165" s="47">
        <f ca="1">IF(M165&gt;0,N165*100/M165,0)</f>
        <v>0</v>
      </c>
      <c r="Q165" s="548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5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IFERROR(__xludf.DUMMYFUNCTION("IMPORTRANGE(""https://docs.google.com/spreadsheets/d/1eHaY18a8A9IcSdp1K8H6x8fbOy06t2VsZHhMHf-1x7Y/edit?usp=sharing"",""แผน!Z84"")"),0)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5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IFERROR(__xludf.DUMMYFUNCTION("IMPORTRANGE(""https://docs.google.com/spreadsheets/d/1eHaY18a8A9IcSdp1K8H6x8fbOy06t2VsZHhMHf-1x7Y/edit?usp=sharing"",""แผน!Z84"")"),0)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5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IFERROR(__xludf.DUMMYFUNCTION("IMPORTRANGE(""https://docs.google.com/spreadsheets/d/1eHaY18a8A9IcSdp1K8H6x8fbOy06t2VsZHhMHf-1x7Y/edit?usp=sharing"",""แผน!Z84"")"),0)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545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88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772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770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9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41020</v>
      </c>
      <c r="N173" s="132">
        <f ca="1">N174+N175</f>
        <v>41020</v>
      </c>
      <c r="O173" s="132">
        <f ca="1">IF(L173&gt;0,N173*100/L173,0)</f>
        <v>209.39254721796834</v>
      </c>
      <c r="P173" s="132">
        <f ca="1">IF(M173&gt;0,N173*100/M173,0)</f>
        <v>100</v>
      </c>
      <c r="Q173" s="550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5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41020</v>
      </c>
      <c r="N175" s="47">
        <f ca="1">N178+N181</f>
        <v>41020</v>
      </c>
      <c r="O175" s="47">
        <f ca="1">IF(L175&gt;0,N175*100/L175,0)</f>
        <v>209.39254721796834</v>
      </c>
      <c r="P175" s="47">
        <f ca="1">IF(M175&gt;0,N175*100/M175,0)</f>
        <v>100</v>
      </c>
      <c r="Q175" s="548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41020</v>
      </c>
      <c r="N176" s="47">
        <f ca="1">N177+N178</f>
        <v>41020</v>
      </c>
      <c r="O176" s="47">
        <f ca="1">IF(L176&gt;0,N176*100/L176,0)</f>
        <v>209.39254721796834</v>
      </c>
      <c r="P176" s="47">
        <f ca="1">IF(M176&gt;0,N176*100/M176,0)</f>
        <v>100</v>
      </c>
      <c r="Q176" s="548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5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IFERROR(__xludf.DUMMYFUNCTION("IMPORTRANGE(""https://docs.google.com/spreadsheets/d/1-uDff_7J0KD5mKrp0Vvzr7lt3OU09vwQwhkpOPPYv2Y/edit?usp=sharing"",""งบพรบ!CK84"")"),19590)</f>
        <v>19590</v>
      </c>
      <c r="M178" s="47">
        <f ca="1">IFERROR(__xludf.DUMMYFUNCTION("IMPORTRANGE(""https://docs.google.com/spreadsheets/d/1-uDff_7J0KD5mKrp0Vvzr7lt3OU09vwQwhkpOPPYv2Y/edit?usp=sharing"",""งบพรบ!CP84"")"),41020)</f>
        <v>41020</v>
      </c>
      <c r="N178" s="47">
        <f ca="1">IFERROR(__xludf.DUMMYFUNCTION("IMPORTRANGE(""https://docs.google.com/spreadsheets/d/1-uDff_7J0KD5mKrp0Vvzr7lt3OU09vwQwhkpOPPYv2Y/edit?usp=sharing"",""งบพรบ!CR84"")"),41020)</f>
        <v>41020</v>
      </c>
      <c r="O178" s="47">
        <f ca="1">IF(L178&gt;0,N178*100/L178,0)</f>
        <v>209.39254721796834</v>
      </c>
      <c r="P178" s="47">
        <f ca="1">IF(M178&gt;0,N178*100/M178,0)</f>
        <v>100</v>
      </c>
      <c r="Q178" s="548">
        <f ca="1">IFERROR(__xludf.DUMMYFUNCTION("IMPORTRANGE(""https://docs.google.com/spreadsheets/d/1ItG2mGa2ceCfYo0BwxsXqNm01IGEUdYcSSLTEv9YCik/edit?usp=sharing"",""เบิกจ่ายกองทุน!DG84"")"),0)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IFERROR(__xludf.DUMMYFUNCTION("IMPORTRANGE(""https://docs.google.com/spreadsheets/d/1ItG2mGa2ceCfYo0BwxsXqNm01IGEUdYcSSLTEv9YCik/edit?usp=sharing"",""เบิกจ่ายกองทุน!DH84"")"),0)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IFERROR(__xludf.DUMMYFUNCTION("IMPORTRANGE(""https://docs.google.com/spreadsheets/d/1ItG2mGa2ceCfYo0BwxsXqNm01IGEUdYcSSLTEv9YCik/edit?usp=sharing"",""เบิกจ่ายกองทุน!DI84"")"),0)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548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5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IFERROR(__xludf.DUMMYFUNCTION("IMPORTRANGE(""https://docs.google.com/spreadsheets/d/1-uDff_7J0KD5mKrp0Vvzr7lt3OU09vwQwhkpOPPYv2Y/edit?usp=sharing"",""งบพรบ!CN84"")"),0)</f>
        <v>0</v>
      </c>
      <c r="M181" s="47">
        <f ca="1">IFERROR(__xludf.DUMMYFUNCTION("IMPORTRANGE(""https://docs.google.com/spreadsheets/d/1-uDff_7J0KD5mKrp0Vvzr7lt3OU09vwQwhkpOPPYv2Y/edit?usp=sharing"",""งบพรบ!CQ84"")"),0)</f>
        <v>0</v>
      </c>
      <c r="N181" s="47">
        <f ca="1">IFERROR(__xludf.DUMMYFUNCTION("IMPORTRANGE(""https://docs.google.com/spreadsheets/d/1-uDff_7J0KD5mKrp0Vvzr7lt3OU09vwQwhkpOPPYv2Y/edit?usp=sharing"",""งบพรบ!CS84"")"),0)</f>
        <v>0</v>
      </c>
      <c r="O181" s="47">
        <f ca="1">IF(L181&gt;0,N181*100/L181,0)</f>
        <v>0</v>
      </c>
      <c r="P181" s="47">
        <f ca="1">IF(M181&gt;0,N181*100/M181,0)</f>
        <v>0</v>
      </c>
      <c r="Q181" s="548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5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IFERROR(__xludf.DUMMYFUNCTION("IMPORTRANGE(""https://docs.google.com/spreadsheets/d/1eHaY18a8A9IcSdp1K8H6x8fbOy06t2VsZHhMHf-1x7Y/edit?usp=sharing"",""แผน!AA84"")"),7)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5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5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770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9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142600</v>
      </c>
      <c r="M186" s="132">
        <f ca="1">M187+M188</f>
        <v>142600</v>
      </c>
      <c r="N186" s="132">
        <f ca="1">N187+N188</f>
        <v>85504.52</v>
      </c>
      <c r="O186" s="132">
        <f ca="1">IF(L186&gt;0,N186*100/L186,0)</f>
        <v>59.961093969144457</v>
      </c>
      <c r="P186" s="132">
        <f ca="1">IF(M186&gt;0,N186*100/M186,0)</f>
        <v>59.961093969144457</v>
      </c>
      <c r="Q186" s="550">
        <f ca="1">Q187+Q188</f>
        <v>14000</v>
      </c>
      <c r="R186" s="132">
        <f ca="1">R187+R188</f>
        <v>14000</v>
      </c>
      <c r="S186" s="132">
        <f ca="1">S187+S188</f>
        <v>14000</v>
      </c>
      <c r="T186" s="132">
        <f ca="1">IF(Q186&gt;0,S186*100/Q186,0)</f>
        <v>100</v>
      </c>
      <c r="U186" s="132">
        <f ca="1">IF(R186&gt;0,S186*100/R186,0)</f>
        <v>100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5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142600</v>
      </c>
      <c r="M188" s="47">
        <f ca="1">M191+M194</f>
        <v>142600</v>
      </c>
      <c r="N188" s="47">
        <f ca="1">N191+N194</f>
        <v>85504.52</v>
      </c>
      <c r="O188" s="47">
        <f ca="1">IF(L188&gt;0,N188*100/L188,0)</f>
        <v>59.961093969144457</v>
      </c>
      <c r="P188" s="47">
        <f ca="1">IF(M188&gt;0,N188*100/M188,0)</f>
        <v>59.961093969144457</v>
      </c>
      <c r="Q188" s="548">
        <f ca="1">Q191+Q194</f>
        <v>14000</v>
      </c>
      <c r="R188" s="47">
        <f ca="1">R191+R194</f>
        <v>14000</v>
      </c>
      <c r="S188" s="47">
        <f ca="1">S191+S194</f>
        <v>14000</v>
      </c>
      <c r="T188" s="47">
        <f ca="1">IF(Q188&gt;0,S188*100/Q188,0)</f>
        <v>100</v>
      </c>
      <c r="U188" s="47">
        <f ca="1">IF(R188&gt;0,S188*100/R188,0)</f>
        <v>100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142600</v>
      </c>
      <c r="M189" s="47">
        <f ca="1">M190+M191</f>
        <v>142600</v>
      </c>
      <c r="N189" s="47">
        <f ca="1">N190+N191</f>
        <v>85504.52</v>
      </c>
      <c r="O189" s="47">
        <f ca="1">IF(L189&gt;0,N189*100/L189,0)</f>
        <v>59.961093969144457</v>
      </c>
      <c r="P189" s="47">
        <f ca="1">IF(M189&gt;0,N189*100/M189,0)</f>
        <v>59.961093969144457</v>
      </c>
      <c r="Q189" s="548">
        <f ca="1">Q190+Q191</f>
        <v>14000</v>
      </c>
      <c r="R189" s="47">
        <f ca="1">R190+R191</f>
        <v>14000</v>
      </c>
      <c r="S189" s="47">
        <f ca="1">S190+S191</f>
        <v>14000</v>
      </c>
      <c r="T189" s="47">
        <f ca="1">IF(Q189&gt;0,S189*100/Q189,0)</f>
        <v>100</v>
      </c>
      <c r="U189" s="47">
        <f ca="1">IF(R189&gt;0,S189*100/R189,0)</f>
        <v>100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5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IFERROR(__xludf.DUMMYFUNCTION("IMPORTRANGE(""https://docs.google.com/spreadsheets/d/1-uDff_7J0KD5mKrp0Vvzr7lt3OU09vwQwhkpOPPYv2Y/edit?usp=sharing"",""งบพรบ!CU84"")"),142600)</f>
        <v>142600</v>
      </c>
      <c r="M191" s="47">
        <f ca="1">IFERROR(__xludf.DUMMYFUNCTION("IMPORTRANGE(""https://docs.google.com/spreadsheets/d/1-uDff_7J0KD5mKrp0Vvzr7lt3OU09vwQwhkpOPPYv2Y/edit?usp=sharing"",""งบพรบ!CZ84"")"),142600)</f>
        <v>142600</v>
      </c>
      <c r="N191" s="47">
        <f ca="1">IFERROR(__xludf.DUMMYFUNCTION("IMPORTRANGE(""https://docs.google.com/spreadsheets/d/1-uDff_7J0KD5mKrp0Vvzr7lt3OU09vwQwhkpOPPYv2Y/edit?usp=sharing"",""งบพรบ!DB84"")"),85504.52)</f>
        <v>85504.52</v>
      </c>
      <c r="O191" s="47">
        <f ca="1">IF(L191&gt;0,N191*100/L191,0)</f>
        <v>59.961093969144457</v>
      </c>
      <c r="P191" s="47">
        <f ca="1">IF(M191&gt;0,N191*100/M191,0)</f>
        <v>59.961093969144457</v>
      </c>
      <c r="Q191" s="548">
        <f ca="1">IFERROR(__xludf.DUMMYFUNCTION("IMPORTRANGE(""https://docs.google.com/spreadsheets/d/1ItG2mGa2ceCfYo0BwxsXqNm01IGEUdYcSSLTEv9YCik/edit?usp=sharing"",""เบิกจ่ายกองทุน!BQ84"")"),14000)</f>
        <v>14000</v>
      </c>
      <c r="R191" s="47">
        <f ca="1">IFERROR(__xludf.DUMMYFUNCTION("IMPORTRANGE(""https://docs.google.com/spreadsheets/d/1ItG2mGa2ceCfYo0BwxsXqNm01IGEUdYcSSLTEv9YCik/edit?usp=sharing"",""เบิกจ่ายกองทุน!BR84"")"),14000)</f>
        <v>14000</v>
      </c>
      <c r="S191" s="47">
        <f ca="1">IFERROR(__xludf.DUMMYFUNCTION("IMPORTRANGE(""https://docs.google.com/spreadsheets/d/1ItG2mGa2ceCfYo0BwxsXqNm01IGEUdYcSSLTEv9YCik/edit?usp=sharing"",""เบิกจ่ายกองทุน!BS84"")"),14000)</f>
        <v>14000</v>
      </c>
      <c r="T191" s="47">
        <f ca="1">IF(Q191&gt;0,S191*100/Q191,0)</f>
        <v>100</v>
      </c>
      <c r="U191" s="47">
        <f ca="1">IF(R191&gt;0,S191*100/R191,0)</f>
        <v>100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548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5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IFERROR(__xludf.DUMMYFUNCTION("IMPORTRANGE(""https://docs.google.com/spreadsheets/d/1-uDff_7J0KD5mKrp0Vvzr7lt3OU09vwQwhkpOPPYv2Y/edit?usp=sharing"",""งบพรบ!CX84"")"),0)</f>
        <v>0</v>
      </c>
      <c r="M194" s="47">
        <f ca="1">IFERROR(__xludf.DUMMYFUNCTION("IMPORTRANGE(""https://docs.google.com/spreadsheets/d/1-uDff_7J0KD5mKrp0Vvzr7lt3OU09vwQwhkpOPPYv2Y/edit?usp=sharing"",""งบพรบ!DA84"")"),0)</f>
        <v>0</v>
      </c>
      <c r="N194" s="47">
        <f ca="1">IFERROR(__xludf.DUMMYFUNCTION("IMPORTRANGE(""https://docs.google.com/spreadsheets/d/1-uDff_7J0KD5mKrp0Vvzr7lt3OU09vwQwhkpOPPYv2Y/edit?usp=sharing"",""งบพรบ!DC84"")"),0)</f>
        <v>0</v>
      </c>
      <c r="O194" s="47">
        <f ca="1">IF(L194&gt;0,N194*100/L194,0)</f>
        <v>0</v>
      </c>
      <c r="P194" s="47">
        <f ca="1">IF(M194&gt;0,N194*100/M194,0)</f>
        <v>0</v>
      </c>
      <c r="Q194" s="548">
        <f ca="1">IFERROR(__xludf.DUMMYFUNCTION("IMPORTRANGE(""https://docs.google.com/spreadsheets/d/1ItG2mGa2ceCfYo0BwxsXqNm01IGEUdYcSSLTEv9YCik/edit?usp=sharing"",""เบิกจ่ายกองทุน!BT84"")"),0)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IFERROR(__xludf.DUMMYFUNCTION("IMPORTRANGE(""https://docs.google.com/spreadsheets/d/1ItG2mGa2ceCfYo0BwxsXqNm01IGEUdYcSSLTEv9YCik/edit?usp=sharing"",""เบิกจ่ายกองทุน!BU84"")"),0)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IFERROR(__xludf.DUMMYFUNCTION("IMPORTRANGE(""https://docs.google.com/spreadsheets/d/1ItG2mGa2ceCfYo0BwxsXqNm01IGEUdYcSSLTEv9YCik/edit?usp=sharing"",""เบิกจ่ายกองทุน!BV84"")"),0)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87"/>
      <c r="M195" s="230"/>
      <c r="N195" s="230"/>
      <c r="O195" s="230"/>
      <c r="P195" s="230"/>
      <c r="Q195" s="687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IFERROR(__xludf.DUMMYFUNCTION("IMPORTRANGE(""https://docs.google.com/spreadsheets/d/1eHaY18a8A9IcSdp1K8H6x8fbOy06t2VsZHhMHf-1x7Y/edit?usp=sharing"",""แผน!AB84"")"),6000)</f>
        <v>6000</v>
      </c>
      <c r="M196" s="46"/>
      <c r="N196" s="769">
        <v>1980</v>
      </c>
      <c r="O196" s="132">
        <f ca="1">IF(L196&gt;0,N196*100/L196,0)</f>
        <v>33</v>
      </c>
      <c r="P196" s="132">
        <f>IF(M196&gt;0,N196*100/M196,0)</f>
        <v>0</v>
      </c>
      <c r="Q196" s="5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5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IFERROR(__xludf.DUMMYFUNCTION("IMPORTRANGE(""https://docs.google.com/spreadsheets/d/1eHaY18a8A9IcSdp1K8H6x8fbOy06t2VsZHhMHf-1x7Y/edit?usp=sharing"",""แผน!AE84"")"),4)</f>
        <v>4</v>
      </c>
      <c r="J198" s="167">
        <v>2</v>
      </c>
      <c r="K198" s="47">
        <f ca="1">IF(I198&gt;0,J198*100/I198,0)</f>
        <v>50</v>
      </c>
      <c r="L198" s="546"/>
      <c r="M198" s="46"/>
      <c r="N198" s="46"/>
      <c r="O198" s="46"/>
      <c r="P198" s="46"/>
      <c r="Q198" s="5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132</v>
      </c>
      <c r="K199" s="46"/>
      <c r="L199" s="546"/>
      <c r="M199" s="46"/>
      <c r="N199" s="46"/>
      <c r="O199" s="46"/>
      <c r="P199" s="46"/>
      <c r="Q199" s="5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132</v>
      </c>
      <c r="K200" s="46"/>
      <c r="L200" s="546"/>
      <c r="M200" s="46"/>
      <c r="N200" s="46"/>
      <c r="O200" s="46"/>
      <c r="P200" s="46"/>
      <c r="Q200" s="5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5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1</v>
      </c>
      <c r="J202" s="228">
        <f>J209</f>
        <v>1</v>
      </c>
      <c r="K202" s="229">
        <f ca="1">IF(I202&gt;0,J202*100/I202,0)</f>
        <v>100</v>
      </c>
      <c r="L202" s="687"/>
      <c r="M202" s="230"/>
      <c r="N202" s="230"/>
      <c r="O202" s="230"/>
      <c r="P202" s="230"/>
      <c r="Q202" s="687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 t="e">
        <f ca="1">L204+L205+L206+L207</f>
        <v>#VALUE!</v>
      </c>
      <c r="M203" s="46"/>
      <c r="N203" s="132">
        <f>N204+N205+N206+N207</f>
        <v>5000</v>
      </c>
      <c r="O203" s="132" t="e">
        <f ca="1">IF(L203&gt;0,N203*100/L203,0)</f>
        <v>#VALUE!</v>
      </c>
      <c r="P203" s="132">
        <f>IF(M203&gt;0,N203*100/M203,0)</f>
        <v>0</v>
      </c>
      <c r="Q203" s="550">
        <f ca="1">Q204+Q205+Q206+Q207</f>
        <v>14000</v>
      </c>
      <c r="R203" s="46"/>
      <c r="S203" s="132">
        <f>S204+S205+S206+S207</f>
        <v>14000</v>
      </c>
      <c r="T203" s="132">
        <f ca="1">IF(Q203&gt;0,S203*100/Q203,0)</f>
        <v>100</v>
      </c>
      <c r="U203" s="132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IFERROR(__xludf.DUMMYFUNCTION("IMPORTRANGE(""https://docs.google.com/spreadsheets/d/1eHaY18a8A9IcSdp1K8H6x8fbOy06t2VsZHhMHf-1x7Y/edit?usp=sharing"",""แผน!AG84"")"),1000)</f>
        <v>1000</v>
      </c>
      <c r="M204" s="46"/>
      <c r="N204" s="743">
        <v>1000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IFERROR(__xludf.DUMMYFUNCTION("IMPORTRANGE(""https://docs.google.com/spreadsheets/d/1eHaY18a8A9IcSdp1K8H6x8fbOy06t2VsZHhMHf-1x7Y/edit?usp=sharing"",""แผน!AH84"")"),0)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 t="str">
        <f ca="1">IFERROR(__xludf.DUMMYFUNCTION("IMPORTRANGE(""https://docs.google.com/spreadsheets/d/1eHaY18a8A9IcSdp1K8H6x8fbOy06t2VsZHhMHf-1x7Y/edit?usp=sharing"",""แผน!AI84"")"),"")</f>
        <v/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IFERROR(__xludf.DUMMYFUNCTION("IMPORTRANGE(""https://docs.google.com/spreadsheets/d/1eHaY18a8A9IcSdp1K8H6x8fbOy06t2VsZHhMHf-1x7Y/edit?usp=sharing"",""แผน!LV84"")"),14000)</f>
        <v>14000</v>
      </c>
      <c r="R206" s="46"/>
      <c r="S206" s="743">
        <v>14000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IFERROR(__xludf.DUMMYFUNCTION("IMPORTRANGE(""https://docs.google.com/spreadsheets/d/1eHaY18a8A9IcSdp1K8H6x8fbOy06t2VsZHhMHf-1x7Y/edit?usp=sharing"",""แผน!AJ84"")"),4000)</f>
        <v>4000</v>
      </c>
      <c r="M207" s="46"/>
      <c r="N207" s="743">
        <v>4000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IFERROR(__xludf.DUMMYFUNCTION("IMPORTRANGE(""https://docs.google.com/spreadsheets/d/1eHaY18a8A9IcSdp1K8H6x8fbOy06t2VsZHhMHf-1x7Y/edit?usp=sharing"",""แผน!AK84"")"),1)</f>
        <v>1</v>
      </c>
      <c r="J209" s="167">
        <v>1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IFERROR(__xludf.DUMMYFUNCTION("IMPORTRANGE(""https://docs.google.com/spreadsheets/d/1eHaY18a8A9IcSdp1K8H6x8fbOy06t2VsZHhMHf-1x7Y/edit?usp=sharing"",""แผน!JX84"")"),1)</f>
        <v>1</v>
      </c>
      <c r="J211" s="167">
        <v>1</v>
      </c>
      <c r="K211" s="153">
        <f ca="1">IF(I211&gt;0,J211*100/I211,0)</f>
        <v>100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IFERROR(__xludf.DUMMYFUNCTION("IMPORTRANGE(""https://docs.google.com/spreadsheets/d/1eHaY18a8A9IcSdp1K8H6x8fbOy06t2VsZHhMHf-1x7Y/edit?usp=sharing"",""แผน!JY84"")"),0)</f>
        <v>0</v>
      </c>
      <c r="J212" s="167"/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7"/>
      <c r="M213" s="230"/>
      <c r="N213" s="230"/>
      <c r="O213" s="230"/>
      <c r="P213" s="230"/>
      <c r="Q213" s="687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IFERROR(__xludf.DUMMYFUNCTION("IMPORTRANGE(""https://docs.google.com/spreadsheets/d/1eHaY18a8A9IcSdp1K8H6x8fbOy06t2VsZHhMHf-1x7Y/edit?usp=sharing"",""แผน!AM84"")"),0)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IFERROR(__xludf.DUMMYFUNCTION("IMPORTRANGE(""https://docs.google.com/spreadsheets/d/1eHaY18a8A9IcSdp1K8H6x8fbOy06t2VsZHhMHf-1x7Y/edit?usp=sharing"",""แผน!AN84"")"),0)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IFERROR(__xludf.DUMMYFUNCTION("IMPORTRANGE(""https://docs.google.com/spreadsheets/d/1eHaY18a8A9IcSdp1K8H6x8fbOy06t2VsZHhMHf-1x7Y/edit?usp=sharing"",""แผน!AO84"")"),0)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IFERROR(__xludf.DUMMYFUNCTION("IMPORTRANGE(""https://docs.google.com/spreadsheets/d/1eHaY18a8A9IcSdp1K8H6x8fbOy06t2VsZHhMHf-1x7Y/edit?usp=sharing"",""แผน!LY84"")"),0)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IFERROR(__xludf.DUMMYFUNCTION("IMPORTRANGE(""https://docs.google.com/spreadsheets/d/1eHaY18a8A9IcSdp1K8H6x8fbOy06t2VsZHhMHf-1x7Y/edit?usp=sharing"",""แผน!AP84"")"),0)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IFERROR(__xludf.DUMMYFUNCTION("IMPORTRANGE(""https://docs.google.com/spreadsheets/d/1eHaY18a8A9IcSdp1K8H6x8fbOy06t2VsZHhMHf-1x7Y/edit?usp=sharing"",""แผน!AP84"")"),0)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12000</v>
      </c>
      <c r="J221" s="228">
        <f>J229</f>
        <v>0</v>
      </c>
      <c r="K221" s="229">
        <f ca="1">IF(I221&gt;0,J221*100/I221,0)</f>
        <v>0</v>
      </c>
      <c r="L221" s="687"/>
      <c r="M221" s="230"/>
      <c r="N221" s="230"/>
      <c r="O221" s="230"/>
      <c r="P221" s="230"/>
      <c r="Q221" s="687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5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IFERROR(__xludf.DUMMYFUNCTION("IMPORTRANGE(""https://docs.google.com/spreadsheets/d/1eHaY18a8A9IcSdp1K8H6x8fbOy06t2VsZHhMHf-1x7Y/edit?usp=sharing"",""แผน!AR84"")"),3000)</f>
        <v>3000</v>
      </c>
      <c r="M223" s="46"/>
      <c r="N223" s="743">
        <v>0</v>
      </c>
      <c r="O223" s="136"/>
      <c r="P223" s="46"/>
      <c r="Q223" s="5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IFERROR(__xludf.DUMMYFUNCTION("IMPORTRANGE(""https://docs.google.com/spreadsheets/d/1eHaY18a8A9IcSdp1K8H6x8fbOy06t2VsZHhMHf-1x7Y/edit?usp=sharing"",""แผน!AS84"")"),1500)</f>
        <v>1500</v>
      </c>
      <c r="M224" s="46"/>
      <c r="N224" s="743">
        <v>0</v>
      </c>
      <c r="O224" s="136"/>
      <c r="P224" s="46"/>
      <c r="Q224" s="5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IFERROR(__xludf.DUMMYFUNCTION("IMPORTRANGE(""https://docs.google.com/spreadsheets/d/1eHaY18a8A9IcSdp1K8H6x8fbOy06t2VsZHhMHf-1x7Y/edit?usp=sharing"",""แผน!AT84"")"),0)</f>
        <v>0</v>
      </c>
      <c r="M225" s="46"/>
      <c r="N225" s="743">
        <v>0</v>
      </c>
      <c r="O225" s="136"/>
      <c r="P225" s="46"/>
      <c r="Q225" s="5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558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558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IFERROR(__xludf.DUMMYFUNCTION("IMPORTRANGE(""https://docs.google.com/spreadsheets/d/1eHaY18a8A9IcSdp1K8H6x8fbOy06t2VsZHhMHf-1x7Y/edit?usp=sharing"",""แผน!AV84"")"),12000)</f>
        <v>12000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558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IFERROR(__xludf.DUMMYFUNCTION("IMPORTRANGE(""https://docs.google.com/spreadsheets/d/1eHaY18a8A9IcSdp1K8H6x8fbOy06t2VsZHhMHf-1x7Y/edit?usp=sharing"",""แผน!AV84"")"),12000)</f>
        <v>12000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5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IFERROR(__xludf.DUMMYFUNCTION("IMPORTRANGE(""https://docs.google.com/spreadsheets/d/1eHaY18a8A9IcSdp1K8H6x8fbOy06t2VsZHhMHf-1x7Y/edit?usp=sharing"",""แผน!AU84"")"),0)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5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7"/>
      <c r="M231" s="230"/>
      <c r="N231" s="230"/>
      <c r="O231" s="230"/>
      <c r="P231" s="230"/>
      <c r="Q231" s="687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881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549">
        <v>0</v>
      </c>
      <c r="R233" s="49">
        <v>0</v>
      </c>
      <c r="S233" s="49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9">
        <v>0</v>
      </c>
      <c r="R234" s="49">
        <v>0</v>
      </c>
      <c r="S234" s="49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9">
        <v>0</v>
      </c>
      <c r="R235" s="49">
        <v>0</v>
      </c>
      <c r="S235" s="49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9">
        <v>0</v>
      </c>
      <c r="R236" s="49">
        <v>0</v>
      </c>
      <c r="S236" s="49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1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5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5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5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5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5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7"/>
      <c r="M242" s="230"/>
      <c r="N242" s="230"/>
      <c r="O242" s="230"/>
      <c r="P242" s="230"/>
      <c r="Q242" s="687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5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IFERROR(__xludf.DUMMYFUNCTION("IMPORTRANGE(""https://docs.google.com/spreadsheets/d/1eHaY18a8A9IcSdp1K8H6x8fbOy06t2VsZHhMHf-1x7Y/edit?usp=sharing"",""แผน!AX84"")"),0)</f>
        <v>0</v>
      </c>
      <c r="M244" s="46"/>
      <c r="N244" s="743">
        <v>0</v>
      </c>
      <c r="O244" s="46"/>
      <c r="P244" s="46"/>
      <c r="Q244" s="5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IFERROR(__xludf.DUMMYFUNCTION("IMPORTRANGE(""https://docs.google.com/spreadsheets/d/1eHaY18a8A9IcSdp1K8H6x8fbOy06t2VsZHhMHf-1x7Y/edit?usp=sharing"",""แผน!AY84"")"),0)</f>
        <v>0</v>
      </c>
      <c r="M245" s="46"/>
      <c r="N245" s="743">
        <v>0</v>
      </c>
      <c r="O245" s="46"/>
      <c r="P245" s="46"/>
      <c r="Q245" s="5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IFERROR(__xludf.DUMMYFUNCTION("IMPORTRANGE(""https://docs.google.com/spreadsheets/d/1eHaY18a8A9IcSdp1K8H6x8fbOy06t2VsZHhMHf-1x7Y/edit?usp=sharing"",""แผน!AZ84"")"),0)</f>
        <v>0</v>
      </c>
      <c r="M246" s="46"/>
      <c r="N246" s="743">
        <v>0</v>
      </c>
      <c r="O246" s="46"/>
      <c r="P246" s="46"/>
      <c r="Q246" s="5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IFERROR(__xludf.DUMMYFUNCTION("IMPORTRANGE(""https://docs.google.com/spreadsheets/d/1eHaY18a8A9IcSdp1K8H6x8fbOy06t2VsZHhMHf-1x7Y/edit?usp=sharing"",""แผน!BA84"")"),0)</f>
        <v>0</v>
      </c>
      <c r="M247" s="46"/>
      <c r="N247" s="743">
        <v>0</v>
      </c>
      <c r="O247" s="46"/>
      <c r="P247" s="46"/>
      <c r="Q247" s="5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1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5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IFERROR(__xludf.DUMMYFUNCTION("IMPORTRANGE(""https://docs.google.com/spreadsheets/d/1eHaY18a8A9IcSdp1K8H6x8fbOy06t2VsZHhMHf-1x7Y/edit?usp=sharing"",""แผน!BG84"")"),0)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5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5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5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5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7"/>
      <c r="M253" s="230"/>
      <c r="N253" s="230"/>
      <c r="O253" s="230"/>
      <c r="P253" s="230"/>
      <c r="Q253" s="687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5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IFERROR(__xludf.DUMMYFUNCTION("IMPORTRANGE(""https://docs.google.com/spreadsheets/d/1eHaY18a8A9IcSdp1K8H6x8fbOy06t2VsZHhMHf-1x7Y/edit?usp=sharing"",""แผน!BB84"")"),0)</f>
        <v>0</v>
      </c>
      <c r="M255" s="46"/>
      <c r="N255" s="743">
        <v>0</v>
      </c>
      <c r="O255" s="46"/>
      <c r="P255" s="46"/>
      <c r="Q255" s="5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IFERROR(__xludf.DUMMYFUNCTION("IMPORTRANGE(""https://docs.google.com/spreadsheets/d/1eHaY18a8A9IcSdp1K8H6x8fbOy06t2VsZHhMHf-1x7Y/edit?usp=sharing"",""แผน!BC84"")"),0)</f>
        <v>0</v>
      </c>
      <c r="M256" s="46"/>
      <c r="N256" s="743">
        <v>0</v>
      </c>
      <c r="O256" s="46"/>
      <c r="P256" s="46"/>
      <c r="Q256" s="5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IFERROR(__xludf.DUMMYFUNCTION("IMPORTRANGE(""https://docs.google.com/spreadsheets/d/1eHaY18a8A9IcSdp1K8H6x8fbOy06t2VsZHhMHf-1x7Y/edit?usp=sharing"",""แผน!BD84"")"),0)</f>
        <v>0</v>
      </c>
      <c r="M257" s="46"/>
      <c r="N257" s="743">
        <v>0</v>
      </c>
      <c r="O257" s="46"/>
      <c r="P257" s="46"/>
      <c r="Q257" s="5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IFERROR(__xludf.DUMMYFUNCTION("IMPORTRANGE(""https://docs.google.com/spreadsheets/d/1eHaY18a8A9IcSdp1K8H6x8fbOy06t2VsZHhMHf-1x7Y/edit?usp=sharing"",""แผน!BE84"")"),0)</f>
        <v>0</v>
      </c>
      <c r="M258" s="46"/>
      <c r="N258" s="743">
        <v>0</v>
      </c>
      <c r="O258" s="46"/>
      <c r="P258" s="46"/>
      <c r="Q258" s="5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1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5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IFERROR(__xludf.DUMMYFUNCTION("IMPORTRANGE(""https://docs.google.com/spreadsheets/d/1eHaY18a8A9IcSdp1K8H6x8fbOy06t2VsZHhMHf-1x7Y/edit?usp=sharing"",""แผน!BH84"")"),0)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5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5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5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5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72"/>
      <c r="R264" s="209"/>
      <c r="S264" s="209"/>
      <c r="T264" s="209"/>
      <c r="U264" s="209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20</v>
      </c>
      <c r="J265" s="726">
        <f>J276</f>
        <v>20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70"/>
      <c r="R265" s="216"/>
      <c r="S265" s="216"/>
      <c r="T265" s="216"/>
      <c r="U265" s="216"/>
    </row>
    <row r="266" spans="1:21" ht="19.5" x14ac:dyDescent="0.3">
      <c r="A266" s="416"/>
      <c r="B266" s="424"/>
      <c r="C266" s="618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0</v>
      </c>
      <c r="O266" s="421">
        <f ca="1">IF(L266&gt;0,N266*100/L266,0)</f>
        <v>0</v>
      </c>
      <c r="P266" s="421">
        <f ca="1">IF(M266&gt;0,N266*100/M266,0)</f>
        <v>0</v>
      </c>
      <c r="Q266" s="550">
        <f ca="1">Q267+Q268</f>
        <v>47880</v>
      </c>
      <c r="R266" s="132">
        <f ca="1">R267+R268</f>
        <v>47880</v>
      </c>
      <c r="S266" s="132">
        <f ca="1">S267+S268</f>
        <v>45080</v>
      </c>
      <c r="T266" s="132">
        <f ca="1">IF(Q266&gt;0,S266*100/Q266,0)</f>
        <v>94.152046783625735</v>
      </c>
      <c r="U266" s="132">
        <f ca="1">IF(R266&gt;0,S266*100/R266,0)</f>
        <v>94.152046783625735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5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0</v>
      </c>
      <c r="O268" s="331">
        <f ca="1">IF(L268&gt;0,N268*100/L268,0)</f>
        <v>0</v>
      </c>
      <c r="P268" s="331">
        <f ca="1">IF(M268&gt;0,N268*100/M268,0)</f>
        <v>0</v>
      </c>
      <c r="Q268" s="548">
        <f ca="1">Q271+Q274</f>
        <v>47880</v>
      </c>
      <c r="R268" s="47">
        <f ca="1">R271+R274</f>
        <v>47880</v>
      </c>
      <c r="S268" s="47">
        <f ca="1">S271+S274</f>
        <v>45080</v>
      </c>
      <c r="T268" s="47">
        <f ca="1">IF(Q268&gt;0,S268*100/Q268,0)</f>
        <v>94.152046783625735</v>
      </c>
      <c r="U268" s="47">
        <f ca="1">IF(R268&gt;0,S268*100/R268,0)</f>
        <v>94.152046783625735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0</v>
      </c>
      <c r="O269" s="331">
        <f ca="1">IF(L269&gt;0,N269*100/L269,0)</f>
        <v>0</v>
      </c>
      <c r="P269" s="331">
        <f ca="1">IF(M269&gt;0,N269*100/M269,0)</f>
        <v>0</v>
      </c>
      <c r="Q269" s="548">
        <f ca="1">Q270+Q271</f>
        <v>47880</v>
      </c>
      <c r="R269" s="47">
        <f ca="1">R270+R271</f>
        <v>47880</v>
      </c>
      <c r="S269" s="47">
        <f ca="1">S270+S271</f>
        <v>45080</v>
      </c>
      <c r="T269" s="47">
        <f ca="1">IF(Q269&gt;0,S269*100/Q269,0)</f>
        <v>94.152046783625735</v>
      </c>
      <c r="U269" s="47">
        <f ca="1">IF(R269&gt;0,S269*100/R269,0)</f>
        <v>94.152046783625735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5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IFERROR(__xludf.DUMMYFUNCTION("IMPORTRANGE(""https://docs.google.com/spreadsheets/d/1-uDff_7J0KD5mKrp0Vvzr7lt3OU09vwQwhkpOPPYv2Y/edit?usp=sharing"",""งบพรบ!DE84"")"),5000)</f>
        <v>5000</v>
      </c>
      <c r="M271" s="331">
        <f ca="1">IFERROR(__xludf.DUMMYFUNCTION("IMPORTRANGE(""https://docs.google.com/spreadsheets/d/1-uDff_7J0KD5mKrp0Vvzr7lt3OU09vwQwhkpOPPYv2Y/edit?usp=sharing"",""งบพรบ!DJ84"")"),5000)</f>
        <v>5000</v>
      </c>
      <c r="N271" s="331">
        <f ca="1">IFERROR(__xludf.DUMMYFUNCTION("IMPORTRANGE(""https://docs.google.com/spreadsheets/d/1-uDff_7J0KD5mKrp0Vvzr7lt3OU09vwQwhkpOPPYv2Y/edit?usp=sharing"",""งบพรบ!DL84"")"),0)</f>
        <v>0</v>
      </c>
      <c r="O271" s="331">
        <f ca="1">IF(L271&gt;0,N271*100/L271,0)</f>
        <v>0</v>
      </c>
      <c r="P271" s="331">
        <f ca="1">IF(M271&gt;0,N271*100/M271,0)</f>
        <v>0</v>
      </c>
      <c r="Q271" s="548">
        <f ca="1">IFERROR(__xludf.DUMMYFUNCTION("IMPORTRANGE(""https://docs.google.com/spreadsheets/d/1ItG2mGa2ceCfYo0BwxsXqNm01IGEUdYcSSLTEv9YCik/edit?usp=sharing"",""เบิกจ่ายกองทุน!AP84"")"),47880)</f>
        <v>47880</v>
      </c>
      <c r="R271" s="47">
        <f ca="1">IFERROR(__xludf.DUMMYFUNCTION("IMPORTRANGE(""https://docs.google.com/spreadsheets/d/1ItG2mGa2ceCfYo0BwxsXqNm01IGEUdYcSSLTEv9YCik/edit?usp=sharing"",""เบิกจ่ายกองทุน!AQ84"")"),47880)</f>
        <v>47880</v>
      </c>
      <c r="S271" s="47">
        <f ca="1">IFERROR(__xludf.DUMMYFUNCTION("IMPORTRANGE(""https://docs.google.com/spreadsheets/d/1ItG2mGa2ceCfYo0BwxsXqNm01IGEUdYcSSLTEv9YCik/edit?usp=sharing"",""เบิกจ่ายกองทุน!AR84"")"),45080)</f>
        <v>45080</v>
      </c>
      <c r="T271" s="47">
        <f ca="1">IF(Q271&gt;0,S271*100/Q271,0)</f>
        <v>94.152046783625735</v>
      </c>
      <c r="U271" s="47">
        <f ca="1">IF(R271&gt;0,S271*100/R271,0)</f>
        <v>94.152046783625735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548">
        <f>Q273+Q274</f>
        <v>0</v>
      </c>
      <c r="R272" s="47">
        <f>R273+R274</f>
        <v>0</v>
      </c>
      <c r="S272" s="47">
        <f>S273+S274</f>
        <v>0</v>
      </c>
      <c r="T272" s="47">
        <f>IF(Q272&gt;0,S272*100/Q272,0)</f>
        <v>0</v>
      </c>
      <c r="U272" s="47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5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IFERROR(__xludf.DUMMYFUNCTION("IMPORTRANGE(""https://docs.google.com/spreadsheets/d/1-uDff_7J0KD5mKrp0Vvzr7lt3OU09vwQwhkpOPPYv2Y/edit?usp=sharing"",""งบพรบ!DH84"")"),0)</f>
        <v>0</v>
      </c>
      <c r="M274" s="331">
        <f ca="1">IFERROR(__xludf.DUMMYFUNCTION("IMPORTRANGE(""https://docs.google.com/spreadsheets/d/1-uDff_7J0KD5mKrp0Vvzr7lt3OU09vwQwhkpOPPYv2Y/edit?usp=sharing"",""งบพรบ!DK84"")"),0)</f>
        <v>0</v>
      </c>
      <c r="N274" s="331">
        <f ca="1">IFERROR(__xludf.DUMMYFUNCTION("IMPORTRANGE(""https://docs.google.com/spreadsheets/d/1-uDff_7J0KD5mKrp0Vvzr7lt3OU09vwQwhkpOPPYv2Y/edit?usp=sharing"",""งบพรบ!DM84"")"),0)</f>
        <v>0</v>
      </c>
      <c r="O274" s="331">
        <f ca="1">IF(L274&gt;0,N274*100/L274,0)</f>
        <v>0</v>
      </c>
      <c r="P274" s="331">
        <f ca="1">IF(M274&gt;0,N274*100/M274,0)</f>
        <v>0</v>
      </c>
      <c r="Q274" s="548">
        <v>0</v>
      </c>
      <c r="R274" s="47">
        <v>0</v>
      </c>
      <c r="S274" s="47">
        <v>0</v>
      </c>
      <c r="T274" s="47">
        <f>IF(Q274&gt;0,S274*100/Q274,0)</f>
        <v>0</v>
      </c>
      <c r="U274" s="47">
        <f>IF(R274&gt;0,S274*100/R274,0)</f>
        <v>0</v>
      </c>
    </row>
    <row r="275" spans="1:21" ht="19.5" x14ac:dyDescent="0.3">
      <c r="A275" s="432"/>
      <c r="B275" s="433"/>
      <c r="C275" s="423" t="s">
        <v>18</v>
      </c>
      <c r="D275" s="617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558"/>
      <c r="R275" s="136"/>
      <c r="S275" s="136"/>
      <c r="T275" s="136"/>
      <c r="U275" s="136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IFERROR(__xludf.DUMMYFUNCTION("IMPORTRANGE(""https://docs.google.com/spreadsheets/d/1eHaY18a8A9IcSdp1K8H6x8fbOy06t2VsZHhMHf-1x7Y/edit?usp=sharing"",""แผน!EC84"")"),20)</f>
        <v>20</v>
      </c>
      <c r="J276" s="175">
        <v>20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5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713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880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712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711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711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550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5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548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548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5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IFERROR(__xludf.DUMMYFUNCTION("IMPORTRANGE(""https://docs.google.com/spreadsheets/d/1-uDff_7J0KD5mKrp0Vvzr7lt3OU09vwQwhkpOPPYv2Y/edit?usp=sharing"",""งบพรบ!DO84"")"),0)</f>
        <v>0</v>
      </c>
      <c r="M287" s="47">
        <f ca="1">IFERROR(__xludf.DUMMYFUNCTION("IMPORTRANGE(""https://docs.google.com/spreadsheets/d/1-uDff_7J0KD5mKrp0Vvzr7lt3OU09vwQwhkpOPPYv2Y/edit?usp=sharing"",""งบพรบ!DT84"")"),0)</f>
        <v>0</v>
      </c>
      <c r="N287" s="47">
        <f ca="1">IFERROR(__xludf.DUMMYFUNCTION("IMPORTRANGE(""https://docs.google.com/spreadsheets/d/1-uDff_7J0KD5mKrp0Vvzr7lt3OU09vwQwhkpOPPYv2Y/edit?usp=sharing"",""งบพรบ!DV84"")"),0)</f>
        <v>0</v>
      </c>
      <c r="O287" s="47">
        <f ca="1">IF(L287&gt;0,N287*100/L287,0)</f>
        <v>0</v>
      </c>
      <c r="P287" s="47">
        <f ca="1">IF(M287&gt;0,N287*100/M287,0)</f>
        <v>0</v>
      </c>
      <c r="Q287" s="548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548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5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IFERROR(__xludf.DUMMYFUNCTION("IMPORTRANGE(""https://docs.google.com/spreadsheets/d/1-uDff_7J0KD5mKrp0Vvzr7lt3OU09vwQwhkpOPPYv2Y/edit?usp=sharing"",""งบพรบ!DR84"")"),0)</f>
        <v>0</v>
      </c>
      <c r="M290" s="47">
        <f ca="1">IFERROR(__xludf.DUMMYFUNCTION("IMPORTRANGE(""https://docs.google.com/spreadsheets/d/1-uDff_7J0KD5mKrp0Vvzr7lt3OU09vwQwhkpOPPYv2Y/edit?usp=sharing"",""งบพรบ!DU84"")"),0)</f>
        <v>0</v>
      </c>
      <c r="N290" s="47">
        <f ca="1">IFERROR(__xludf.DUMMYFUNCTION("IMPORTRANGE(""https://docs.google.com/spreadsheets/d/1-uDff_7J0KD5mKrp0Vvzr7lt3OU09vwQwhkpOPPYv2Y/edit?usp=sharing"",""งบพรบ!DW84"")"),0)</f>
        <v>0</v>
      </c>
      <c r="O290" s="47">
        <f ca="1">IF(L290&gt;0,N290*100/L290,0)</f>
        <v>0</v>
      </c>
      <c r="P290" s="47">
        <f ca="1">IF(M290&gt;0,N290*100/M290,0)</f>
        <v>0</v>
      </c>
      <c r="Q290" s="548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558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IFERROR(__xludf.DUMMYFUNCTION("IMPORTRANGE(""https://docs.google.com/spreadsheets/d/1eHaY18a8A9IcSdp1K8H6x8fbOy06t2VsZHhMHf-1x7Y/edit?usp=sharing"",""แผน!EE84"")"),0)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558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IFERROR(__xludf.DUMMYFUNCTION("IMPORTRANGE(""https://docs.google.com/spreadsheets/d/1eHaY18a8A9IcSdp1K8H6x8fbOy06t2VsZHhMHf-1x7Y/edit?usp=sharing"",""แผน!ED84"")"),0)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558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558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IFERROR(__xludf.DUMMYFUNCTION("IMPORTRANGE(""https://docs.google.com/spreadsheets/d/1eHaY18a8A9IcSdp1K8H6x8fbOy06t2VsZHhMHf-1x7Y/edit?usp=sharing"",""แผน!ED84"")"),0)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558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IFERROR(__xludf.DUMMYFUNCTION("IMPORTRANGE(""https://docs.google.com/spreadsheets/d/1eHaY18a8A9IcSdp1K8H6x8fbOy06t2VsZHhMHf-1x7Y/edit?usp=sharing"",""แผน!ED84"")"),0)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558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1"/>
      <c r="M297" s="22"/>
      <c r="N297" s="22"/>
      <c r="O297" s="22"/>
      <c r="P297" s="22"/>
      <c r="Q297" s="701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1"/>
      <c r="M298" s="22"/>
      <c r="N298" s="22"/>
      <c r="O298" s="22"/>
      <c r="P298" s="22"/>
      <c r="Q298" s="701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710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879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700"/>
      <c r="M301" s="304"/>
      <c r="N301" s="304"/>
      <c r="O301" s="304"/>
      <c r="P301" s="304"/>
      <c r="Q301" s="700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651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9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550">
        <f ca="1">Q304+Q305</f>
        <v>194611.99</v>
      </c>
      <c r="R303" s="132">
        <f ca="1">R304+R305</f>
        <v>194612</v>
      </c>
      <c r="S303" s="132">
        <f ca="1">S304+S305</f>
        <v>6230</v>
      </c>
      <c r="T303" s="132">
        <f ca="1">IF(Q303&gt;0,S303*100/Q303,0)</f>
        <v>3.2012416090087772</v>
      </c>
      <c r="U303" s="132">
        <f ca="1">IF(R303&gt;0,S303*100/R303,0)</f>
        <v>3.2012414445152406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5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548">
        <f ca="1">Q308+Q311</f>
        <v>194611.99</v>
      </c>
      <c r="R305" s="47">
        <f ca="1">R308+R311</f>
        <v>194612</v>
      </c>
      <c r="S305" s="47">
        <f ca="1">S308+S311</f>
        <v>6230</v>
      </c>
      <c r="T305" s="47">
        <f ca="1">IF(Q305&gt;0,S305*100/Q305,0)</f>
        <v>3.2012416090087772</v>
      </c>
      <c r="U305" s="47">
        <f ca="1">IF(R305&gt;0,S305*100/R305,0)</f>
        <v>3.2012414445152406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548">
        <f ca="1">Q307+Q308</f>
        <v>194611.99</v>
      </c>
      <c r="R306" s="47">
        <f ca="1">R307+R308</f>
        <v>194612</v>
      </c>
      <c r="S306" s="47">
        <f ca="1">S307+S308</f>
        <v>6230</v>
      </c>
      <c r="T306" s="47">
        <f ca="1">IF(Q306&gt;0,S306*100/Q306,0)</f>
        <v>3.2012416090087772</v>
      </c>
      <c r="U306" s="47">
        <f ca="1">IF(R306&gt;0,S306*100/R306,0)</f>
        <v>3.2012414445152406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5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IFERROR(__xludf.DUMMYFUNCTION("IMPORTRANGE(""https://docs.google.com/spreadsheets/d/1-uDff_7J0KD5mKrp0Vvzr7lt3OU09vwQwhkpOPPYv2Y/edit?usp=sharing"",""งบพรบ!DY84"")"),0)</f>
        <v>0</v>
      </c>
      <c r="M308" s="47">
        <f ca="1">IFERROR(__xludf.DUMMYFUNCTION("IMPORTRANGE(""https://docs.google.com/spreadsheets/d/1-uDff_7J0KD5mKrp0Vvzr7lt3OU09vwQwhkpOPPYv2Y/edit?usp=sharing"",""งบพรบ!ED84"")"),0)</f>
        <v>0</v>
      </c>
      <c r="N308" s="47">
        <f ca="1">IFERROR(__xludf.DUMMYFUNCTION("IMPORTRANGE(""https://docs.google.com/spreadsheets/d/1-uDff_7J0KD5mKrp0Vvzr7lt3OU09vwQwhkpOPPYv2Y/edit?usp=sharing"",""งบพรบ!EF84"")"),0)</f>
        <v>0</v>
      </c>
      <c r="O308" s="47">
        <f ca="1">IF(L308&gt;0,N308*100/L308,0)</f>
        <v>0</v>
      </c>
      <c r="P308" s="47">
        <f ca="1">IF(M308&gt;0,N308*100/M308,0)</f>
        <v>0</v>
      </c>
      <c r="Q308" s="548">
        <f ca="1">IFERROR(__xludf.DUMMYFUNCTION("IMPORTRANGE(""https://docs.google.com/spreadsheets/d/1ItG2mGa2ceCfYo0BwxsXqNm01IGEUdYcSSLTEv9YCik/edit?usp=sharing"",""เบิกจ่ายกองทุน!BB84"")"),194611.99)</f>
        <v>194611.99</v>
      </c>
      <c r="R308" s="47">
        <f ca="1">IFERROR(__xludf.DUMMYFUNCTION("IMPORTRANGE(""https://docs.google.com/spreadsheets/d/1ItG2mGa2ceCfYo0BwxsXqNm01IGEUdYcSSLTEv9YCik/edit?usp=sharing"",""เบิกจ่ายกองทุน!BC84"")"),194612)</f>
        <v>194612</v>
      </c>
      <c r="S308" s="47">
        <f ca="1">IFERROR(__xludf.DUMMYFUNCTION("IMPORTRANGE(""https://docs.google.com/spreadsheets/d/1ItG2mGa2ceCfYo0BwxsXqNm01IGEUdYcSSLTEv9YCik/edit?usp=sharing"",""เบิกจ่ายกองทุน!BD84"")"),6230)</f>
        <v>6230</v>
      </c>
      <c r="T308" s="47">
        <f ca="1">IF(Q308&gt;0,S308*100/Q308,0)</f>
        <v>3.2012416090087772</v>
      </c>
      <c r="U308" s="47">
        <f ca="1">IF(R308&gt;0,S308*100/R308,0)</f>
        <v>3.2012414445152406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548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5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IFERROR(__xludf.DUMMYFUNCTION("IMPORTRANGE(""https://docs.google.com/spreadsheets/d/1-uDff_7J0KD5mKrp0Vvzr7lt3OU09vwQwhkpOPPYv2Y/edit?usp=sharing"",""งบพรบ!EB84"")"),0)</f>
        <v>0</v>
      </c>
      <c r="M311" s="47">
        <f ca="1">IFERROR(__xludf.DUMMYFUNCTION("IMPORTRANGE(""https://docs.google.com/spreadsheets/d/1-uDff_7J0KD5mKrp0Vvzr7lt3OU09vwQwhkpOPPYv2Y/edit?usp=sharing"",""งบพรบ!EE84"")"),0)</f>
        <v>0</v>
      </c>
      <c r="N311" s="47">
        <f ca="1">IFERROR(__xludf.DUMMYFUNCTION("IMPORTRANGE(""https://docs.google.com/spreadsheets/d/1-uDff_7J0KD5mKrp0Vvzr7lt3OU09vwQwhkpOPPYv2Y/edit?usp=sharing"",""งบพรบ!EG84"")"),0)</f>
        <v>0</v>
      </c>
      <c r="O311" s="47">
        <f ca="1">IF(L311&gt;0,N311*100/L311,0)</f>
        <v>0</v>
      </c>
      <c r="P311" s="47">
        <f ca="1">IF(M311&gt;0,N311*100/M311,0)</f>
        <v>0</v>
      </c>
      <c r="Q311" s="548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5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9"/>
      <c r="E313" s="19"/>
      <c r="F313" s="19"/>
      <c r="G313" s="20"/>
      <c r="H313" s="20"/>
      <c r="I313" s="21"/>
      <c r="J313" s="707"/>
      <c r="K313" s="22"/>
      <c r="L313" s="701"/>
      <c r="M313" s="22"/>
      <c r="N313" s="22"/>
      <c r="O313" s="22"/>
      <c r="P313" s="22"/>
      <c r="Q313" s="701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IFERROR(__xludf.DUMMYFUNCTION("IMPORTRANGE(""https://docs.google.com/spreadsheets/d/1eHaY18a8A9IcSdp1K8H6x8fbOy06t2VsZHhMHf-1x7Y/edit?usp=sharing"",""แผน!EF84"")"),20)</f>
        <v>20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5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9"/>
      <c r="E315" s="19"/>
      <c r="F315" s="19"/>
      <c r="G315" s="20"/>
      <c r="H315" s="708"/>
      <c r="I315" s="707"/>
      <c r="J315" s="707"/>
      <c r="K315" s="706"/>
      <c r="L315" s="701"/>
      <c r="M315" s="22"/>
      <c r="N315" s="22"/>
      <c r="O315" s="22"/>
      <c r="P315" s="22"/>
      <c r="Q315" s="701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9"/>
      <c r="E316" s="19"/>
      <c r="F316" s="19"/>
      <c r="G316" s="20"/>
      <c r="H316" s="708"/>
      <c r="I316" s="707"/>
      <c r="J316" s="707"/>
      <c r="K316" s="706"/>
      <c r="L316" s="701"/>
      <c r="M316" s="22"/>
      <c r="N316" s="22"/>
      <c r="O316" s="22"/>
      <c r="P316" s="22"/>
      <c r="Q316" s="701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5"/>
      <c r="E317" s="19"/>
      <c r="F317" s="19"/>
      <c r="G317" s="20"/>
      <c r="H317" s="704"/>
      <c r="I317" s="703"/>
      <c r="J317" s="703"/>
      <c r="K317" s="702"/>
      <c r="L317" s="701"/>
      <c r="M317" s="22"/>
      <c r="N317" s="22"/>
      <c r="O317" s="22"/>
      <c r="P317" s="22"/>
      <c r="Q317" s="701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700"/>
      <c r="M318" s="304"/>
      <c r="N318" s="304"/>
      <c r="O318" s="304"/>
      <c r="P318" s="304"/>
      <c r="Q318" s="700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651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550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5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548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548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5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IFERROR(__xludf.DUMMYFUNCTION("IMPORTRANGE(""https://docs.google.com/spreadsheets/d/1-uDff_7J0KD5mKrp0Vvzr7lt3OU09vwQwhkpOPPYv2Y/edit?usp=sharing"",""งบพรบ!EI84"")"),0)</f>
        <v>0</v>
      </c>
      <c r="M325" s="47">
        <f ca="1">IFERROR(__xludf.DUMMYFUNCTION("IMPORTRANGE(""https://docs.google.com/spreadsheets/d/1-uDff_7J0KD5mKrp0Vvzr7lt3OU09vwQwhkpOPPYv2Y/edit?usp=sharing"",""งบพรบ!EN84"")"),0)</f>
        <v>0</v>
      </c>
      <c r="N325" s="47">
        <f ca="1">IFERROR(__xludf.DUMMYFUNCTION("IMPORTRANGE(""https://docs.google.com/spreadsheets/d/1-uDff_7J0KD5mKrp0Vvzr7lt3OU09vwQwhkpOPPYv2Y/edit?usp=sharing"",""งบพรบ!EP84"")"),0)</f>
        <v>0</v>
      </c>
      <c r="O325" s="47">
        <f ca="1">IF(L325&gt;0,N325*100/L325,0)</f>
        <v>0</v>
      </c>
      <c r="P325" s="47">
        <f ca="1">IF(M325&gt;0,N325*100/M325,0)</f>
        <v>0</v>
      </c>
      <c r="Q325" s="548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548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5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IFERROR(__xludf.DUMMYFUNCTION("IMPORTRANGE(""https://docs.google.com/spreadsheets/d/1-uDff_7J0KD5mKrp0Vvzr7lt3OU09vwQwhkpOPPYv2Y/edit?usp=sharing"",""งบพรบ!EL84"")"),0)</f>
        <v>0</v>
      </c>
      <c r="M328" s="47">
        <f ca="1">IFERROR(__xludf.DUMMYFUNCTION("IMPORTRANGE(""https://docs.google.com/spreadsheets/d/1-uDff_7J0KD5mKrp0Vvzr7lt3OU09vwQwhkpOPPYv2Y/edit?usp=sharing"",""งบพรบ!EO84"")"),0)</f>
        <v>0</v>
      </c>
      <c r="N328" s="47">
        <f ca="1">IFERROR(__xludf.DUMMYFUNCTION("IMPORTRANGE(""https://docs.google.com/spreadsheets/d/1-uDff_7J0KD5mKrp0Vvzr7lt3OU09vwQwhkpOPPYv2Y/edit?usp=sharing"",""งบพรบ!EQ84"")"),0)</f>
        <v>0</v>
      </c>
      <c r="O328" s="47">
        <f ca="1">IF(L328&gt;0,N328*100/L328,0)</f>
        <v>0</v>
      </c>
      <c r="P328" s="47">
        <f ca="1">IF(M328&gt;0,N328*100/M328,0)</f>
        <v>0</v>
      </c>
      <c r="Q328" s="548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5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IFERROR(__xludf.DUMMYFUNCTION("IMPORTRANGE(""https://docs.google.com/spreadsheets/d/1eHaY18a8A9IcSdp1K8H6x8fbOy06t2VsZHhMHf-1x7Y/edit?usp=sharing"",""แผน!EJ84"")"),0)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5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700"/>
      <c r="M331" s="304"/>
      <c r="N331" s="304"/>
      <c r="O331" s="304"/>
      <c r="P331" s="304"/>
      <c r="Q331" s="700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9">
        <f ca="1">I344</f>
        <v>140</v>
      </c>
      <c r="J332" s="698">
        <f ca="1">J344+J347+J348+J349+J353</f>
        <v>591</v>
      </c>
      <c r="K332" s="697">
        <f ca="1">IF(I332&gt;0,J332*100/I332,0)</f>
        <v>422.14285714285717</v>
      </c>
      <c r="L332" s="651"/>
      <c r="M332" s="312"/>
      <c r="N332" s="312"/>
      <c r="O332" s="312"/>
      <c r="P332" s="312"/>
      <c r="Q332" s="651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9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172000</v>
      </c>
      <c r="M333" s="132">
        <f ca="1">M334+M335</f>
        <v>172000</v>
      </c>
      <c r="N333" s="132">
        <f ca="1">N334+N335</f>
        <v>68239.929999999993</v>
      </c>
      <c r="O333" s="132">
        <f ca="1">IF(L333&gt;0,N333*100/L333,0)</f>
        <v>39.674377906976737</v>
      </c>
      <c r="P333" s="132">
        <f ca="1">IF(M333&gt;0,N333*100/M333,0)</f>
        <v>39.674377906976737</v>
      </c>
      <c r="Q333" s="550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5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172000</v>
      </c>
      <c r="M335" s="47">
        <f ca="1">M338+M341</f>
        <v>172000</v>
      </c>
      <c r="N335" s="47">
        <f ca="1">N338+N341</f>
        <v>68239.929999999993</v>
      </c>
      <c r="O335" s="47">
        <f ca="1">IF(L335&gt;0,N335*100/L335,0)</f>
        <v>39.674377906976737</v>
      </c>
      <c r="P335" s="47">
        <f ca="1">IF(M335&gt;0,N335*100/M335,0)</f>
        <v>39.674377906976737</v>
      </c>
      <c r="Q335" s="548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172000</v>
      </c>
      <c r="M336" s="47">
        <f ca="1">M337+M338</f>
        <v>172000</v>
      </c>
      <c r="N336" s="47">
        <f ca="1">N337+N338</f>
        <v>68239.929999999993</v>
      </c>
      <c r="O336" s="47">
        <f ca="1">IF(L336&gt;0,N336*100/L336,0)</f>
        <v>39.674377906976737</v>
      </c>
      <c r="P336" s="47">
        <f ca="1">IF(M336&gt;0,N336*100/M336,0)</f>
        <v>39.674377906976737</v>
      </c>
      <c r="Q336" s="548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5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IFERROR(__xludf.DUMMYFUNCTION("IMPORTRANGE(""https://docs.google.com/spreadsheets/d/1-uDff_7J0KD5mKrp0Vvzr7lt3OU09vwQwhkpOPPYv2Y/edit?usp=sharing"",""งบพรบ!ES84"")"),172000)</f>
        <v>172000</v>
      </c>
      <c r="M338" s="47">
        <f ca="1">IFERROR(__xludf.DUMMYFUNCTION("IMPORTRANGE(""https://docs.google.com/spreadsheets/d/1-uDff_7J0KD5mKrp0Vvzr7lt3OU09vwQwhkpOPPYv2Y/edit?usp=sharing"",""งบพรบ!EX84"")"),172000)</f>
        <v>172000</v>
      </c>
      <c r="N338" s="47">
        <f ca="1">IFERROR(__xludf.DUMMYFUNCTION("IMPORTRANGE(""https://docs.google.com/spreadsheets/d/1-uDff_7J0KD5mKrp0Vvzr7lt3OU09vwQwhkpOPPYv2Y/edit?usp=sharing"",""งบพรบ!EZ84"")"),68239.93)</f>
        <v>68239.929999999993</v>
      </c>
      <c r="O338" s="47">
        <f ca="1">IF(L338&gt;0,N338*100/L338,0)</f>
        <v>39.674377906976737</v>
      </c>
      <c r="P338" s="47">
        <f ca="1">IF(M338&gt;0,N338*100/M338,0)</f>
        <v>39.674377906976737</v>
      </c>
      <c r="Q338" s="548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548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5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IFERROR(__xludf.DUMMYFUNCTION("IMPORTRANGE(""https://docs.google.com/spreadsheets/d/1-uDff_7J0KD5mKrp0Vvzr7lt3OU09vwQwhkpOPPYv2Y/edit?usp=sharing"",""งบพรบ!EV84"")"),0)</f>
        <v>0</v>
      </c>
      <c r="M341" s="47">
        <f ca="1">IFERROR(__xludf.DUMMYFUNCTION("IMPORTRANGE(""https://docs.google.com/spreadsheets/d/1-uDff_7J0KD5mKrp0Vvzr7lt3OU09vwQwhkpOPPYv2Y/edit?usp=sharing"",""งบพรบ!EY84"")"),0)</f>
        <v>0</v>
      </c>
      <c r="N341" s="47">
        <f ca="1">IFERROR(__xludf.DUMMYFUNCTION("IMPORTRANGE(""https://docs.google.com/spreadsheets/d/1-uDff_7J0KD5mKrp0Vvzr7lt3OU09vwQwhkpOPPYv2Y/edit?usp=sharing"",""งบพรบ!FA84"")"),0)</f>
        <v>0</v>
      </c>
      <c r="O341" s="47">
        <f ca="1">IF(L341&gt;0,N341*100/L341,0)</f>
        <v>0</v>
      </c>
      <c r="P341" s="47">
        <f ca="1">IF(M341&gt;0,N341*100/M341,0)</f>
        <v>0</v>
      </c>
      <c r="Q341" s="548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546"/>
      <c r="R342" s="46"/>
      <c r="S342" s="46"/>
      <c r="T342" s="136"/>
      <c r="U342" s="136"/>
    </row>
    <row r="343" spans="1:21" ht="19.5" x14ac:dyDescent="0.3">
      <c r="A343" s="696"/>
      <c r="B343" s="693"/>
      <c r="C343" s="695"/>
      <c r="D343" s="693"/>
      <c r="E343" s="694" t="s">
        <v>137</v>
      </c>
      <c r="F343" s="693"/>
      <c r="G343" s="692"/>
      <c r="H343" s="691" t="s">
        <v>35</v>
      </c>
      <c r="I343" s="690">
        <v>0</v>
      </c>
      <c r="J343" s="690">
        <f ca="1">J344+J347+J348+J349</f>
        <v>164</v>
      </c>
      <c r="K343" s="689">
        <v>0</v>
      </c>
      <c r="L343" s="687"/>
      <c r="M343" s="230"/>
      <c r="N343" s="230"/>
      <c r="O343" s="230"/>
      <c r="P343" s="230"/>
      <c r="Q343" s="687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IFERROR(__xludf.DUMMYFUNCTION("IMPORTRANGE(""https://docs.google.com/spreadsheets/d/1eHaY18a8A9IcSdp1K8H6x8fbOy06t2VsZHhMHf-1x7Y/edit?usp=sharing"",""แผน!EK84"")"),140)</f>
        <v>140</v>
      </c>
      <c r="J344" s="152">
        <f ca="1">IFERROR(__xludf.DUMMYFUNCTION("IMPORTRANGE(""https://docs.google.com/spreadsheets/d/1awYsYK3VOup2i3Pq_Yjnu8DRu_mYwSBnCR2QPthd0rU/edit?usp=sharing"",""ศูนย์ยกเว้นโฉนด!D84"")"),164)</f>
        <v>164</v>
      </c>
      <c r="K344" s="47">
        <f ca="1">IF(I344&gt;0,J344*100/I344,0)</f>
        <v>117.14285714285714</v>
      </c>
      <c r="L344" s="546"/>
      <c r="M344" s="46"/>
      <c r="N344" s="46"/>
      <c r="O344" s="46"/>
      <c r="P344" s="46"/>
      <c r="Q344" s="5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5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IFERROR(__xludf.DUMMYFUNCTION("IMPORTRANGE(""https://docs.google.com/spreadsheets/d/1eHaY18a8A9IcSdp1K8H6x8fbOy06t2VsZHhMHf-1x7Y/edit?usp=sharing"",""แผน!EL84"")"),1)</f>
        <v>1</v>
      </c>
      <c r="J346" s="152">
        <f ca="1">IFERROR(__xludf.DUMMYFUNCTION("IMPORTRANGE(""https://docs.google.com/spreadsheets/d/1awYsYK3VOup2i3Pq_Yjnu8DRu_mYwSBnCR2QPthd0rU/edit?usp=sharing"",""ศูนย์รวม!E84"")"),0)</f>
        <v>0</v>
      </c>
      <c r="K346" s="47">
        <f ca="1">IF(I346&gt;0,J346*100/I346,0)</f>
        <v>0</v>
      </c>
      <c r="L346" s="546"/>
      <c r="M346" s="46"/>
      <c r="N346" s="46"/>
      <c r="O346" s="46"/>
      <c r="P346" s="46"/>
      <c r="Q346" s="5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IFERROR(__xludf.DUMMYFUNCTION("IMPORTRANGE(""https://docs.google.com/spreadsheets/d/1awYsYK3VOup2i3Pq_Yjnu8DRu_mYwSBnCR2QPthd0rU/edit?usp=sharing"",""ศูนย์ยกเว้นโฉนด!F84"")"),0)</f>
        <v>0</v>
      </c>
      <c r="K347" s="46"/>
      <c r="L347" s="546"/>
      <c r="M347" s="46"/>
      <c r="N347" s="46"/>
      <c r="O347" s="46"/>
      <c r="P347" s="46"/>
      <c r="Q347" s="5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IFERROR(__xludf.DUMMYFUNCTION("IMPORTRANGE(""https://docs.google.com/spreadsheets/d/1awYsYK3VOup2i3Pq_Yjnu8DRu_mYwSBnCR2QPthd0rU/edit?usp=sharing"",""ศูนย์ยกเว้นโฉนด!G84"")"),0)</f>
        <v>0</v>
      </c>
      <c r="K348" s="46"/>
      <c r="L348" s="546"/>
      <c r="M348" s="46"/>
      <c r="N348" s="46"/>
      <c r="O348" s="46"/>
      <c r="P348" s="46"/>
      <c r="Q348" s="5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IFERROR(__xludf.DUMMYFUNCTION("IMPORTRANGE(""https://docs.google.com/spreadsheets/d/1awYsYK3VOup2i3Pq_Yjnu8DRu_mYwSBnCR2QPthd0rU/edit?usp=sharing"",""ศูนย์ยกเว้นโฉนด!H84"")"),0)</f>
        <v>0</v>
      </c>
      <c r="K349" s="46"/>
      <c r="L349" s="546"/>
      <c r="M349" s="46"/>
      <c r="N349" s="46"/>
      <c r="O349" s="46"/>
      <c r="P349" s="46"/>
      <c r="Q349" s="5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5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8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429</v>
      </c>
      <c r="K351" s="229">
        <v>0</v>
      </c>
      <c r="L351" s="687"/>
      <c r="M351" s="230"/>
      <c r="N351" s="230"/>
      <c r="O351" s="230"/>
      <c r="P351" s="230"/>
      <c r="Q351" s="687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IFERROR(__xludf.DUMMYFUNCTION("IMPORTRANGE(""https://docs.google.com/spreadsheets/d/1awYsYK3VOup2i3Pq_Yjnu8DRu_mYwSBnCR2QPthd0rU/edit?usp=sharing"",""โฉนดM3!G84"")"),2)</f>
        <v>2</v>
      </c>
      <c r="K352" s="46"/>
      <c r="L352" s="546"/>
      <c r="M352" s="46"/>
      <c r="N352" s="46"/>
      <c r="O352" s="46"/>
      <c r="P352" s="46"/>
      <c r="Q352" s="5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IFERROR(__xludf.DUMMYFUNCTION("IMPORTRANGE(""https://docs.google.com/spreadsheets/d/1awYsYK3VOup2i3Pq_Yjnu8DRu_mYwSBnCR2QPthd0rU/edit?usp=sharing"",""โฉนดM3!H84"")"),427)</f>
        <v>427</v>
      </c>
      <c r="K353" s="46"/>
      <c r="L353" s="546"/>
      <c r="M353" s="46"/>
      <c r="N353" s="46"/>
      <c r="O353" s="46"/>
      <c r="P353" s="46"/>
      <c r="Q353" s="5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5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651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9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684130</v>
      </c>
      <c r="M356" s="132">
        <f ca="1">M357+M358</f>
        <v>693650</v>
      </c>
      <c r="N356" s="132">
        <f ca="1">N357+N358</f>
        <v>420691.24</v>
      </c>
      <c r="O356" s="132">
        <f ca="1">IF(L356&gt;0,N356*100/L356,0)</f>
        <v>61.49288000818558</v>
      </c>
      <c r="P356" s="132">
        <f ca="1">IF(M356&gt;0,N356*100/M356,0)</f>
        <v>60.648920925538818</v>
      </c>
      <c r="Q356" s="550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5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684130</v>
      </c>
      <c r="M358" s="47">
        <f ca="1">M361+M364</f>
        <v>693650</v>
      </c>
      <c r="N358" s="47">
        <f ca="1">N361+N364</f>
        <v>420691.24</v>
      </c>
      <c r="O358" s="47">
        <f ca="1">IF(L358&gt;0,N358*100/L358,0)</f>
        <v>61.49288000818558</v>
      </c>
      <c r="P358" s="47">
        <f ca="1">IF(M358&gt;0,N358*100/M358,0)</f>
        <v>60.648920925538818</v>
      </c>
      <c r="Q358" s="548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684130</v>
      </c>
      <c r="M359" s="47">
        <f ca="1">M360+M361</f>
        <v>693650</v>
      </c>
      <c r="N359" s="47">
        <f ca="1">N360+N361</f>
        <v>420691.24</v>
      </c>
      <c r="O359" s="47">
        <f ca="1">IF(L359&gt;0,N359*100/L359,0)</f>
        <v>61.49288000818558</v>
      </c>
      <c r="P359" s="47">
        <f ca="1">IF(M359&gt;0,N359*100/M359,0)</f>
        <v>60.648920925538818</v>
      </c>
      <c r="Q359" s="548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5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IFERROR(__xludf.DUMMYFUNCTION("IMPORTRANGE(""https://docs.google.com/spreadsheets/d/1-uDff_7J0KD5mKrp0Vvzr7lt3OU09vwQwhkpOPPYv2Y/edit?usp=sharing"",""งบพรบ!FC84"")"),684130)</f>
        <v>684130</v>
      </c>
      <c r="M361" s="47">
        <f ca="1">IFERROR(__xludf.DUMMYFUNCTION("IMPORTRANGE(""https://docs.google.com/spreadsheets/d/1-uDff_7J0KD5mKrp0Vvzr7lt3OU09vwQwhkpOPPYv2Y/edit?usp=sharing"",""งบพรบ!FH84"")"),693650)</f>
        <v>693650</v>
      </c>
      <c r="N361" s="47">
        <f ca="1">IFERROR(__xludf.DUMMYFUNCTION("IMPORTRANGE(""https://docs.google.com/spreadsheets/d/1-uDff_7J0KD5mKrp0Vvzr7lt3OU09vwQwhkpOPPYv2Y/edit?usp=sharing"",""งบพรบ!FJ84"")"),420691.24)</f>
        <v>420691.24</v>
      </c>
      <c r="O361" s="47">
        <f ca="1">IF(L361&gt;0,N361*100/L361,0)</f>
        <v>61.49288000818558</v>
      </c>
      <c r="P361" s="47">
        <f ca="1">IF(M361&gt;0,N361*100/M361,0)</f>
        <v>60.648920925538818</v>
      </c>
      <c r="Q361" s="548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548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5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IFERROR(__xludf.DUMMYFUNCTION("IMPORTRANGE(""https://docs.google.com/spreadsheets/d/1-uDff_7J0KD5mKrp0Vvzr7lt3OU09vwQwhkpOPPYv2Y/edit?usp=sharing"",""งบพรบ!FF84"")"),0)</f>
        <v>0</v>
      </c>
      <c r="M364" s="47">
        <f ca="1">IFERROR(__xludf.DUMMYFUNCTION("IMPORTRANGE(""https://docs.google.com/spreadsheets/d/1-uDff_7J0KD5mKrp0Vvzr7lt3OU09vwQwhkpOPPYv2Y/edit?usp=sharing"",""งบพรบ!FI84"")"),0)</f>
        <v>0</v>
      </c>
      <c r="N364" s="47">
        <f ca="1">IFERROR(__xludf.DUMMYFUNCTION("IMPORTRANGE(""https://docs.google.com/spreadsheets/d/1-uDff_7J0KD5mKrp0Vvzr7lt3OU09vwQwhkpOPPYv2Y/edit?usp=sharing"",""งบพรบ!FK84"")"),0)</f>
        <v>0</v>
      </c>
      <c r="O364" s="47">
        <f ca="1">IF(L364&gt;0,N364*100/L364,0)</f>
        <v>0</v>
      </c>
      <c r="P364" s="47">
        <f ca="1">IF(M364&gt;0,N364*100/M364,0)</f>
        <v>0</v>
      </c>
      <c r="Q364" s="548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8" t="s">
        <v>149</v>
      </c>
      <c r="E365" s="225"/>
      <c r="F365" s="225"/>
      <c r="G365" s="226"/>
      <c r="H365" s="234" t="s">
        <v>35</v>
      </c>
      <c r="I365" s="228">
        <f ca="1">I371</f>
        <v>89</v>
      </c>
      <c r="J365" s="228">
        <f ca="1">J371</f>
        <v>64</v>
      </c>
      <c r="K365" s="229">
        <f ca="1">IF(I365&gt;0,J365*100/I365,0)</f>
        <v>71.910112359550567</v>
      </c>
      <c r="L365" s="687"/>
      <c r="M365" s="230"/>
      <c r="N365" s="230"/>
      <c r="O365" s="230"/>
      <c r="P365" s="230"/>
      <c r="Q365" s="687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558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IFERROR(__xludf.DUMMYFUNCTION("IMPORTRANGE(""https://docs.google.com/spreadsheets/d/1tdoBKaGub7dwA3U6UFTqxio9LNnvDCQjHKmttSEBsFQ/edit?usp=sharing"",""จัดที่ดิน!AB84"")"),51)</f>
        <v>51</v>
      </c>
      <c r="K367" s="47">
        <f>IF(I367&gt;0,J367*100/I367,0)</f>
        <v>0</v>
      </c>
      <c r="L367" s="558"/>
      <c r="M367" s="136"/>
      <c r="N367" s="136"/>
      <c r="O367" s="136"/>
      <c r="P367" s="136"/>
      <c r="Q367" s="558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IFERROR(__xludf.DUMMYFUNCTION("IMPORTRANGE(""https://docs.google.com/spreadsheets/d/1eHaY18a8A9IcSdp1K8H6x8fbOy06t2VsZHhMHf-1x7Y/edit?usp=sharing"",""แผน!EW84"")"),470)</f>
        <v>470</v>
      </c>
      <c r="J368" s="686">
        <f ca="1">IFERROR(__xludf.DUMMYFUNCTION("IMPORTRANGE(""https://docs.google.com/spreadsheets/d/1tdoBKaGub7dwA3U6UFTqxio9LNnvDCQjHKmttSEBsFQ/edit?usp=sharing"",""จัดที่ดิน!AC84"")"),391.57)</f>
        <v>391.57</v>
      </c>
      <c r="K368" s="47">
        <f ca="1">IF(I368&gt;0,J368*100/I368,0)</f>
        <v>83.312765957446814</v>
      </c>
      <c r="L368" s="558"/>
      <c r="M368" s="136"/>
      <c r="N368" s="136"/>
      <c r="O368" s="136"/>
      <c r="P368" s="136"/>
      <c r="Q368" s="558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IFERROR(__xludf.DUMMYFUNCTION("IMPORTRANGE(""https://docs.google.com/spreadsheets/d/1eHaY18a8A9IcSdp1K8H6x8fbOy06t2VsZHhMHf-1x7Y/edit?usp=sharing"",""แผน!EX84"")"),89)</f>
        <v>89</v>
      </c>
      <c r="J369" s="152">
        <f ca="1">IFERROR(__xludf.DUMMYFUNCTION("IMPORTRANGE(""https://docs.google.com/spreadsheets/d/1tdoBKaGub7dwA3U6UFTqxio9LNnvDCQjHKmttSEBsFQ/edit?usp=sharing"",""จัดที่ดิน!AD84"")"),105)</f>
        <v>105</v>
      </c>
      <c r="K369" s="47">
        <f ca="1">IF(I369&gt;0,J369*100/I369,0)</f>
        <v>117.97752808988764</v>
      </c>
      <c r="L369" s="558"/>
      <c r="M369" s="136"/>
      <c r="N369" s="136"/>
      <c r="O369" s="136"/>
      <c r="P369" s="136"/>
      <c r="Q369" s="558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6">
        <f ca="1">IFERROR(__xludf.DUMMYFUNCTION("IMPORTRANGE(""https://docs.google.com/spreadsheets/d/1tdoBKaGub7dwA3U6UFTqxio9LNnvDCQjHKmttSEBsFQ/edit?usp=sharing"",""จัดที่ดิน!AE84"")"),701.78)</f>
        <v>701.78</v>
      </c>
      <c r="K370" s="47">
        <f>IF(I370&gt;0,J370*100/I370,0)</f>
        <v>0</v>
      </c>
      <c r="L370" s="558"/>
      <c r="M370" s="136"/>
      <c r="N370" s="136"/>
      <c r="O370" s="136"/>
      <c r="P370" s="136"/>
      <c r="Q370" s="558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IFERROR(__xludf.DUMMYFUNCTION("IMPORTRANGE(""https://docs.google.com/spreadsheets/d/1eHaY18a8A9IcSdp1K8H6x8fbOy06t2VsZHhMHf-1x7Y/edit?usp=sharing"",""แผน!EY84"")"),89)</f>
        <v>89</v>
      </c>
      <c r="J371" s="152">
        <f ca="1">IFERROR(__xludf.DUMMYFUNCTION("IMPORTRANGE(""https://docs.google.com/spreadsheets/d/1tdoBKaGub7dwA3U6UFTqxio9LNnvDCQjHKmttSEBsFQ/edit?usp=sharing"",""จัดที่ดิน!AF84"")"),64)</f>
        <v>64</v>
      </c>
      <c r="K371" s="47">
        <f ca="1">IF(I371&gt;0,J371*100/I371,0)</f>
        <v>71.910112359550567</v>
      </c>
      <c r="L371" s="558"/>
      <c r="M371" s="136"/>
      <c r="N371" s="136"/>
      <c r="O371" s="136"/>
      <c r="P371" s="136"/>
      <c r="Q371" s="558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6">
        <f ca="1">IFERROR(__xludf.DUMMYFUNCTION("IMPORTRANGE(""https://docs.google.com/spreadsheets/d/1tdoBKaGub7dwA3U6UFTqxio9LNnvDCQjHKmttSEBsFQ/edit?usp=sharing"",""จัดที่ดิน!AG84"")"),408.82)</f>
        <v>408.82</v>
      </c>
      <c r="K372" s="47">
        <f>IF(I372&gt;0,J372*100/I372,0)</f>
        <v>0</v>
      </c>
      <c r="L372" s="558"/>
      <c r="M372" s="136"/>
      <c r="N372" s="136"/>
      <c r="O372" s="136"/>
      <c r="P372" s="136"/>
      <c r="Q372" s="558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545"/>
      <c r="R373" s="4"/>
      <c r="S373" s="4"/>
      <c r="T373" s="4"/>
      <c r="U373" s="4"/>
    </row>
    <row r="374" spans="1:21" ht="19.5" x14ac:dyDescent="0.3">
      <c r="A374" s="685"/>
      <c r="B374" s="684" t="s">
        <v>153</v>
      </c>
      <c r="C374" s="683"/>
      <c r="D374" s="682"/>
      <c r="E374" s="681"/>
      <c r="F374" s="681"/>
      <c r="G374" s="680"/>
      <c r="H374" s="679" t="s">
        <v>46</v>
      </c>
      <c r="I374" s="678">
        <f ca="1">I386+I388</f>
        <v>150</v>
      </c>
      <c r="J374" s="678">
        <f ca="1">J386+J388</f>
        <v>0</v>
      </c>
      <c r="K374" s="677">
        <f ca="1">IF(I374&gt;0,J374*100/I374,0)</f>
        <v>0</v>
      </c>
      <c r="L374" s="651"/>
      <c r="M374" s="312"/>
      <c r="N374" s="312"/>
      <c r="O374" s="312"/>
      <c r="P374" s="312"/>
      <c r="Q374" s="651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550">
        <f ca="1">Q376+Q377</f>
        <v>9375</v>
      </c>
      <c r="R375" s="132">
        <f ca="1">R376+R377</f>
        <v>9375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5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548">
        <f ca="1">Q380+Q383</f>
        <v>9375</v>
      </c>
      <c r="R377" s="47">
        <f ca="1">R380+R383</f>
        <v>9375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548">
        <f ca="1">Q379+Q380</f>
        <v>9375</v>
      </c>
      <c r="R378" s="47">
        <f ca="1">R379+R380</f>
        <v>9375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5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IFERROR(__xludf.DUMMYFUNCTION("IMPORTRANGE(""https://docs.google.com/spreadsheets/d/1-uDff_7J0KD5mKrp0Vvzr7lt3OU09vwQwhkpOPPYv2Y/edit?usp=sharing"",""งบพรบ!IE84"")"),0)</f>
        <v>0</v>
      </c>
      <c r="M380" s="47">
        <f ca="1">IFERROR(__xludf.DUMMYFUNCTION("IMPORTRANGE(""https://docs.google.com/spreadsheets/d/1-uDff_7J0KD5mKrp0Vvzr7lt3OU09vwQwhkpOPPYv2Y/edit?usp=sharing"",""งบพรบ!IJ84"")"),0)</f>
        <v>0</v>
      </c>
      <c r="N380" s="47">
        <f ca="1">IFERROR(__xludf.DUMMYFUNCTION("IMPORTRANGE(""https://docs.google.com/spreadsheets/d/1-uDff_7J0KD5mKrp0Vvzr7lt3OU09vwQwhkpOPPYv2Y/edit?usp=sharing"",""งบพรบ!IL84"")"),0)</f>
        <v>0</v>
      </c>
      <c r="O380" s="47">
        <f ca="1">IF(L380&gt;0,N380*100/L380,0)</f>
        <v>0</v>
      </c>
      <c r="P380" s="47">
        <f ca="1">IF(M380&gt;0,N380*100/M380,0)</f>
        <v>0</v>
      </c>
      <c r="Q380" s="548">
        <f ca="1">IFERROR(__xludf.DUMMYFUNCTION("IMPORTRANGE(""https://docs.google.com/spreadsheets/d/1ItG2mGa2ceCfYo0BwxsXqNm01IGEUdYcSSLTEv9YCik/edit?usp=sharing"",""เบิกจ่ายกองทุน!BW84"")"),9375)</f>
        <v>9375</v>
      </c>
      <c r="R380" s="47">
        <f ca="1">IFERROR(__xludf.DUMMYFUNCTION("IMPORTRANGE(""https://docs.google.com/spreadsheets/d/1ItG2mGa2ceCfYo0BwxsXqNm01IGEUdYcSSLTEv9YCik/edit?usp=sharing"",""เบิกจ่ายกองทุน!BX84"")"),9375)</f>
        <v>9375</v>
      </c>
      <c r="S380" s="47">
        <f ca="1">IFERROR(__xludf.DUMMYFUNCTION("IMPORTRANGE(""https://docs.google.com/spreadsheets/d/1ItG2mGa2ceCfYo0BwxsXqNm01IGEUdYcSSLTEv9YCik/edit?usp=sharing"",""เบิกจ่ายกองทุน!BY84"")"),0)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548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5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IFERROR(__xludf.DUMMYFUNCTION("IMPORTRANGE(""https://docs.google.com/spreadsheets/d/1-uDff_7J0KD5mKrp0Vvzr7lt3OU09vwQwhkpOPPYv2Y/edit?usp=sharing"",""งบพรบ!IH84"")"),0)</f>
        <v>0</v>
      </c>
      <c r="M383" s="47">
        <f ca="1">IFERROR(__xludf.DUMMYFUNCTION("IMPORTRANGE(""https://docs.google.com/spreadsheets/d/1-uDff_7J0KD5mKrp0Vvzr7lt3OU09vwQwhkpOPPYv2Y/edit?usp=sharing"",""งบพรบ!IK84"")"),0)</f>
        <v>0</v>
      </c>
      <c r="N383" s="47">
        <f ca="1">IFERROR(__xludf.DUMMYFUNCTION("IMPORTRANGE(""https://docs.google.com/spreadsheets/d/1-uDff_7J0KD5mKrp0Vvzr7lt3OU09vwQwhkpOPPYv2Y/edit?usp=sharing"",""งบพรบ!IM84"")"),0)</f>
        <v>0</v>
      </c>
      <c r="O383" s="47">
        <f ca="1">IF(L383&gt;0,N383*100/L383,0)</f>
        <v>0</v>
      </c>
      <c r="P383" s="47">
        <f ca="1">IF(M383&gt;0,N383*100/M383,0)</f>
        <v>0</v>
      </c>
      <c r="Q383" s="548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5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IFERROR(__xludf.DUMMYFUNCTION("IMPORTRANGE(""https://docs.google.com/spreadsheets/d/1w5rwWK1o49a35cNtocGL0gxDwhFSTZUQu90BiH9_zqM/edit?usp=sharing"",""RTK!H84"")"),0)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5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IFERROR(__xludf.DUMMYFUNCTION("IMPORTRANGE(""https://docs.google.com/spreadsheets/d/1w5rwWK1o49a35cNtocGL0gxDwhFSTZUQu90BiH9_zqM/edit?usp=sharing"",""RTK!G84"")"),150)</f>
        <v>150</v>
      </c>
      <c r="J386" s="152">
        <f ca="1">IFERROR(__xludf.DUMMYFUNCTION("IMPORTRANGE(""https://docs.google.com/spreadsheets/d/1w5rwWK1o49a35cNtocGL0gxDwhFSTZUQu90BiH9_zqM/edit?usp=sharing"",""RTK!I84"")"),0)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546"/>
      <c r="R386" s="46"/>
      <c r="S386" s="46"/>
      <c r="T386" s="46"/>
      <c r="U386" s="46"/>
    </row>
    <row r="387" spans="1:21" ht="18.75" x14ac:dyDescent="0.25">
      <c r="A387" s="326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IFERROR(__xludf.DUMMYFUNCTION("IMPORTRANGE(""https://docs.google.com/spreadsheets/d/1w5rwWK1o49a35cNtocGL0gxDwhFSTZUQu90BiH9_zqM/edit?usp=sharing"",""RTK!L84"")"),0)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546"/>
      <c r="R387" s="46"/>
      <c r="S387" s="46"/>
      <c r="T387" s="46"/>
      <c r="U387" s="46"/>
    </row>
    <row r="388" spans="1:21" ht="18.75" x14ac:dyDescent="0.25">
      <c r="A388" s="326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IFERROR(__xludf.DUMMYFUNCTION("IMPORTRANGE(""https://docs.google.com/spreadsheets/d/1w5rwWK1o49a35cNtocGL0gxDwhFSTZUQu90BiH9_zqM/edit?usp=sharing"",""RTK!K84"")"),0)</f>
        <v>0</v>
      </c>
      <c r="J388" s="330">
        <f ca="1">IFERROR(__xludf.DUMMYFUNCTION("IMPORTRANGE(""https://docs.google.com/spreadsheets/d/1w5rwWK1o49a35cNtocGL0gxDwhFSTZUQu90BiH9_zqM/edit?usp=sharing"",""RTK!M84"")"),0)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546"/>
      <c r="R388" s="46"/>
      <c r="S388" s="46"/>
      <c r="T388" s="46"/>
      <c r="U388" s="46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89"/>
      <c r="M389" s="247"/>
      <c r="N389" s="247"/>
      <c r="O389" s="247"/>
      <c r="P389" s="247"/>
      <c r="Q389" s="589"/>
      <c r="R389" s="247"/>
      <c r="S389" s="247"/>
      <c r="T389" s="247"/>
      <c r="U389" s="247"/>
    </row>
    <row r="390" spans="1:21" ht="12.75" hidden="1" x14ac:dyDescent="0.2">
      <c r="A390" s="333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562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651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550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5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548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548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5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548">
        <f ca="1">IFERROR(__xludf.DUMMYFUNCTION("IMPORTRANGE(""https://docs.google.com/spreadsheets/d/1ItG2mGa2ceCfYo0BwxsXqNm01IGEUdYcSSLTEv9YCik/edit?usp=sharing"",""เบิกจ่ายกองทุน!CL84"")"),0)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IFERROR(__xludf.DUMMYFUNCTION("IMPORTRANGE(""https://docs.google.com/spreadsheets/d/1ItG2mGa2ceCfYo0BwxsXqNm01IGEUdYcSSLTEv9YCik/edit?usp=sharing"",""เบิกจ่ายกองทุน!CM84"")"),0)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IFERROR(__xludf.DUMMYFUNCTION("IMPORTRANGE(""https://docs.google.com/spreadsheets/d/1ItG2mGa2ceCfYo0BwxsXqNm01IGEUdYcSSLTEv9YCik/edit?usp=sharing"",""เบิกจ่ายกองทุน!CN84"")"),0)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548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5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548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5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89"/>
      <c r="M402" s="247"/>
      <c r="N402" s="247"/>
      <c r="O402" s="247"/>
      <c r="P402" s="247"/>
      <c r="Q402" s="589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89"/>
      <c r="M403" s="247"/>
      <c r="N403" s="247"/>
      <c r="O403" s="247"/>
      <c r="P403" s="247"/>
      <c r="Q403" s="589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89"/>
      <c r="M404" s="247"/>
      <c r="N404" s="247"/>
      <c r="O404" s="247"/>
      <c r="P404" s="247"/>
      <c r="Q404" s="589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89"/>
      <c r="M405" s="247"/>
      <c r="N405" s="247"/>
      <c r="O405" s="247"/>
      <c r="P405" s="247"/>
      <c r="Q405" s="589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89"/>
      <c r="M406" s="247"/>
      <c r="N406" s="247"/>
      <c r="O406" s="247"/>
      <c r="P406" s="247"/>
      <c r="Q406" s="589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89"/>
      <c r="M407" s="247"/>
      <c r="N407" s="247"/>
      <c r="O407" s="247"/>
      <c r="P407" s="247"/>
      <c r="Q407" s="589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89"/>
      <c r="M408" s="247"/>
      <c r="N408" s="247"/>
      <c r="O408" s="247"/>
      <c r="P408" s="247"/>
      <c r="Q408" s="589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89"/>
      <c r="M409" s="247"/>
      <c r="N409" s="247"/>
      <c r="O409" s="247"/>
      <c r="P409" s="247"/>
      <c r="Q409" s="589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89"/>
      <c r="M410" s="247"/>
      <c r="N410" s="247"/>
      <c r="O410" s="247"/>
      <c r="P410" s="247"/>
      <c r="Q410" s="589"/>
      <c r="R410" s="247"/>
      <c r="S410" s="247"/>
      <c r="T410" s="247"/>
      <c r="U410" s="247"/>
    </row>
    <row r="411" spans="1:21" ht="12.75" hidden="1" x14ac:dyDescent="0.2">
      <c r="A411" s="333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562"/>
      <c r="R411" s="336"/>
      <c r="S411" s="336"/>
      <c r="T411" s="336"/>
      <c r="U411" s="336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651"/>
      <c r="R412" s="312"/>
      <c r="S412" s="312"/>
      <c r="T412" s="312"/>
      <c r="U412" s="312"/>
    </row>
    <row r="413" spans="1:21" ht="19.5" x14ac:dyDescent="0.3">
      <c r="A413" s="128"/>
      <c r="B413" s="159"/>
      <c r="C413" s="340" t="s">
        <v>18</v>
      </c>
      <c r="D413" s="676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20710</v>
      </c>
      <c r="M413" s="132">
        <f ca="1">M414+M415</f>
        <v>20710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550">
        <f ca="1">Q414+Q415</f>
        <v>15150</v>
      </c>
      <c r="R413" s="132">
        <f ca="1">R414+R415</f>
        <v>15150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5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20710</v>
      </c>
      <c r="M415" s="47">
        <f ca="1">M418+M421</f>
        <v>20710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548">
        <f ca="1">Q418+Q421</f>
        <v>15150</v>
      </c>
      <c r="R415" s="47">
        <f ca="1">R418+R421</f>
        <v>15150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20710</v>
      </c>
      <c r="M416" s="47">
        <f ca="1">M417+M418</f>
        <v>20710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548">
        <f ca="1">Q417+Q418</f>
        <v>15150</v>
      </c>
      <c r="R416" s="47">
        <f ca="1">R417+R418</f>
        <v>15150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5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IFERROR(__xludf.DUMMYFUNCTION("IMPORTRANGE(""https://docs.google.com/spreadsheets/d/1-uDff_7J0KD5mKrp0Vvzr7lt3OU09vwQwhkpOPPYv2Y/edit?usp=sharing"",""งบพรบ!IO84"")"),20710)</f>
        <v>20710</v>
      </c>
      <c r="M418" s="47">
        <f ca="1">IFERROR(__xludf.DUMMYFUNCTION("IMPORTRANGE(""https://docs.google.com/spreadsheets/d/1-uDff_7J0KD5mKrp0Vvzr7lt3OU09vwQwhkpOPPYv2Y/edit?usp=sharing"",""งบพรบ!IT84"")"),20710)</f>
        <v>20710</v>
      </c>
      <c r="N418" s="47">
        <f ca="1">IFERROR(__xludf.DUMMYFUNCTION("IMPORTRANGE(""https://docs.google.com/spreadsheets/d/1-uDff_7J0KD5mKrp0Vvzr7lt3OU09vwQwhkpOPPYv2Y/edit?usp=sharing"",""งบพรบ!IV84"")"),0)</f>
        <v>0</v>
      </c>
      <c r="O418" s="47">
        <f ca="1">IF(L418&gt;0,N418*100/L418,0)</f>
        <v>0</v>
      </c>
      <c r="P418" s="47">
        <f ca="1">IF(M418&gt;0,N418*100/M418,0)</f>
        <v>0</v>
      </c>
      <c r="Q418" s="548">
        <f ca="1">IFERROR(__xludf.DUMMYFUNCTION("IMPORTRANGE(""https://docs.google.com/spreadsheets/d/1ItG2mGa2ceCfYo0BwxsXqNm01IGEUdYcSSLTEv9YCik/edit?usp=sharing"",""เบิกจ่ายกองทุน!BZ84"")"),15150)</f>
        <v>15150</v>
      </c>
      <c r="R418" s="47">
        <f ca="1">IFERROR(__xludf.DUMMYFUNCTION("IMPORTRANGE(""https://docs.google.com/spreadsheets/d/1ItG2mGa2ceCfYo0BwxsXqNm01IGEUdYcSSLTEv9YCik/edit?usp=sharing"",""เบิกจ่ายกองทุน!CA84"")"),15150)</f>
        <v>15150</v>
      </c>
      <c r="S418" s="47">
        <f ca="1">IFERROR(__xludf.DUMMYFUNCTION("IMPORTRANGE(""https://docs.google.com/spreadsheets/d/1ItG2mGa2ceCfYo0BwxsXqNm01IGEUdYcSSLTEv9YCik/edit?usp=sharing"",""เบิกจ่ายกองทุน!CB84"")"),0)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548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5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IFERROR(__xludf.DUMMYFUNCTION("IMPORTRANGE(""https://docs.google.com/spreadsheets/d/1-uDff_7J0KD5mKrp0Vvzr7lt3OU09vwQwhkpOPPYv2Y/edit?usp=sharing"",""งบพรบ!IR84"")"),0)</f>
        <v>0</v>
      </c>
      <c r="M421" s="47">
        <f ca="1">IFERROR(__xludf.DUMMYFUNCTION("IMPORTRANGE(""https://docs.google.com/spreadsheets/d/1-uDff_7J0KD5mKrp0Vvzr7lt3OU09vwQwhkpOPPYv2Y/edit?usp=sharing"",""งบพรบ!IU84"")"),0)</f>
        <v>0</v>
      </c>
      <c r="N421" s="47">
        <f ca="1">IFERROR(__xludf.DUMMYFUNCTION("IMPORTRANGE(""https://docs.google.com/spreadsheets/d/1-uDff_7J0KD5mKrp0Vvzr7lt3OU09vwQwhkpOPPYv2Y/edit?usp=sharing"",""งบพรบ!IW84"")"),0)</f>
        <v>0</v>
      </c>
      <c r="O421" s="47">
        <f ca="1">IF(L421&gt;0,N421*100/L421,0)</f>
        <v>0</v>
      </c>
      <c r="P421" s="47">
        <f ca="1">IF(M421&gt;0,N421*100/M421,0)</f>
        <v>0</v>
      </c>
      <c r="Q421" s="548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40" t="s">
        <v>18</v>
      </c>
      <c r="D422" s="674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546"/>
      <c r="R422" s="46"/>
      <c r="S422" s="46"/>
      <c r="T422" s="46"/>
      <c r="U422" s="46"/>
    </row>
    <row r="423" spans="1:21" ht="19.5" hidden="1" x14ac:dyDescent="0.3">
      <c r="A423" s="669"/>
      <c r="B423" s="464" t="s">
        <v>160</v>
      </c>
      <c r="C423" s="463"/>
      <c r="D423" s="463"/>
      <c r="E423" s="463"/>
      <c r="F423" s="463"/>
      <c r="G423" s="474"/>
      <c r="H423" s="671" t="s">
        <v>46</v>
      </c>
      <c r="I423" s="468">
        <f ca="1">I440</f>
        <v>0</v>
      </c>
      <c r="J423" s="673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569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IFERROR(__xludf.DUMMYFUNCTION("IMPORTRANGE(""https://docs.google.com/spreadsheets/d/1eHaY18a8A9IcSdp1K8H6x8fbOy06t2VsZHhMHf-1x7Y/edit?usp=sharing"",""แผน!HJ84"")"),0)</f>
        <v>0</v>
      </c>
      <c r="J424" s="670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5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IFERROR(__xludf.DUMMYFUNCTION("IMPORTRANGE(""https://docs.google.com/spreadsheets/d/1eHaY18a8A9IcSdp1K8H6x8fbOy06t2VsZHhMHf-1x7Y/edit?usp=sharing"",""แผน!HK84"")"),0)</f>
        <v>0</v>
      </c>
      <c r="J425" s="670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5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5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5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5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5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5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5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IFERROR(__xludf.DUMMYFUNCTION("IMPORTRANGE(""https://docs.google.com/spreadsheets/d/1eHaY18a8A9IcSdp1K8H6x8fbOy06t2VsZHhMHf-1x7Y/edit?usp=sharing"",""แผน!HJ84"")"),0)</f>
        <v>0</v>
      </c>
      <c r="J432" s="670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5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IFERROR(__xludf.DUMMYFUNCTION("IMPORTRANGE(""https://docs.google.com/spreadsheets/d/1eHaY18a8A9IcSdp1K8H6x8fbOy06t2VsZHhMHf-1x7Y/edit?usp=sharing"",""แผน!HK84"")"),0)</f>
        <v>0</v>
      </c>
      <c r="J433" s="670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5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5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5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5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5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5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5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IFERROR(__xludf.DUMMYFUNCTION("IMPORTRANGE(""https://docs.google.com/spreadsheets/d/1eHaY18a8A9IcSdp1K8H6x8fbOy06t2VsZHhMHf-1x7Y/edit?usp=sharing"",""แผน!HJ84"")"),0)</f>
        <v>0</v>
      </c>
      <c r="J440" s="670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5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IFERROR(__xludf.DUMMYFUNCTION("IMPORTRANGE(""https://docs.google.com/spreadsheets/d/1eHaY18a8A9IcSdp1K8H6x8fbOy06t2VsZHhMHf-1x7Y/edit?usp=sharing"",""แผน!HK84"")"),0)</f>
        <v>0</v>
      </c>
      <c r="J441" s="670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5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5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5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5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5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70">
        <f>J448+J450</f>
        <v>0</v>
      </c>
      <c r="K446" s="46"/>
      <c r="L446" s="546"/>
      <c r="M446" s="46"/>
      <c r="N446" s="46"/>
      <c r="O446" s="46"/>
      <c r="P446" s="46"/>
      <c r="Q446" s="5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70">
        <f>J449+J451</f>
        <v>0</v>
      </c>
      <c r="K447" s="46"/>
      <c r="L447" s="546"/>
      <c r="M447" s="46"/>
      <c r="N447" s="46"/>
      <c r="O447" s="46"/>
      <c r="P447" s="46"/>
      <c r="Q447" s="5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5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5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5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5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5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5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2">
        <v>0</v>
      </c>
      <c r="K454" s="46"/>
      <c r="L454" s="546"/>
      <c r="M454" s="46"/>
      <c r="N454" s="46"/>
      <c r="O454" s="46"/>
      <c r="P454" s="46"/>
      <c r="Q454" s="5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546"/>
      <c r="R455" s="46"/>
      <c r="S455" s="46"/>
      <c r="T455" s="46"/>
      <c r="U455" s="46"/>
    </row>
    <row r="456" spans="1:21" ht="19.5" x14ac:dyDescent="0.3">
      <c r="A456" s="669"/>
      <c r="B456" s="464" t="s">
        <v>177</v>
      </c>
      <c r="C456" s="463"/>
      <c r="D456" s="463"/>
      <c r="E456" s="463"/>
      <c r="F456" s="463"/>
      <c r="G456" s="474"/>
      <c r="H456" s="671" t="s">
        <v>46</v>
      </c>
      <c r="I456" s="468">
        <f ca="1">I457</f>
        <v>21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569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IFERROR(__xludf.DUMMYFUNCTION("IMPORTRANGE(""https://docs.google.com/spreadsheets/d/1eHaY18a8A9IcSdp1K8H6x8fbOy06t2VsZHhMHf-1x7Y/edit?usp=sharing"",""แผน!HL84"")"),21)</f>
        <v>21</v>
      </c>
      <c r="J457" s="670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5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IFERROR(__xludf.DUMMYFUNCTION("IMPORTRANGE(""https://docs.google.com/spreadsheets/d/1eHaY18a8A9IcSdp1K8H6x8fbOy06t2VsZHhMHf-1x7Y/edit?usp=sharing"",""แผน!HM84"")"),0)</f>
        <v>0</v>
      </c>
      <c r="J458" s="670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5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5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5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5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5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5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5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5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5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5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5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5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5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5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5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5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546"/>
      <c r="R474" s="46"/>
      <c r="S474" s="46"/>
      <c r="T474" s="46"/>
      <c r="U474" s="46"/>
    </row>
    <row r="475" spans="1:21" ht="19.5" hidden="1" x14ac:dyDescent="0.3">
      <c r="A475" s="669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569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5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5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5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5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5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5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5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5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5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5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5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5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5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5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5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545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651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650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550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5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548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548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5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IFERROR(__xludf.DUMMYFUNCTION("IMPORTRANGE(""https://docs.google.com/spreadsheets/d/1-uDff_7J0KD5mKrp0Vvzr7lt3OU09vwQwhkpOPPYv2Y/edit?usp=sharing"",""งบพรบ!HU84"")"),0)</f>
        <v>0</v>
      </c>
      <c r="M498" s="47">
        <f ca="1">IFERROR(__xludf.DUMMYFUNCTION("IMPORTRANGE(""https://docs.google.com/spreadsheets/d/1-uDff_7J0KD5mKrp0Vvzr7lt3OU09vwQwhkpOPPYv2Y/edit?usp=sharing"",""งบพรบ!HZ84"")"),0)</f>
        <v>0</v>
      </c>
      <c r="N498" s="47">
        <f ca="1">IFERROR(__xludf.DUMMYFUNCTION("IMPORTRANGE(""https://docs.google.com/spreadsheets/d/1-uDff_7J0KD5mKrp0Vvzr7lt3OU09vwQwhkpOPPYv2Y/edit?usp=sharing"",""งบพรบ!IB84"")"),0)</f>
        <v>0</v>
      </c>
      <c r="O498" s="47">
        <f ca="1">IF(L498&gt;0,N498*100/L498,0)</f>
        <v>0</v>
      </c>
      <c r="P498" s="47">
        <f ca="1">IF(M498&gt;0,N498*100/M498,0)</f>
        <v>0</v>
      </c>
      <c r="Q498" s="548">
        <f ca="1">IFERROR(__xludf.DUMMYFUNCTION("IMPORTRANGE(""https://docs.google.com/spreadsheets/d/1ItG2mGa2ceCfYo0BwxsXqNm01IGEUdYcSSLTEv9YCik/edit?usp=sharing"",""เบิกจ่ายกองทุน!AD84"")"),0)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IFERROR(__xludf.DUMMYFUNCTION("IMPORTRANGE(""https://docs.google.com/spreadsheets/d/1ItG2mGa2ceCfYo0BwxsXqNm01IGEUdYcSSLTEv9YCik/edit?usp=sharing"",""เบิกจ่ายกองทุน!AE84"")"),0)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IFERROR(__xludf.DUMMYFUNCTION("IMPORTRANGE(""https://docs.google.com/spreadsheets/d/1ItG2mGa2ceCfYo0BwxsXqNm01IGEUdYcSSLTEv9YCik/edit?usp=sharing"",""เบิกจ่ายกองทุน!AF84"")"),0)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548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5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IFERROR(__xludf.DUMMYFUNCTION("IMPORTRANGE(""https://docs.google.com/spreadsheets/d/1-uDff_7J0KD5mKrp0Vvzr7lt3OU09vwQwhkpOPPYv2Y/edit?usp=sharing"",""งบพรบ!HX84"")"),0)</f>
        <v>0</v>
      </c>
      <c r="M501" s="47">
        <f ca="1">IFERROR(__xludf.DUMMYFUNCTION("IMPORTRANGE(""https://docs.google.com/spreadsheets/d/1-uDff_7J0KD5mKrp0Vvzr7lt3OU09vwQwhkpOPPYv2Y/edit?usp=sharing"",""งบพรบ!IA84"")"),0)</f>
        <v>0</v>
      </c>
      <c r="N501" s="47">
        <f ca="1">IFERROR(__xludf.DUMMYFUNCTION("IMPORTRANGE(""https://docs.google.com/spreadsheets/d/1-uDff_7J0KD5mKrp0Vvzr7lt3OU09vwQwhkpOPPYv2Y/edit?usp=sharing"",""งบพรบ!IC84"")"),0)</f>
        <v>0</v>
      </c>
      <c r="O501" s="47">
        <f ca="1">IF(L501&gt;0,N501*100/L501,0)</f>
        <v>0</v>
      </c>
      <c r="P501" s="47">
        <f ca="1">IF(M501&gt;0,N501*100/M501,0)</f>
        <v>0</v>
      </c>
      <c r="Q501" s="548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558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IFERROR(__xludf.DUMMYFUNCTION("IMPORTRANGE(""https://docs.google.com/spreadsheets/d/1eHaY18a8A9IcSdp1K8H6x8fbOy06t2VsZHhMHf-1x7Y/edit?usp=sharing"",""แผน!GX84"")"),0)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5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IFERROR(__xludf.DUMMYFUNCTION("IMPORTRANGE(""https://docs.google.com/spreadsheets/d/1eHaY18a8A9IcSdp1K8H6x8fbOy06t2VsZHhMHf-1x7Y/edit?usp=sharing"",""แผน!GY84"")"),0)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5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IFERROR(__xludf.DUMMYFUNCTION("IMPORTRANGE(""https://docs.google.com/spreadsheets/d/1eHaY18a8A9IcSdp1K8H6x8fbOy06t2VsZHhMHf-1x7Y/edit?usp=sharing"",""แผน!GZ84"")"),0)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5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IFERROR(__xludf.DUMMYFUNCTION("IMPORTRANGE(""https://docs.google.com/spreadsheets/d/1eHaY18a8A9IcSdp1K8H6x8fbOy06t2VsZHhMHf-1x7Y/edit?usp=sharing"",""แผน!HA84"")"),0)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5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IFERROR(__xludf.DUMMYFUNCTION("IMPORTRANGE(""https://docs.google.com/spreadsheets/d/1eHaY18a8A9IcSdp1K8H6x8fbOy06t2VsZHhMHf-1x7Y/edit?usp=sharing"",""แผน!HB84"")"),0)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5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5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IFERROR(__xludf.DUMMYFUNCTION("IMPORTRANGE(""https://docs.google.com/spreadsheets/d/1eHaY18a8A9IcSdp1K8H6x8fbOy06t2VsZHhMHf-1x7Y/edit?usp=sharing"",""แผน!HC84"")"),0)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545"/>
      <c r="R509" s="4"/>
      <c r="S509" s="4"/>
      <c r="T509" s="4"/>
      <c r="U509" s="4"/>
    </row>
    <row r="510" spans="1:21" ht="19.5" hidden="1" x14ac:dyDescent="0.3">
      <c r="A510" s="829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643"/>
      <c r="R510" s="362"/>
      <c r="S510" s="362"/>
      <c r="T510" s="362"/>
      <c r="U510" s="362"/>
    </row>
    <row r="511" spans="1:21" ht="19.5" hidden="1" x14ac:dyDescent="0.3">
      <c r="A511" s="826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636"/>
      <c r="R511" s="369"/>
      <c r="S511" s="369"/>
      <c r="T511" s="369"/>
      <c r="U511" s="369"/>
    </row>
    <row r="512" spans="1:21" ht="19.5" hidden="1" x14ac:dyDescent="0.3">
      <c r="A512" s="370"/>
      <c r="B512" s="825" t="s">
        <v>207</v>
      </c>
      <c r="C512" s="372"/>
      <c r="D512" s="373"/>
      <c r="E512" s="373"/>
      <c r="F512" s="373"/>
      <c r="G512" s="374"/>
      <c r="H512" s="824" t="s">
        <v>61</v>
      </c>
      <c r="I512" s="823">
        <f>I524</f>
        <v>0</v>
      </c>
      <c r="J512" s="823">
        <f>J524</f>
        <v>0</v>
      </c>
      <c r="K512" s="822">
        <f>IF(I512&gt;0,J512*100/I512,0)</f>
        <v>0</v>
      </c>
      <c r="L512" s="591"/>
      <c r="M512" s="378"/>
      <c r="N512" s="378"/>
      <c r="O512" s="378"/>
      <c r="P512" s="378"/>
      <c r="Q512" s="591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21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550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5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548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0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548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5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IFERROR(__xludf.DUMMYFUNCTION("IMPORTRANGE(""https://docs.google.com/spreadsheets/d/1-uDff_7J0KD5mKrp0Vvzr7lt3OU09vwQwhkpOPPYv2Y/edit?usp=sharing"",""งบพรบ!FM84"")"),0)</f>
        <v>0</v>
      </c>
      <c r="M518" s="47">
        <f ca="1">IFERROR(__xludf.DUMMYFUNCTION("IMPORTRANGE(""https://docs.google.com/spreadsheets/d/1-uDff_7J0KD5mKrp0Vvzr7lt3OU09vwQwhkpOPPYv2Y/edit?usp=sharing"",""งบพรบ!FR84"")"),0)</f>
        <v>0</v>
      </c>
      <c r="N518" s="47">
        <f ca="1">IFERROR(__xludf.DUMMYFUNCTION("IMPORTRANGE(""https://docs.google.com/spreadsheets/d/1-uDff_7J0KD5mKrp0Vvzr7lt3OU09vwQwhkpOPPYv2Y/edit?usp=sharing"",""งบพรบ!FT84"")"),0)</f>
        <v>0</v>
      </c>
      <c r="O518" s="47">
        <f ca="1">IF(L518&gt;0,N518*100/L518,0)</f>
        <v>0</v>
      </c>
      <c r="P518" s="47">
        <f ca="1">IF(M518&gt;0,N518*100/M518,0)</f>
        <v>0</v>
      </c>
      <c r="Q518" s="548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0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548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5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IFERROR(__xludf.DUMMYFUNCTION("IMPORTRANGE(""https://docs.google.com/spreadsheets/d/1-uDff_7J0KD5mKrp0Vvzr7lt3OU09vwQwhkpOPPYv2Y/edit?usp=sharing"",""งบพรบ!FP84"")"),0)</f>
        <v>0</v>
      </c>
      <c r="M521" s="47">
        <f ca="1">IFERROR(__xludf.DUMMYFUNCTION("IMPORTRANGE(""https://docs.google.com/spreadsheets/d/1-uDff_7J0KD5mKrp0Vvzr7lt3OU09vwQwhkpOPPYv2Y/edit?usp=sharing"",""งบพรบ!FS84"")"),0)</f>
        <v>0</v>
      </c>
      <c r="N521" s="47">
        <f ca="1">IFERROR(__xludf.DUMMYFUNCTION("IMPORTRANGE(""https://docs.google.com/spreadsheets/d/1-uDff_7J0KD5mKrp0Vvzr7lt3OU09vwQwhkpOPPYv2Y/edit?usp=sharing"",""งบพรบ!FU84"")"),0)</f>
        <v>0</v>
      </c>
      <c r="O521" s="47">
        <f ca="1">IF(L521&gt;0,N521*100/L521,0)</f>
        <v>0</v>
      </c>
      <c r="P521" s="47">
        <f ca="1">IF(M521&gt;0,N521*100/M521,0)</f>
        <v>0</v>
      </c>
      <c r="Q521" s="548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1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5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5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19" t="s">
        <v>209</v>
      </c>
      <c r="E524" s="264"/>
      <c r="F524" s="1"/>
      <c r="G524" s="53"/>
      <c r="H524" s="818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546"/>
      <c r="R524" s="46"/>
      <c r="S524" s="46"/>
      <c r="T524" s="46"/>
      <c r="U524" s="46"/>
    </row>
    <row r="525" spans="1:21" ht="12.75" hidden="1" x14ac:dyDescent="0.2">
      <c r="A525" s="614"/>
      <c r="B525" s="613"/>
      <c r="C525" s="613"/>
      <c r="D525" s="612"/>
      <c r="E525" s="612"/>
      <c r="F525" s="612"/>
      <c r="G525" s="611"/>
      <c r="H525" s="610"/>
      <c r="I525" s="609"/>
      <c r="J525" s="609"/>
      <c r="K525" s="608"/>
      <c r="L525" s="589"/>
      <c r="M525" s="247"/>
      <c r="N525" s="247"/>
      <c r="O525" s="247"/>
      <c r="P525" s="247"/>
      <c r="Q525" s="589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89"/>
      <c r="M526" s="247"/>
      <c r="N526" s="247"/>
      <c r="O526" s="247"/>
      <c r="P526" s="247"/>
      <c r="Q526" s="589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89"/>
      <c r="M527" s="247"/>
      <c r="N527" s="247"/>
      <c r="O527" s="247"/>
      <c r="P527" s="247"/>
      <c r="Q527" s="589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89"/>
      <c r="M528" s="247"/>
      <c r="N528" s="247"/>
      <c r="O528" s="247"/>
      <c r="P528" s="247"/>
      <c r="Q528" s="589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89"/>
      <c r="M529" s="247"/>
      <c r="N529" s="247"/>
      <c r="O529" s="247"/>
      <c r="P529" s="247"/>
      <c r="Q529" s="589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89"/>
      <c r="M530" s="247"/>
      <c r="N530" s="247"/>
      <c r="O530" s="247"/>
      <c r="P530" s="247"/>
      <c r="Q530" s="589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89"/>
      <c r="M531" s="247"/>
      <c r="N531" s="247"/>
      <c r="O531" s="247"/>
      <c r="P531" s="247"/>
      <c r="Q531" s="589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562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2">
        <f>I545</f>
        <v>0</v>
      </c>
      <c r="J533" s="592">
        <f>J545</f>
        <v>0</v>
      </c>
      <c r="K533" s="377">
        <f>IF(I533&gt;0,J533*100/I533,0)</f>
        <v>0</v>
      </c>
      <c r="L533" s="591"/>
      <c r="M533" s="378"/>
      <c r="N533" s="378"/>
      <c r="O533" s="378"/>
      <c r="P533" s="378"/>
      <c r="Q533" s="591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550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5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548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548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5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IFERROR(__xludf.DUMMYFUNCTION("IMPORTRANGE(""https://docs.google.com/spreadsheets/d/1-uDff_7J0KD5mKrp0Vvzr7lt3OU09vwQwhkpOPPYv2Y/edit?usp=sharing"",""งบพรบ!FW84"")"),0)</f>
        <v>0</v>
      </c>
      <c r="M539" s="47">
        <f ca="1">IFERROR(__xludf.DUMMYFUNCTION("IMPORTRANGE(""https://docs.google.com/spreadsheets/d/1-uDff_7J0KD5mKrp0Vvzr7lt3OU09vwQwhkpOPPYv2Y/edit?usp=sharing"",""งบพรบ!GB84"")"),0)</f>
        <v>0</v>
      </c>
      <c r="N539" s="47">
        <f ca="1">IFERROR(__xludf.DUMMYFUNCTION("IMPORTRANGE(""https://docs.google.com/spreadsheets/d/1-uDff_7J0KD5mKrp0Vvzr7lt3OU09vwQwhkpOPPYv2Y/edit?usp=sharing"",""งบพรบ!GD84"")"),0)</f>
        <v>0</v>
      </c>
      <c r="O539" s="47">
        <f ca="1">IF(L539&gt;0,N539*100/L539,0)</f>
        <v>0</v>
      </c>
      <c r="P539" s="47">
        <f ca="1">IF(M539&gt;0,N539*100/M539,0)</f>
        <v>0</v>
      </c>
      <c r="Q539" s="548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548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5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IFERROR(__xludf.DUMMYFUNCTION("IMPORTRANGE(""https://docs.google.com/spreadsheets/d/1-uDff_7J0KD5mKrp0Vvzr7lt3OU09vwQwhkpOPPYv2Y/edit?usp=sharing"",""งบพรบ!FZ84"")"),0)</f>
        <v>0</v>
      </c>
      <c r="M542" s="47">
        <f ca="1">IFERROR(__xludf.DUMMYFUNCTION("IMPORTRANGE(""https://docs.google.com/spreadsheets/d/1-uDff_7J0KD5mKrp0Vvzr7lt3OU09vwQwhkpOPPYv2Y/edit?usp=sharing"",""งบพรบ!GC84"")"),0)</f>
        <v>0</v>
      </c>
      <c r="N542" s="47">
        <f ca="1">IFERROR(__xludf.DUMMYFUNCTION("IMPORTRANGE(""https://docs.google.com/spreadsheets/d/1-uDff_7J0KD5mKrp0Vvzr7lt3OU09vwQwhkpOPPYv2Y/edit?usp=sharing"",""งบพรบ!GE84"")"),0)</f>
        <v>0</v>
      </c>
      <c r="O542" s="47">
        <f ca="1">IF(L542&gt;0,N542*100/L542,0)</f>
        <v>0</v>
      </c>
      <c r="P542" s="47">
        <f ca="1">IF(M542&gt;0,N542*100/M542,0)</f>
        <v>0</v>
      </c>
      <c r="Q542" s="548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5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89"/>
      <c r="M544" s="247"/>
      <c r="N544" s="247"/>
      <c r="O544" s="247"/>
      <c r="P544" s="247"/>
      <c r="Q544" s="589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89"/>
      <c r="M545" s="247"/>
      <c r="N545" s="247"/>
      <c r="O545" s="247"/>
      <c r="P545" s="247"/>
      <c r="Q545" s="589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89"/>
      <c r="M546" s="247"/>
      <c r="N546" s="247"/>
      <c r="O546" s="247"/>
      <c r="P546" s="247"/>
      <c r="Q546" s="589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89"/>
      <c r="M547" s="247"/>
      <c r="N547" s="247"/>
      <c r="O547" s="247"/>
      <c r="P547" s="247"/>
      <c r="Q547" s="589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89"/>
      <c r="M548" s="247"/>
      <c r="N548" s="247"/>
      <c r="O548" s="247"/>
      <c r="P548" s="247"/>
      <c r="Q548" s="589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89"/>
      <c r="M549" s="247"/>
      <c r="N549" s="247"/>
      <c r="O549" s="247"/>
      <c r="P549" s="247"/>
      <c r="Q549" s="589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89"/>
      <c r="M550" s="247"/>
      <c r="N550" s="247"/>
      <c r="O550" s="247"/>
      <c r="P550" s="247"/>
      <c r="Q550" s="589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89"/>
      <c r="M551" s="247"/>
      <c r="N551" s="247"/>
      <c r="O551" s="247"/>
      <c r="P551" s="247"/>
      <c r="Q551" s="589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89"/>
      <c r="M552" s="247"/>
      <c r="N552" s="247"/>
      <c r="O552" s="247"/>
      <c r="P552" s="247"/>
      <c r="Q552" s="589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562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2">
        <f>I566</f>
        <v>0</v>
      </c>
      <c r="J554" s="592">
        <f>J566</f>
        <v>0</v>
      </c>
      <c r="K554" s="377">
        <f>IF(I554&gt;0,J554*100/I554,0)</f>
        <v>0</v>
      </c>
      <c r="L554" s="591"/>
      <c r="M554" s="378"/>
      <c r="N554" s="378"/>
      <c r="O554" s="378"/>
      <c r="P554" s="378"/>
      <c r="Q554" s="591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550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5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548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548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5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IFERROR(__xludf.DUMMYFUNCTION("IMPORTRANGE(""https://docs.google.com/spreadsheets/d/1-uDff_7J0KD5mKrp0Vvzr7lt3OU09vwQwhkpOPPYv2Y/edit?usp=sharing"",""งบพรบ!GG84"")"),0)</f>
        <v>0</v>
      </c>
      <c r="M560" s="47">
        <f ca="1">IFERROR(__xludf.DUMMYFUNCTION("IMPORTRANGE(""https://docs.google.com/spreadsheets/d/1-uDff_7J0KD5mKrp0Vvzr7lt3OU09vwQwhkpOPPYv2Y/edit?usp=sharing"",""งบพรบ!GL84"")"),0)</f>
        <v>0</v>
      </c>
      <c r="N560" s="47">
        <f ca="1">IFERROR(__xludf.DUMMYFUNCTION("IMPORTRANGE(""https://docs.google.com/spreadsheets/d/1-uDff_7J0KD5mKrp0Vvzr7lt3OU09vwQwhkpOPPYv2Y/edit?usp=sharing"",""งบพรบ!GN84"")"),0)</f>
        <v>0</v>
      </c>
      <c r="O560" s="47">
        <f ca="1">IF(L560&gt;0,N560*100/L560,0)</f>
        <v>0</v>
      </c>
      <c r="P560" s="47">
        <f ca="1">IF(M560&gt;0,N560*100/M560,0)</f>
        <v>0</v>
      </c>
      <c r="Q560" s="548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548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5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IFERROR(__xludf.DUMMYFUNCTION("IMPORTRANGE(""https://docs.google.com/spreadsheets/d/1-uDff_7J0KD5mKrp0Vvzr7lt3OU09vwQwhkpOPPYv2Y/edit?usp=sharing"",""งบพรบ!GJ84"")"),0)</f>
        <v>0</v>
      </c>
      <c r="M563" s="47">
        <f ca="1">IFERROR(__xludf.DUMMYFUNCTION("IMPORTRANGE(""https://docs.google.com/spreadsheets/d/1-uDff_7J0KD5mKrp0Vvzr7lt3OU09vwQwhkpOPPYv2Y/edit?usp=sharing"",""งบพรบ!GM84"")"),0)</f>
        <v>0</v>
      </c>
      <c r="N563" s="47">
        <f ca="1">IFERROR(__xludf.DUMMYFUNCTION("IMPORTRANGE(""https://docs.google.com/spreadsheets/d/1-uDff_7J0KD5mKrp0Vvzr7lt3OU09vwQwhkpOPPYv2Y/edit?usp=sharing"",""งบพรบ!GO84"")"),0)</f>
        <v>0</v>
      </c>
      <c r="O563" s="47">
        <f ca="1">IF(L563&gt;0,N563*100/L563,0)</f>
        <v>0</v>
      </c>
      <c r="P563" s="47">
        <f ca="1">IF(M563&gt;0,N563*100/M563,0)</f>
        <v>0</v>
      </c>
      <c r="Q563" s="548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5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89"/>
      <c r="M565" s="247"/>
      <c r="N565" s="247"/>
      <c r="O565" s="247"/>
      <c r="P565" s="247"/>
      <c r="Q565" s="589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89"/>
      <c r="M566" s="247"/>
      <c r="N566" s="247"/>
      <c r="O566" s="247"/>
      <c r="P566" s="247"/>
      <c r="Q566" s="589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89"/>
      <c r="M567" s="247"/>
      <c r="N567" s="247"/>
      <c r="O567" s="247"/>
      <c r="P567" s="247"/>
      <c r="Q567" s="589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89"/>
      <c r="M568" s="247"/>
      <c r="N568" s="247"/>
      <c r="O568" s="247"/>
      <c r="P568" s="247"/>
      <c r="Q568" s="589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89"/>
      <c r="M569" s="247"/>
      <c r="N569" s="247"/>
      <c r="O569" s="247"/>
      <c r="P569" s="247"/>
      <c r="Q569" s="589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89"/>
      <c r="M570" s="247"/>
      <c r="N570" s="247"/>
      <c r="O570" s="247"/>
      <c r="P570" s="247"/>
      <c r="Q570" s="589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89"/>
      <c r="M571" s="247"/>
      <c r="N571" s="247"/>
      <c r="O571" s="247"/>
      <c r="P571" s="247"/>
      <c r="Q571" s="589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89"/>
      <c r="M572" s="247"/>
      <c r="N572" s="247"/>
      <c r="O572" s="247"/>
      <c r="P572" s="247"/>
      <c r="Q572" s="589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89"/>
      <c r="M573" s="247"/>
      <c r="N573" s="247"/>
      <c r="O573" s="247"/>
      <c r="P573" s="247"/>
      <c r="Q573" s="589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562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2">
        <f>I587</f>
        <v>0</v>
      </c>
      <c r="J575" s="592">
        <f>J587</f>
        <v>0</v>
      </c>
      <c r="K575" s="377">
        <f>IF(I575&gt;0,J575*100/I575,0)</f>
        <v>0</v>
      </c>
      <c r="L575" s="591"/>
      <c r="M575" s="378"/>
      <c r="N575" s="378"/>
      <c r="O575" s="378"/>
      <c r="P575" s="378"/>
      <c r="Q575" s="591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550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5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548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548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5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IFERROR(__xludf.DUMMYFUNCTION("IMPORTRANGE(""https://docs.google.com/spreadsheets/d/1-uDff_7J0KD5mKrp0Vvzr7lt3OU09vwQwhkpOPPYv2Y/edit?usp=sharing"",""งบพรบ!GQ84"")"),0)</f>
        <v>0</v>
      </c>
      <c r="M581" s="47">
        <f ca="1">IFERROR(__xludf.DUMMYFUNCTION("IMPORTRANGE(""https://docs.google.com/spreadsheets/d/1-uDff_7J0KD5mKrp0Vvzr7lt3OU09vwQwhkpOPPYv2Y/edit?usp=sharing"",""งบพรบ!GV84"")"),0)</f>
        <v>0</v>
      </c>
      <c r="N581" s="47">
        <f ca="1">IFERROR(__xludf.DUMMYFUNCTION("IMPORTRANGE(""https://docs.google.com/spreadsheets/d/1-uDff_7J0KD5mKrp0Vvzr7lt3OU09vwQwhkpOPPYv2Y/edit?usp=sharing"",""งบพรบ!GX84"")"),0)</f>
        <v>0</v>
      </c>
      <c r="O581" s="47">
        <f ca="1">IF(L581&gt;0,N581*100/L581,0)</f>
        <v>0</v>
      </c>
      <c r="P581" s="47">
        <f ca="1">IF(M581&gt;0,N581*100/M581,0)</f>
        <v>0</v>
      </c>
      <c r="Q581" s="548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548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5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IFERROR(__xludf.DUMMYFUNCTION("IMPORTRANGE(""https://docs.google.com/spreadsheets/d/1-uDff_7J0KD5mKrp0Vvzr7lt3OU09vwQwhkpOPPYv2Y/edit?usp=sharing"",""งบพรบ!GT84"")"),0)</f>
        <v>0</v>
      </c>
      <c r="M584" s="47">
        <f ca="1">IFERROR(__xludf.DUMMYFUNCTION("IMPORTRANGE(""https://docs.google.com/spreadsheets/d/1-uDff_7J0KD5mKrp0Vvzr7lt3OU09vwQwhkpOPPYv2Y/edit?usp=sharing"",""งบพรบ!GW84"")"),0)</f>
        <v>0</v>
      </c>
      <c r="N584" s="47">
        <f ca="1">IFERROR(__xludf.DUMMYFUNCTION("IMPORTRANGE(""https://docs.google.com/spreadsheets/d/1-uDff_7J0KD5mKrp0Vvzr7lt3OU09vwQwhkpOPPYv2Y/edit?usp=sharing"",""งบพรบ!GY84"")"),0)</f>
        <v>0</v>
      </c>
      <c r="O584" s="47">
        <f ca="1">IF(L584&gt;0,N584*100/L584,0)</f>
        <v>0</v>
      </c>
      <c r="P584" s="47">
        <f ca="1">IF(M584&gt;0,N584*100/M584,0)</f>
        <v>0</v>
      </c>
      <c r="Q584" s="548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5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89"/>
      <c r="M586" s="247"/>
      <c r="N586" s="247"/>
      <c r="O586" s="247"/>
      <c r="P586" s="247"/>
      <c r="Q586" s="589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89"/>
      <c r="M587" s="247"/>
      <c r="N587" s="247"/>
      <c r="O587" s="247"/>
      <c r="P587" s="247"/>
      <c r="Q587" s="589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89"/>
      <c r="M588" s="247"/>
      <c r="N588" s="247"/>
      <c r="O588" s="247"/>
      <c r="P588" s="247"/>
      <c r="Q588" s="589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89"/>
      <c r="M589" s="247"/>
      <c r="N589" s="247"/>
      <c r="O589" s="247"/>
      <c r="P589" s="247"/>
      <c r="Q589" s="589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89"/>
      <c r="M590" s="247"/>
      <c r="N590" s="247"/>
      <c r="O590" s="247"/>
      <c r="P590" s="247"/>
      <c r="Q590" s="589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89"/>
      <c r="M591" s="247"/>
      <c r="N591" s="247"/>
      <c r="O591" s="247"/>
      <c r="P591" s="247"/>
      <c r="Q591" s="589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89"/>
      <c r="M592" s="247"/>
      <c r="N592" s="247"/>
      <c r="O592" s="247"/>
      <c r="P592" s="247"/>
      <c r="Q592" s="589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89"/>
      <c r="M593" s="247"/>
      <c r="N593" s="247"/>
      <c r="O593" s="247"/>
      <c r="P593" s="247"/>
      <c r="Q593" s="589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89"/>
      <c r="M594" s="247"/>
      <c r="N594" s="247"/>
      <c r="O594" s="247"/>
      <c r="P594" s="247"/>
      <c r="Q594" s="589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562"/>
      <c r="R595" s="336"/>
      <c r="S595" s="336"/>
      <c r="T595" s="336"/>
      <c r="U595" s="336"/>
    </row>
    <row r="596" spans="1:21" ht="19.5" hidden="1" x14ac:dyDescent="0.3">
      <c r="A596" s="588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782"/>
      <c r="R596" s="123"/>
      <c r="S596" s="123"/>
      <c r="T596" s="123"/>
      <c r="U596" s="123"/>
    </row>
    <row r="597" spans="1:21" ht="19.5" hidden="1" x14ac:dyDescent="0.3">
      <c r="A597" s="124"/>
      <c r="B597" s="587" t="s">
        <v>217</v>
      </c>
      <c r="C597" s="183"/>
      <c r="D597" s="125"/>
      <c r="E597" s="28"/>
      <c r="F597" s="28"/>
      <c r="G597" s="28"/>
      <c r="H597" s="586" t="s">
        <v>99</v>
      </c>
      <c r="I597" s="193"/>
      <c r="J597" s="33"/>
      <c r="K597" s="34"/>
      <c r="L597" s="582"/>
      <c r="M597" s="34"/>
      <c r="N597" s="34"/>
      <c r="O597" s="34"/>
      <c r="P597" s="34"/>
      <c r="Q597" s="582"/>
      <c r="R597" s="34"/>
      <c r="S597" s="34"/>
      <c r="T597" s="34"/>
      <c r="U597" s="34"/>
    </row>
    <row r="598" spans="1:21" ht="19.5" hidden="1" x14ac:dyDescent="0.3">
      <c r="A598" s="585"/>
      <c r="B598" s="584" t="s">
        <v>218</v>
      </c>
      <c r="C598" s="125"/>
      <c r="D598" s="28"/>
      <c r="E598" s="28"/>
      <c r="F598" s="28"/>
      <c r="G598" s="31"/>
      <c r="H598" s="583" t="s">
        <v>35</v>
      </c>
      <c r="I598" s="33"/>
      <c r="J598" s="33"/>
      <c r="K598" s="34"/>
      <c r="L598" s="582"/>
      <c r="M598" s="34"/>
      <c r="N598" s="34"/>
      <c r="O598" s="34"/>
      <c r="P598" s="34"/>
      <c r="Q598" s="582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550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5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548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548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5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IFERROR(__xludf.DUMMYFUNCTION("IMPORTRANGE(""https://docs.google.com/spreadsheets/d/1-uDff_7J0KD5mKrp0Vvzr7lt3OU09vwQwhkpOPPYv2Y/edit?usp=sharing"",""งบพรบ!HK84"")"),0)</f>
        <v>0</v>
      </c>
      <c r="M604" s="47">
        <f ca="1">IFERROR(__xludf.DUMMYFUNCTION("IMPORTRANGE(""https://docs.google.com/spreadsheets/d/1-uDff_7J0KD5mKrp0Vvzr7lt3OU09vwQwhkpOPPYv2Y/edit?usp=sharing"",""งบพรบ!HP84"")"),0)</f>
        <v>0</v>
      </c>
      <c r="N604" s="47">
        <f ca="1">IFERROR(__xludf.DUMMYFUNCTION("IMPORTRANGE(""https://docs.google.com/spreadsheets/d/1-uDff_7J0KD5mKrp0Vvzr7lt3OU09vwQwhkpOPPYv2Y/edit?usp=sharing"",""งบพรบ!HR84"")"),0)</f>
        <v>0</v>
      </c>
      <c r="O604" s="47">
        <f ca="1">IF(L604&gt;0,N604*100/L604,0)</f>
        <v>0</v>
      </c>
      <c r="P604" s="47">
        <f ca="1">IF(M604&gt;0,N604*100/M604,0)</f>
        <v>0</v>
      </c>
      <c r="Q604" s="548">
        <f ca="1">IFERROR(__xludf.DUMMYFUNCTION("IMPORTRANGE(""https://docs.google.com/spreadsheets/d/1ItG2mGa2ceCfYo0BwxsXqNm01IGEUdYcSSLTEv9YCik/edit?usp=sharing"",""เบิกจ่ายกองทุน!AV84"")"),0)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IFERROR(__xludf.DUMMYFUNCTION("IMPORTRANGE(""https://docs.google.com/spreadsheets/d/1ItG2mGa2ceCfYo0BwxsXqNm01IGEUdYcSSLTEv9YCik/edit?usp=sharing"",""เบิกจ่ายกองทุน!AW84"")"),0)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IFERROR(__xludf.DUMMYFUNCTION("IMPORTRANGE(""https://docs.google.com/spreadsheets/d/1ItG2mGa2ceCfYo0BwxsXqNm01IGEUdYcSSLTEv9YCik/edit?usp=sharing"",""เบิกจ่ายกองทุน!AX84"")"),0)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548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5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IFERROR(__xludf.DUMMYFUNCTION("IMPORTRANGE(""https://docs.google.com/spreadsheets/d/1-uDff_7J0KD5mKrp0Vvzr7lt3OU09vwQwhkpOPPYv2Y/edit?usp=sharing"",""งบพรบ!HN84"")"),0)</f>
        <v>0</v>
      </c>
      <c r="M607" s="47">
        <f ca="1">IFERROR(__xludf.DUMMYFUNCTION("IMPORTRANGE(""https://docs.google.com/spreadsheets/d/1-uDff_7J0KD5mKrp0Vvzr7lt3OU09vwQwhkpOPPYv2Y/edit?usp=sharing"",""งบพรบ!HQ84"")"),0)</f>
        <v>0</v>
      </c>
      <c r="N607" s="47">
        <f ca="1">IFERROR(__xludf.DUMMYFUNCTION("IMPORTRANGE(""https://docs.google.com/spreadsheets/d/1-uDff_7J0KD5mKrp0Vvzr7lt3OU09vwQwhkpOPPYv2Y/edit?usp=sharing"",""งบพรบ!HS84"")"),0)</f>
        <v>0</v>
      </c>
      <c r="O607" s="47">
        <f ca="1">IF(L607&gt;0,N607*100/L607,0)</f>
        <v>0</v>
      </c>
      <c r="P607" s="47">
        <f ca="1">IF(M607&gt;0,N607*100/M607,0)</f>
        <v>0</v>
      </c>
      <c r="Q607" s="548">
        <f ca="1">IFERROR(__xludf.DUMMYFUNCTION("IMPORTRANGE(""https://docs.google.com/spreadsheets/d/1ItG2mGa2ceCfYo0BwxsXqNm01IGEUdYcSSLTEv9YCik/edit?usp=sharing"",""เบิกจ่ายกองทุน!AY84"")"),0)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IFERROR(__xludf.DUMMYFUNCTION("IMPORTRANGE(""https://docs.google.com/spreadsheets/d/1ItG2mGa2ceCfYo0BwxsXqNm01IGEUdYcSSLTEv9YCik/edit?usp=sharing"",""เบิกจ่ายกองทุน!AZ84"")"),0)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IFERROR(__xludf.DUMMYFUNCTION("IMPORTRANGE(""https://docs.google.com/spreadsheets/d/1ItG2mGa2ceCfYo0BwxsXqNm01IGEUdYcSSLTEv9YCik/edit?usp=sharing"",""เบิกจ่ายกองทุน!BA84"")"),0)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1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5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5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5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546"/>
      <c r="R611" s="46"/>
      <c r="S611" s="46"/>
      <c r="T611" s="46"/>
      <c r="U611" s="46"/>
    </row>
    <row r="612" spans="1:21" ht="19.5" hidden="1" thickBot="1" x14ac:dyDescent="0.3">
      <c r="A612" s="580"/>
      <c r="B612" s="579"/>
      <c r="C612" s="579"/>
      <c r="D612" s="579"/>
      <c r="E612" s="578" t="s">
        <v>222</v>
      </c>
      <c r="F612" s="577"/>
      <c r="G612" s="576"/>
      <c r="H612" s="575" t="s">
        <v>35</v>
      </c>
      <c r="I612" s="574"/>
      <c r="J612" s="574"/>
      <c r="K612" s="573"/>
      <c r="L612" s="572"/>
      <c r="M612" s="571"/>
      <c r="N612" s="571"/>
      <c r="O612" s="571"/>
      <c r="P612" s="571"/>
      <c r="Q612" s="572"/>
      <c r="R612" s="571"/>
      <c r="S612" s="571"/>
      <c r="T612" s="571"/>
      <c r="U612" s="571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0"/>
      <c r="M613" s="455"/>
      <c r="N613" s="455"/>
      <c r="O613" s="455"/>
      <c r="P613" s="455"/>
      <c r="Q613" s="570"/>
      <c r="R613" s="455"/>
      <c r="S613" s="455"/>
      <c r="T613" s="455"/>
      <c r="U613" s="455"/>
    </row>
    <row r="614" spans="1:21" ht="19.5" x14ac:dyDescent="0.3">
      <c r="A614" s="456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552"/>
      <c r="R614" s="462"/>
      <c r="S614" s="462"/>
      <c r="T614" s="462"/>
      <c r="U614" s="462"/>
    </row>
    <row r="615" spans="1:21" ht="19.5" x14ac:dyDescent="0.3">
      <c r="A615" s="463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569"/>
      <c r="R615" s="470"/>
      <c r="S615" s="470"/>
      <c r="T615" s="470"/>
      <c r="U615" s="470"/>
    </row>
    <row r="616" spans="1:21" ht="19.5" x14ac:dyDescent="0.3">
      <c r="A616" s="128"/>
      <c r="B616" s="159"/>
      <c r="C616" s="188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550">
        <f ca="1">Q617+Q618</f>
        <v>6700</v>
      </c>
      <c r="R616" s="132">
        <f ca="1">R617+R618</f>
        <v>6700</v>
      </c>
      <c r="S616" s="132">
        <f ca="1">S617+S618</f>
        <v>0</v>
      </c>
      <c r="T616" s="132">
        <f ca="1">IF(Q616&gt;0,S616*100/Q616,0)</f>
        <v>0</v>
      </c>
      <c r="U616" s="132">
        <f ca="1">IF(R616&gt;0,S616*100/R616,0)</f>
        <v>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5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548">
        <f ca="1">Q621+Q624</f>
        <v>6700</v>
      </c>
      <c r="R618" s="47">
        <f ca="1">R621+R624</f>
        <v>6700</v>
      </c>
      <c r="S618" s="47">
        <f ca="1">S621+S624</f>
        <v>0</v>
      </c>
      <c r="T618" s="47">
        <f ca="1">IF(Q618&gt;0,S618*100/Q618,0)</f>
        <v>0</v>
      </c>
      <c r="U618" s="47">
        <f ca="1">IF(R618&gt;0,S618*100/R618,0)</f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548">
        <f ca="1">Q620+Q621</f>
        <v>6700</v>
      </c>
      <c r="R619" s="47">
        <f ca="1">R620+R621</f>
        <v>6700</v>
      </c>
      <c r="S619" s="47">
        <f ca="1">S620+S621</f>
        <v>0</v>
      </c>
      <c r="T619" s="47">
        <f ca="1">IF(Q619&gt;0,S619*100/Q619,0)</f>
        <v>0</v>
      </c>
      <c r="U619" s="47">
        <f ca="1">IF(R619&gt;0,S619*100/R619,0)</f>
        <v>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5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548">
        <f ca="1">IFERROR(__xludf.DUMMYFUNCTION("IMPORTRANGE(""https://docs.google.com/spreadsheets/d/1ItG2mGa2ceCfYo0BwxsXqNm01IGEUdYcSSLTEv9YCik/edit?usp=sharing"",""เบิกจ่ายกองทุน!F84"")"),6700)</f>
        <v>6700</v>
      </c>
      <c r="R621" s="47">
        <f ca="1">IFERROR(__xludf.DUMMYFUNCTION("IMPORTRANGE(""https://docs.google.com/spreadsheets/d/1ItG2mGa2ceCfYo0BwxsXqNm01IGEUdYcSSLTEv9YCik/edit?usp=sharing"",""เบิกจ่ายกองทุน!G84"")"),6700)</f>
        <v>6700</v>
      </c>
      <c r="S621" s="47">
        <f ca="1">IFERROR(__xludf.DUMMYFUNCTION("IMPORTRANGE(""https://docs.google.com/spreadsheets/d/1ItG2mGa2ceCfYo0BwxsXqNm01IGEUdYcSSLTEv9YCik/edit?usp=sharing"",""เบิกจ่ายกองทุน!H84"")"),0)</f>
        <v>0</v>
      </c>
      <c r="T621" s="47">
        <f ca="1">IF(Q621&gt;0,S621*100/Q621,0)</f>
        <v>0</v>
      </c>
      <c r="U621" s="47">
        <f ca="1">IF(R621&gt;0,S621*100/R621,0)</f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548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5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548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558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IFERROR(__xludf.DUMMYFUNCTION("IMPORTRANGE(""https://docs.google.com/spreadsheets/d/1eHaY18a8A9IcSdp1K8H6x8fbOy06t2VsZHhMHf-1x7Y/edit?usp=sharing"",""แผน!ID84"")"),50)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558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IFERROR(__xludf.DUMMYFUNCTION("IMPORTRANGE(""https://docs.google.com/spreadsheets/d/1eHaY18a8A9IcSdp1K8H6x8fbOy06t2VsZHhMHf-1x7Y/edit?usp=sharing"",""แผน!IC84"")"),0)</f>
        <v>0</v>
      </c>
      <c r="J627" s="167">
        <v>0</v>
      </c>
      <c r="K627" s="47">
        <f ca="1">IF(I627&gt;0,(J628*100)/I627,0)</f>
        <v>0</v>
      </c>
      <c r="L627" s="558"/>
      <c r="M627" s="136"/>
      <c r="N627" s="136"/>
      <c r="O627" s="136"/>
      <c r="P627" s="136"/>
      <c r="Q627" s="558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IFERROR(__xludf.DUMMYFUNCTION("IMPORTRANGE(""https://docs.google.com/spreadsheets/d/1eHaY18a8A9IcSdp1K8H6x8fbOy06t2VsZHhMHf-1x7Y/edit?usp=sharing"",""แผน!IC84"")"),0)</f>
        <v>0</v>
      </c>
      <c r="J628" s="167">
        <v>0</v>
      </c>
      <c r="K628" s="47">
        <f ca="1">IF(I628&gt;0,(#REF!*100)/I628,0)</f>
        <v>0</v>
      </c>
      <c r="L628" s="558"/>
      <c r="M628" s="136"/>
      <c r="N628" s="136"/>
      <c r="O628" s="136"/>
      <c r="P628" s="136"/>
      <c r="Q628" s="558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558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558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558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558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558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558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IFERROR(__xludf.DUMMYFUNCTION("IMPORTRANGE(""https://docs.google.com/spreadsheets/d/1eHaY18a8A9IcSdp1K8H6x8fbOy06t2VsZHhMHf-1x7Y/edit?usp=sharing"",""แผน!IE84"")"),0)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558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558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558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558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558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558"/>
      <c r="R640" s="136"/>
      <c r="S640" s="136"/>
      <c r="T640" s="136"/>
      <c r="U640" s="136"/>
    </row>
    <row r="641" spans="1:21" ht="19.5" hidden="1" x14ac:dyDescent="0.3">
      <c r="A641" s="463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569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550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5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548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548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5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548">
        <f ca="1">IFERROR(__xludf.DUMMYFUNCTION("IMPORTRANGE(""https://docs.google.com/spreadsheets/d/1ItG2mGa2ceCfYo0BwxsXqNm01IGEUdYcSSLTEv9YCik/edit?usp=sharing"",""เบิกจ่ายกองทุน!I84"")"),0)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IFERROR(__xludf.DUMMYFUNCTION("IMPORTRANGE(""https://docs.google.com/spreadsheets/d/1ItG2mGa2ceCfYo0BwxsXqNm01IGEUdYcSSLTEv9YCik/edit?usp=sharing"",""เบิกจ่ายกองทุน!J84"")"),0)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IFERROR(__xludf.DUMMYFUNCTION("IMPORTRANGE(""https://docs.google.com/spreadsheets/d/1ItG2mGa2ceCfYo0BwxsXqNm01IGEUdYcSSLTEv9YCik/edit?usp=sharing"",""เบิกจ่ายกองทุน!K84"")"),0)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548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5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548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5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IFERROR(__xludf.DUMMYFUNCTION("IMPORTRANGE(""https://docs.google.com/spreadsheets/d/1eHaY18a8A9IcSdp1K8H6x8fbOy06t2VsZHhMHf-1x7Y/edit?usp=sharing"",""แผน!IF84"")"),0)</f>
        <v>0</v>
      </c>
      <c r="J652" s="152">
        <f ca="1">IFERROR(__xludf.DUMMYFUNCTION("IMPORTRANGE(""https://docs.google.com/spreadsheets/d/1tdoBKaGub7dwA3U6UFTqxio9LNnvDCQjHKmttSEBsFQ/edit?usp=sharing"",""จัดที่ดิน!AU84"")"),0)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5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IFERROR(__xludf.DUMMYFUNCTION("IMPORTRANGE(""https://docs.google.com/spreadsheets/d/1eHaY18a8A9IcSdp1K8H6x8fbOy06t2VsZHhMHf-1x7Y/edit?usp=sharing"",""แผน!IG84"")"),0)</f>
        <v>0</v>
      </c>
      <c r="J653" s="152">
        <f ca="1">IFERROR(__xludf.DUMMYFUNCTION("IMPORTRANGE(""https://docs.google.com/spreadsheets/d/1tdoBKaGub7dwA3U6UFTqxio9LNnvDCQjHKmttSEBsFQ/edit?usp=sharing"",""จัดที่ดิน!AW84"")"),0)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5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IFERROR(__xludf.DUMMYFUNCTION("IMPORTRANGE(""https://docs.google.com/spreadsheets/d/1eHaY18a8A9IcSdp1K8H6x8fbOy06t2VsZHhMHf-1x7Y/edit?usp=sharing"",""แผน!IH84"")"),0)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5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5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5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IFERROR(__xludf.DUMMYFUNCTION("IMPORTRANGE(""https://docs.google.com/spreadsheets/d/1eHaY18a8A9IcSdp1K8H6x8fbOy06t2VsZHhMHf-1x7Y/edit?usp=sharing"",""แผน!II84"")"),0)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5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5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5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IFERROR(__xludf.DUMMYFUNCTION("IMPORTRANGE(""https://docs.google.com/spreadsheets/d/1eHaY18a8A9IcSdp1K8H6x8fbOy06t2VsZHhMHf-1x7Y/edit?usp=sharing"",""แผน!IJ84"")"),0)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5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IFERROR(__xludf.DUMMYFUNCTION("IMPORTRANGE(""https://docs.google.com/spreadsheets/d/1eHaY18a8A9IcSdp1K8H6x8fbOy06t2VsZHhMHf-1x7Y/edit?usp=sharing"",""แผน!IK84"")"),0)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5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567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567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567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567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567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567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567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567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567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IFERROR(__xludf.DUMMYFUNCTION("IMPORTRANGE(""https://docs.google.com/spreadsheets/d/1tdoBKaGub7dwA3U6UFTqxio9LNnvDCQjHKmttSEBsFQ/edit?usp=sharing"",""จัดที่ดิน!AY84"")"),0)</f>
        <v>0</v>
      </c>
      <c r="K671" s="46"/>
      <c r="L671" s="546"/>
      <c r="M671" s="46"/>
      <c r="N671" s="479"/>
      <c r="O671" s="46"/>
      <c r="P671" s="46"/>
      <c r="Q671" s="5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IFERROR(__xludf.DUMMYFUNCTION("IMPORTRANGE(""https://docs.google.com/spreadsheets/d/1tdoBKaGub7dwA3U6UFTqxio9LNnvDCQjHKmttSEBsFQ/edit?usp=sharing"",""จัดที่ดิน!AZ84"")"),0)</f>
        <v>0</v>
      </c>
      <c r="K672" s="46"/>
      <c r="L672" s="567"/>
      <c r="M672" s="46"/>
      <c r="N672" s="479"/>
      <c r="O672" s="46"/>
      <c r="P672" s="46"/>
      <c r="Q672" s="567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IFERROR(__xludf.DUMMYFUNCTION("IMPORTRANGE(""https://docs.google.com/spreadsheets/d/1eHaY18a8A9IcSdp1K8H6x8fbOy06t2VsZHhMHf-1x7Y/edit?usp=sharing"",""แผน!IL84"")"),0)</f>
        <v>0</v>
      </c>
      <c r="J673" s="152">
        <f ca="1">IFERROR(__xludf.DUMMYFUNCTION("IMPORTRANGE(""https://docs.google.com/spreadsheets/d/1tdoBKaGub7dwA3U6UFTqxio9LNnvDCQjHKmttSEBsFQ/edit?usp=sharing"",""จัดที่ดิน!BA84"")"),0)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567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IFERROR(__xludf.DUMMYFUNCTION("IMPORTRANGE(""https://docs.google.com/spreadsheets/d/1eHaY18a8A9IcSdp1K8H6x8fbOy06t2VsZHhMHf-1x7Y/edit?usp=sharing"",""แผน!IM84"")"),0)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567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IFERROR(__xludf.DUMMYFUNCTION("IMPORTRANGE(""https://docs.google.com/spreadsheets/d/1eHaY18a8A9IcSdp1K8H6x8fbOy06t2VsZHhMHf-1x7Y/edit?usp=sharing"",""แผน!IN84"")"),0)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5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IFERROR(__xludf.DUMMYFUNCTION("IMPORTRANGE(""https://docs.google.com/spreadsheets/d/1eHaY18a8A9IcSdp1K8H6x8fbOy06t2VsZHhMHf-1x7Y/edit?usp=sharing"",""แผน!IO84"")"),0)</f>
        <v>0</v>
      </c>
      <c r="J676" s="152">
        <f ca="1">IFERROR(__xludf.DUMMYFUNCTION("IMPORTRANGE(""https://docs.google.com/spreadsheets/d/1tdoBKaGub7dwA3U6UFTqxio9LNnvDCQjHKmttSEBsFQ/edit?usp=sharing"",""จัดที่ดิน!BF84"")"),0)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5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IFERROR(__xludf.DUMMYFUNCTION("IMPORTRANGE(""https://docs.google.com/spreadsheets/d/1tdoBKaGub7dwA3U6UFTqxio9LNnvDCQjHKmttSEBsFQ/edit?usp=sharing"",""จัดที่ดิน!BG84"")"),0)</f>
        <v>0</v>
      </c>
      <c r="K677" s="46"/>
      <c r="L677" s="567"/>
      <c r="M677" s="46"/>
      <c r="N677" s="479"/>
      <c r="O677" s="46"/>
      <c r="P677" s="46"/>
      <c r="Q677" s="567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IFERROR(__xludf.DUMMYFUNCTION("IMPORTRANGE(""https://docs.google.com/spreadsheets/d/1eHaY18a8A9IcSdp1K8H6x8fbOy06t2VsZHhMHf-1x7Y/edit?usp=sharing"",""แผน!IP84"")"),0)</f>
        <v>0</v>
      </c>
      <c r="J678" s="152">
        <f ca="1">IFERROR(__xludf.DUMMYFUNCTION("IMPORTRANGE(""https://docs.google.com/spreadsheets/d/1tdoBKaGub7dwA3U6UFTqxio9LNnvDCQjHKmttSEBsFQ/edit?usp=sharing"",""จัดที่ดิน!BH84"")"),0)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567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IFERROR(__xludf.DUMMYFUNCTION("IMPORTRANGE(""https://docs.google.com/spreadsheets/d/1eHaY18a8A9IcSdp1K8H6x8fbOy06t2VsZHhMHf-1x7Y/edit?usp=sharing"",""แผน!IQ84"")"),0)</f>
        <v>0</v>
      </c>
      <c r="J679" s="152">
        <f ca="1">IFERROR(__xludf.DUMMYFUNCTION("IMPORTRANGE(""https://docs.google.com/spreadsheets/d/1tdoBKaGub7dwA3U6UFTqxio9LNnvDCQjHKmttSEBsFQ/edit?usp=sharing"",""จัดที่ดิน!BK84"")"),0)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5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IFERROR(__xludf.DUMMYFUNCTION("IMPORTRANGE(""https://docs.google.com/spreadsheets/d/1tdoBKaGub7dwA3U6UFTqxio9LNnvDCQjHKmttSEBsFQ/edit?usp=sharing"",""จัดที่ดิน!BL84"")"),0)</f>
        <v>0</v>
      </c>
      <c r="K680" s="46"/>
      <c r="L680" s="567"/>
      <c r="M680" s="46"/>
      <c r="N680" s="479"/>
      <c r="O680" s="46"/>
      <c r="P680" s="46"/>
      <c r="Q680" s="567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IFERROR(__xludf.DUMMYFUNCTION("IMPORTRANGE(""https://docs.google.com/spreadsheets/d/1eHaY18a8A9IcSdp1K8H6x8fbOy06t2VsZHhMHf-1x7Y/edit?usp=sharing"",""แผน!IR84"")"),0)</f>
        <v>0</v>
      </c>
      <c r="J681" s="152">
        <f ca="1">IFERROR(__xludf.DUMMYFUNCTION("IMPORTRANGE(""https://docs.google.com/spreadsheets/d/1tdoBKaGub7dwA3U6UFTqxio9LNnvDCQjHKmttSEBsFQ/edit?usp=sharing"",""จัดที่ดิน!BM84"")"),0)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567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IFERROR(__xludf.DUMMYFUNCTION("IMPORTRANGE(""https://docs.google.com/spreadsheets/d/1eHaY18a8A9IcSdp1K8H6x8fbOy06t2VsZHhMHf-1x7Y/edit?usp=sharing"",""แผน!IS84"")"),0)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5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567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567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567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567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567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566"/>
      <c r="R688" s="4"/>
      <c r="S688" s="481"/>
      <c r="T688" s="4"/>
      <c r="U688" s="4"/>
    </row>
    <row r="689" spans="1:21" ht="19.5" x14ac:dyDescent="0.3">
      <c r="A689" s="456"/>
      <c r="B689" s="457" t="s">
        <v>258</v>
      </c>
      <c r="C689" s="456"/>
      <c r="D689" s="458"/>
      <c r="E689" s="458"/>
      <c r="F689" s="458"/>
      <c r="G689" s="459"/>
      <c r="H689" s="482" t="s">
        <v>35</v>
      </c>
      <c r="I689" s="483">
        <f ca="1">I707</f>
        <v>31</v>
      </c>
      <c r="J689" s="483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552"/>
      <c r="R689" s="462"/>
      <c r="S689" s="462"/>
      <c r="T689" s="462"/>
      <c r="U689" s="462"/>
    </row>
    <row r="690" spans="1:21" ht="19.5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550">
        <f ca="1">Q691+Q692</f>
        <v>135150</v>
      </c>
      <c r="R690" s="132">
        <f ca="1">R691+R692</f>
        <v>135150</v>
      </c>
      <c r="S690" s="132">
        <f ca="1">S691+S692</f>
        <v>15906.47</v>
      </c>
      <c r="T690" s="132">
        <f ca="1">IF(Q690&gt;0,S690*100/Q690,0)</f>
        <v>11.769493155752867</v>
      </c>
      <c r="U690" s="132">
        <f ca="1">IF(R690&gt;0,S690*100/R690,0)</f>
        <v>11.769493155752867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5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548">
        <f ca="1">Q695+Q698</f>
        <v>135150</v>
      </c>
      <c r="R692" s="47">
        <f ca="1">R695+R698</f>
        <v>135150</v>
      </c>
      <c r="S692" s="47">
        <f ca="1">S695+S698</f>
        <v>15906.47</v>
      </c>
      <c r="T692" s="47">
        <f ca="1">IF(Q692&gt;0,S692*100/Q692,0)</f>
        <v>11.769493155752867</v>
      </c>
      <c r="U692" s="47">
        <f ca="1">IF(R692&gt;0,S692*100/R692,0)</f>
        <v>11.769493155752867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548">
        <f ca="1">Q694+Q695</f>
        <v>135150</v>
      </c>
      <c r="R693" s="47">
        <f ca="1">R694+R695</f>
        <v>135150</v>
      </c>
      <c r="S693" s="47">
        <f ca="1">S694+S695</f>
        <v>15906.47</v>
      </c>
      <c r="T693" s="47">
        <f ca="1">IF(Q693&gt;0,S693*100/Q693,0)</f>
        <v>11.769493155752867</v>
      </c>
      <c r="U693" s="47">
        <f ca="1">IF(R693&gt;0,S693*100/R693,0)</f>
        <v>11.769493155752867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5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548">
        <f ca="1">IFERROR(__xludf.DUMMYFUNCTION("IMPORTRANGE(""https://docs.google.com/spreadsheets/d/1ItG2mGa2ceCfYo0BwxsXqNm01IGEUdYcSSLTEv9YCik/edit?usp=sharing"",""เบิกจ่ายกองทุน!L84"")"),135150)</f>
        <v>135150</v>
      </c>
      <c r="R695" s="47">
        <f ca="1">IFERROR(__xludf.DUMMYFUNCTION("IMPORTRANGE(""https://docs.google.com/spreadsheets/d/1ItG2mGa2ceCfYo0BwxsXqNm01IGEUdYcSSLTEv9YCik/edit?usp=sharing"",""เบิกจ่ายกองทุน!M84"")"),135150)</f>
        <v>135150</v>
      </c>
      <c r="S695" s="47">
        <f ca="1">IFERROR(__xludf.DUMMYFUNCTION("IMPORTRANGE(""https://docs.google.com/spreadsheets/d/1ItG2mGa2ceCfYo0BwxsXqNm01IGEUdYcSSLTEv9YCik/edit?usp=sharing"",""เบิกจ่ายกองทุน!N84"")"),15906.47)</f>
        <v>15906.47</v>
      </c>
      <c r="T695" s="47">
        <f ca="1">IF(Q695&gt;0,S695*100/Q695,0)</f>
        <v>11.769493155752867</v>
      </c>
      <c r="U695" s="47">
        <f ca="1">IF(R695&gt;0,S695*100/R695,0)</f>
        <v>11.769493155752867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548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5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548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5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IFERROR(__xludf.DUMMYFUNCTION("IMPORTRANGE(""https://docs.google.com/spreadsheets/d/1eHaY18a8A9IcSdp1K8H6x8fbOy06t2VsZHhMHf-1x7Y/edit?usp=sharing"",""แผน!LC84"")"),0)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558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34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558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558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IFERROR(__xludf.DUMMYFUNCTION("IMPORTRANGE(""https://docs.google.com/spreadsheets/d/1eHaY18a8A9IcSdp1K8H6x8fbOy06t2VsZHhMHf-1x7Y/edit?usp=sharing"",""แผน!LJ84"")"),31)</f>
        <v>31</v>
      </c>
      <c r="J703" s="152">
        <f ca="1">IFERROR(__xludf.DUMMYFUNCTION("IMPORTRANGE(""https://docs.google.com/spreadsheets/d/1tdoBKaGub7dwA3U6UFTqxio9LNnvDCQjHKmttSEBsFQ/edit?usp=sharing"",""จัดที่ดิน!AP84"")"),0)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558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IFERROR(__xludf.DUMMYFUNCTION("IMPORTRANGE(""https://docs.google.com/spreadsheets/d/1tdoBKaGub7dwA3U6UFTqxio9LNnvDCQjHKmttSEBsFQ/edit?usp=sharing"",""จัดที่ดิน!AQ84"")"),0)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558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IFERROR(__xludf.DUMMYFUNCTION("IMPORTRANGE(""https://docs.google.com/spreadsheets/d/1eHaY18a8A9IcSdp1K8H6x8fbOy06t2VsZHhMHf-1x7Y/edit?usp=sharing"",""แผน!LK84"")"),3)</f>
        <v>3</v>
      </c>
      <c r="J705" s="152">
        <f ca="1">IFERROR(__xludf.DUMMYFUNCTION("IMPORTRANGE(""https://docs.google.com/spreadsheets/d/1tdoBKaGub7dwA3U6UFTqxio9LNnvDCQjHKmttSEBsFQ/edit?usp=sharing"",""จัดที่ดิน!AR84"")"),0)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558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IFERROR(__xludf.DUMMYFUNCTION("IMPORTRANGE(""https://docs.google.com/spreadsheets/d/1tdoBKaGub7dwA3U6UFTqxio9LNnvDCQjHKmttSEBsFQ/edit?usp=sharing"",""จัดที่ดิน!AS84"")"),0)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558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IFERROR(__xludf.DUMMYFUNCTION("IMPORTRANGE(""https://docs.google.com/spreadsheets/d/1eHaY18a8A9IcSdp1K8H6x8fbOy06t2VsZHhMHf-1x7Y/edit?usp=sharing"",""แผน!LJ84"")"),31)</f>
        <v>31</v>
      </c>
      <c r="J707" s="152">
        <f ca="1">IFERROR(__xludf.DUMMYFUNCTION("IMPORTRANGE(""https://docs.google.com/spreadsheets/d/1tdoBKaGub7dwA3U6UFTqxio9LNnvDCQjHKmttSEBsFQ/edit?usp=sharing"",""จัดที่ดิน!BN84"")"),0)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558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IFERROR(__xludf.DUMMYFUNCTION("IMPORTRANGE(""https://docs.google.com/spreadsheets/d/1tdoBKaGub7dwA3U6UFTqxio9LNnvDCQjHKmttSEBsFQ/edit?usp=sharing"",""จัดที่ดิน!BO84"")"),0)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558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IFERROR(__xludf.DUMMYFUNCTION("IMPORTRANGE(""https://docs.google.com/spreadsheets/d/1eHaY18a8A9IcSdp1K8H6x8fbOy06t2VsZHhMHf-1x7Y/edit?usp=sharing"",""แผน!LK84"")"),3)</f>
        <v>3</v>
      </c>
      <c r="J709" s="152">
        <f ca="1">IFERROR(__xludf.DUMMYFUNCTION("IMPORTRANGE(""https://docs.google.com/spreadsheets/d/1tdoBKaGub7dwA3U6UFTqxio9LNnvDCQjHKmttSEBsFQ/edit?usp=sharing"",""จัดที่ดิน!BP84"")"),0)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5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IFERROR(__xludf.DUMMYFUNCTION("IMPORTRANGE(""https://docs.google.com/spreadsheets/d/1tdoBKaGub7dwA3U6UFTqxio9LNnvDCQjHKmttSEBsFQ/edit?usp=sharing"",""จัดที่ดิน!BQ84"")"),0)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5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562"/>
      <c r="R711" s="336"/>
      <c r="S711" s="336"/>
      <c r="T711" s="336"/>
      <c r="U711" s="336"/>
    </row>
    <row r="712" spans="1:21" ht="19.5" hidden="1" x14ac:dyDescent="0.3">
      <c r="A712" s="456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552"/>
      <c r="R712" s="462"/>
      <c r="S712" s="462"/>
      <c r="T712" s="462"/>
      <c r="U712" s="462"/>
    </row>
    <row r="713" spans="1:21" ht="19.5" hidden="1" x14ac:dyDescent="0.3">
      <c r="A713" s="456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55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550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5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548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548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5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548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548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5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548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558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5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545"/>
      <c r="R725" s="4"/>
      <c r="S725" s="4"/>
      <c r="T725" s="4"/>
      <c r="U725" s="4"/>
    </row>
    <row r="726" spans="1:21" ht="19.5" x14ac:dyDescent="0.3">
      <c r="A726" s="456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IFERROR(__xludf.DUMMYFUNCTION("IMPORTRANGE(""https://docs.google.com/spreadsheets/d/1eHaY18a8A9IcSdp1K8H6x8fbOy06t2VsZHhMHf-1x7Y/edit?usp=sharing"",""แผน!GA84"")"),11)</f>
        <v>11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55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IFERROR(__xludf.DUMMYFUNCTION("IMPORTRANGE(""https://docs.google.com/spreadsheets/d/1eHaY18a8A9IcSdp1K8H6x8fbOy06t2VsZHhMHf-1x7Y/edit?usp=sharing"",""แผน!FZ84"")"),100)</f>
        <v>100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552"/>
      <c r="R727" s="462"/>
      <c r="S727" s="462"/>
      <c r="T727" s="462"/>
      <c r="U727" s="462"/>
    </row>
    <row r="728" spans="1:21" ht="19.5" x14ac:dyDescent="0.3">
      <c r="A728" s="128"/>
      <c r="B728" s="159"/>
      <c r="C728" s="188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550">
        <f ca="1">Q729+Q730</f>
        <v>111882</v>
      </c>
      <c r="R728" s="132">
        <f ca="1">R729+R730</f>
        <v>111882</v>
      </c>
      <c r="S728" s="132">
        <f ca="1">S729+S730</f>
        <v>0</v>
      </c>
      <c r="T728" s="132">
        <f ca="1">IF(Q728&gt;0,S728*100/Q728,0)</f>
        <v>0</v>
      </c>
      <c r="U728" s="132">
        <f ca="1">IF(R728&gt;0,S728*100/R728,0)</f>
        <v>0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5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548">
        <f ca="1">Q733+Q736</f>
        <v>111882</v>
      </c>
      <c r="R730" s="47">
        <f ca="1">R733+R736</f>
        <v>111882</v>
      </c>
      <c r="S730" s="47">
        <f ca="1">S733+S736</f>
        <v>0</v>
      </c>
      <c r="T730" s="47">
        <f ca="1">IF(Q730&gt;0,S730*100/Q730,0)</f>
        <v>0</v>
      </c>
      <c r="U730" s="47">
        <f ca="1">IF(R730&gt;0,S730*100/R730,0)</f>
        <v>0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548">
        <f ca="1">Q732+Q733</f>
        <v>111882</v>
      </c>
      <c r="R731" s="47">
        <f ca="1">R732+R733</f>
        <v>111882</v>
      </c>
      <c r="S731" s="47">
        <f ca="1">S732+S733</f>
        <v>0</v>
      </c>
      <c r="T731" s="47">
        <f ca="1">IF(Q731&gt;0,S731*100/Q731,0)</f>
        <v>0</v>
      </c>
      <c r="U731" s="47">
        <f ca="1">IF(R731&gt;0,S731*100/R731,0)</f>
        <v>0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5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548">
        <f ca="1">IFERROR(__xludf.DUMMYFUNCTION("IMPORTRANGE(""https://docs.google.com/spreadsheets/d/1ItG2mGa2ceCfYo0BwxsXqNm01IGEUdYcSSLTEv9YCik/edit?usp=sharing"",""เบิกจ่ายกองทุน!O84"")"),111882)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IFERROR(__xludf.DUMMYFUNCTION("IMPORTRANGE(""https://docs.google.com/spreadsheets/d/1ItG2mGa2ceCfYo0BwxsXqNm01IGEUdYcSSLTEv9YCik/edit?usp=sharing"",""เบิกจ่ายกองทุน!P84"")"),111882)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IFERROR(__xludf.DUMMYFUNCTION("IMPORTRANGE(""https://docs.google.com/spreadsheets/d/1ItG2mGa2ceCfYo0BwxsXqNm01IGEUdYcSSLTEv9YCik/edit?usp=sharing"",""เบิกจ่ายกองทุน!Q84"")"),0)</f>
        <v>0</v>
      </c>
      <c r="T733" s="47">
        <f ca="1">IF(Q733&gt;0,S733*100/Q733,0)</f>
        <v>0</v>
      </c>
      <c r="U733" s="47">
        <f ca="1">IF(R733&gt;0,S733*100/R733,0)</f>
        <v>0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548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5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548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5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5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5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IFERROR(__xludf.DUMMYFUNCTION("IMPORTRANGE(""https://docs.google.com/spreadsheets/d/1eHaY18a8A9IcSdp1K8H6x8fbOy06t2VsZHhMHf-1x7Y/edit?usp=sharing"",""แผน!GB84"")"),80)</f>
        <v>80</v>
      </c>
      <c r="J740" s="554">
        <v>0</v>
      </c>
      <c r="K740" s="331">
        <f ca="1">IF(I740&gt;0,J740*100/I740,0)</f>
        <v>0</v>
      </c>
      <c r="L740" s="553"/>
      <c r="M740" s="332"/>
      <c r="N740" s="332"/>
      <c r="O740" s="332"/>
      <c r="P740" s="332"/>
      <c r="Q740" s="546"/>
      <c r="R740" s="46"/>
      <c r="S740" s="46"/>
      <c r="T740" s="46"/>
      <c r="U740" s="46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546"/>
      <c r="R741" s="46"/>
      <c r="S741" s="46"/>
      <c r="T741" s="46"/>
      <c r="U741" s="46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IFERROR(__xludf.DUMMYFUNCTION("IMPORTRANGE(""https://docs.google.com/spreadsheets/d/1eHaY18a8A9IcSdp1K8H6x8fbOy06t2VsZHhMHf-1x7Y/edit?usp=sharing"",""แผน!GC84"")"),8)</f>
        <v>8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546"/>
      <c r="R742" s="46"/>
      <c r="S742" s="46"/>
      <c r="T742" s="46"/>
      <c r="U742" s="46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546"/>
      <c r="R743" s="46"/>
      <c r="S743" s="46"/>
      <c r="T743" s="46"/>
      <c r="U743" s="46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IFERROR(__xludf.DUMMYFUNCTION("IMPORTRANGE(""https://docs.google.com/spreadsheets/d/1eHaY18a8A9IcSdp1K8H6x8fbOy06t2VsZHhMHf-1x7Y/edit?usp=sharing"",""แผน!GD84"")"),20)</f>
        <v>20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546"/>
      <c r="R744" s="46"/>
      <c r="S744" s="46"/>
      <c r="T744" s="46"/>
      <c r="U744" s="46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546"/>
      <c r="R745" s="46"/>
      <c r="S745" s="46"/>
      <c r="T745" s="46"/>
      <c r="U745" s="46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IFERROR(__xludf.DUMMYFUNCTION("IMPORTRANGE(""https://docs.google.com/spreadsheets/d/1eHaY18a8A9IcSdp1K8H6x8fbOy06t2VsZHhMHf-1x7Y/edit?usp=sharing"",""แผน!GE84"")"),2)</f>
        <v>2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546"/>
      <c r="R746" s="46"/>
      <c r="S746" s="46"/>
      <c r="T746" s="46"/>
      <c r="U746" s="46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546"/>
      <c r="R747" s="46"/>
      <c r="S747" s="46"/>
      <c r="T747" s="46"/>
      <c r="U747" s="46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546"/>
      <c r="R748" s="46"/>
      <c r="S748" s="46"/>
      <c r="T748" s="46"/>
      <c r="U748" s="46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IFERROR(__xludf.DUMMYFUNCTION("IMPORTRANGE(""https://docs.google.com/spreadsheets/d/1eHaY18a8A9IcSdp1K8H6x8fbOy06t2VsZHhMHf-1x7Y/edit?usp=sharing"",""แผน!GF84"")"),1)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546"/>
      <c r="R749" s="46"/>
      <c r="S749" s="46"/>
      <c r="T749" s="46"/>
      <c r="U749" s="46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546"/>
      <c r="R750" s="46"/>
      <c r="S750" s="46"/>
      <c r="T750" s="46"/>
      <c r="U750" s="46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546"/>
      <c r="R751" s="46"/>
      <c r="S751" s="46"/>
      <c r="T751" s="46"/>
      <c r="U751" s="46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IFERROR(__xludf.DUMMYFUNCTION("IMPORTRANGE(""https://docs.google.com/spreadsheets/d/1eHaY18a8A9IcSdp1K8H6x8fbOy06t2VsZHhMHf-1x7Y/edit?usp=sharing"",""แผน!GB84"")"),80)</f>
        <v>80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546"/>
      <c r="R752" s="46"/>
      <c r="S752" s="46"/>
      <c r="T752" s="46"/>
      <c r="U752" s="46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546"/>
      <c r="R753" s="46"/>
      <c r="S753" s="46"/>
      <c r="T753" s="46"/>
      <c r="U753" s="46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546"/>
      <c r="R754" s="46"/>
      <c r="S754" s="46"/>
      <c r="T754" s="46"/>
      <c r="U754" s="46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IFERROR(__xludf.DUMMYFUNCTION("IMPORTRANGE(""https://docs.google.com/spreadsheets/d/1eHaY18a8A9IcSdp1K8H6x8fbOy06t2VsZHhMHf-1x7Y/edit?usp=sharing"",""แผน!GD84"")"),20)</f>
        <v>20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546"/>
      <c r="R755" s="46"/>
      <c r="S755" s="46"/>
      <c r="T755" s="46"/>
      <c r="U755" s="46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546"/>
      <c r="R756" s="46"/>
      <c r="S756" s="46"/>
      <c r="T756" s="46"/>
      <c r="U756" s="46"/>
    </row>
    <row r="757" spans="1:21" ht="18.75" x14ac:dyDescent="0.25">
      <c r="A757" s="169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558"/>
      <c r="R757" s="136"/>
      <c r="S757" s="136"/>
      <c r="T757" s="136"/>
      <c r="U757" s="136"/>
    </row>
    <row r="758" spans="1:21" ht="19.5" hidden="1" x14ac:dyDescent="0.3">
      <c r="A758" s="456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552"/>
      <c r="R758" s="462"/>
      <c r="S758" s="462"/>
      <c r="T758" s="462"/>
      <c r="U758" s="462"/>
    </row>
    <row r="759" spans="1:21" ht="19.5" hidden="1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552"/>
      <c r="R759" s="462"/>
      <c r="S759" s="462"/>
      <c r="T759" s="462"/>
      <c r="U759" s="462"/>
    </row>
    <row r="760" spans="1:21" ht="19.5" hidden="1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550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5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548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548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5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548">
        <f ca="1">IFERROR(__xludf.DUMMYFUNCTION("IMPORTRANGE(""https://docs.google.com/spreadsheets/d/1ItG2mGa2ceCfYo0BwxsXqNm01IGEUdYcSSLTEv9YCik/edit?usp=sharing"",""เบิกจ่ายกองทุน!AA84"")"),0)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IFERROR(__xludf.DUMMYFUNCTION("IMPORTRANGE(""https://docs.google.com/spreadsheets/d/1ItG2mGa2ceCfYo0BwxsXqNm01IGEUdYcSSLTEv9YCik/edit?usp=sharing"",""เบิกจ่ายกองทุน!AB84"")"),0)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IFERROR(__xludf.DUMMYFUNCTION("IMPORTRANGE(""https://docs.google.com/spreadsheets/d/1ItG2mGa2ceCfYo0BwxsXqNm01IGEUdYcSSLTEv9YCik/edit?usp=sharing"",""เบิกจ่ายกองทุน!AC84"")"),0)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548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5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548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hidden="1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5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IFERROR(__xludf.DUMMYFUNCTION("IMPORTRANGE(""https://docs.google.com/spreadsheets/d/1eHaY18a8A9IcSdp1K8H6x8fbOy06t2VsZHhMHf-1x7Y/edit?usp=sharing"",""แผน!FI84"")"),0)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5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5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IFERROR(__xludf.DUMMYFUNCTION("IMPORTRANGE(""https://docs.google.com/spreadsheets/d/1eHaY18a8A9IcSdp1K8H6x8fbOy06t2VsZHhMHf-1x7Y/edit?usp=sharing"",""แผน!FQ84"")"),0)</f>
        <v>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5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5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IFERROR(__xludf.DUMMYFUNCTION("IMPORTRANGE(""https://docs.google.com/spreadsheets/d/1eHaY18a8A9IcSdp1K8H6x8fbOy06t2VsZHhMHf-1x7Y/edit?usp=sharing"",""แผน!FR84"")"),0)</f>
        <v>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5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IFERROR(__xludf.DUMMYFUNCTION("IMPORTRANGE(""https://docs.google.com/spreadsheets/d/1eHaY18a8A9IcSdp1K8H6x8fbOy06t2VsZHhMHf-1x7Y/edit?usp=sharing"",""แผน!FS84"")"),0)</f>
        <v>0</v>
      </c>
      <c r="J775" s="167">
        <v>0</v>
      </c>
      <c r="K775" s="46"/>
      <c r="L775" s="546"/>
      <c r="M775" s="46"/>
      <c r="N775" s="46"/>
      <c r="O775" s="46"/>
      <c r="P775" s="46"/>
      <c r="Q775" s="5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IFERROR(__xludf.DUMMYFUNCTION("IMPORTRANGE(""https://docs.google.com/spreadsheets/d/1eHaY18a8A9IcSdp1K8H6x8fbOy06t2VsZHhMHf-1x7Y/edit?usp=sharing"",""แผน!FT84"")"),0)</f>
        <v>0</v>
      </c>
      <c r="J776" s="355">
        <v>0</v>
      </c>
      <c r="K776" s="4"/>
      <c r="L776" s="545"/>
      <c r="M776" s="4"/>
      <c r="N776" s="4"/>
      <c r="O776" s="4"/>
      <c r="P776" s="4"/>
      <c r="Q776" s="545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878"/>
      <c r="R777" s="877"/>
      <c r="S777" s="877"/>
      <c r="T777" s="877"/>
      <c r="U777" s="877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IFERROR(__xludf.DUMMYFUNCTION("IMPORTRANGE(""https://docs.google.com/spreadsheets/d/10OvvATaaLtwErnr3qtWFcTmtbfpFEt5Bsqel9sXx0uE/edit?usp=sharing"",""งานกองทุน!D84"")"),458739.33)</f>
        <v>458739.33</v>
      </c>
      <c r="J778" s="152">
        <f ca="1">IFERROR(__xludf.DUMMYFUNCTION("IMPORTRANGE(""https://docs.google.com/spreadsheets/d/10OvvATaaLtwErnr3qtWFcTmtbfpFEt5Bsqel9sXx0uE/edit?usp=sharing"",""งานกองทุน!F84"")"),261497.34)</f>
        <v>261497.34</v>
      </c>
      <c r="K778" s="47">
        <f ca="1">IF(I778&gt;0,J778*100/I778,0)</f>
        <v>57.003470794623169</v>
      </c>
      <c r="L778" s="46"/>
      <c r="M778" s="46"/>
      <c r="N778" s="46"/>
      <c r="O778" s="46"/>
      <c r="P778" s="46"/>
      <c r="Q778" s="5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IFERROR(__xludf.DUMMYFUNCTION("IMPORTRANGE(""https://docs.google.com/spreadsheets/d/10OvvATaaLtwErnr3qtWFcTmtbfpFEt5Bsqel9sXx0uE/edit?usp=sharing"",""งานกองทุน!C84"")"),46)</f>
        <v>46</v>
      </c>
      <c r="J779" s="152">
        <f ca="1">IFERROR(__xludf.DUMMYFUNCTION("IMPORTRANGE(""https://docs.google.com/spreadsheets/d/10OvvATaaLtwErnr3qtWFcTmtbfpFEt5Bsqel9sXx0uE/edit?usp=sharing"",""งานกองทุน!E84"")"),27)</f>
        <v>27</v>
      </c>
      <c r="K779" s="47">
        <f ca="1">IF(I779&gt;0,J779*100/I779,0)</f>
        <v>58.695652173913047</v>
      </c>
      <c r="L779" s="46"/>
      <c r="M779" s="46"/>
      <c r="N779" s="46"/>
      <c r="O779" s="46"/>
      <c r="P779" s="46"/>
      <c r="Q779" s="5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IFERROR(__xludf.DUMMYFUNCTION("IMPORTRANGE(""https://docs.google.com/spreadsheets/d/10OvvATaaLtwErnr3qtWFcTmtbfpFEt5Bsqel9sXx0uE/edit?usp=sharing"",""งานกองทุน!I84"")"),32247.44)</f>
        <v>32247.439999999999</v>
      </c>
      <c r="J780" s="152">
        <f ca="1">IFERROR(__xludf.DUMMYFUNCTION("IMPORTRANGE(""https://docs.google.com/spreadsheets/d/10OvvATaaLtwErnr3qtWFcTmtbfpFEt5Bsqel9sXx0uE/edit?usp=sharing"",""งานกองทุน!K84"")"),32247.44)</f>
        <v>32247.439999999999</v>
      </c>
      <c r="K780" s="47">
        <f ca="1">IF(I780&gt;0,J780*100/I780,0)</f>
        <v>100</v>
      </c>
      <c r="L780" s="46"/>
      <c r="M780" s="46"/>
      <c r="N780" s="46"/>
      <c r="O780" s="46"/>
      <c r="P780" s="46"/>
      <c r="Q780" s="5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IFERROR(__xludf.DUMMYFUNCTION("IMPORTRANGE(""https://docs.google.com/spreadsheets/d/10OvvATaaLtwErnr3qtWFcTmtbfpFEt5Bsqel9sXx0uE/edit?usp=sharing"",""งานกองทุน!H84"")"),3)</f>
        <v>3</v>
      </c>
      <c r="J781" s="152">
        <f ca="1">IFERROR(__xludf.DUMMYFUNCTION("IMPORTRANGE(""https://docs.google.com/spreadsheets/d/10OvvATaaLtwErnr3qtWFcTmtbfpFEt5Bsqel9sXx0uE/edit?usp=sharing"",""งานกองทุน!J84"")"),3)</f>
        <v>3</v>
      </c>
      <c r="K781" s="47">
        <f ca="1">IF(I781&gt;0,J781*100/I781,0)</f>
        <v>100</v>
      </c>
      <c r="L781" s="46"/>
      <c r="M781" s="46"/>
      <c r="N781" s="46"/>
      <c r="O781" s="46"/>
      <c r="P781" s="46"/>
      <c r="Q781" s="5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IFERROR(__xludf.DUMMYFUNCTION("IMPORTRANGE(""https://docs.google.com/spreadsheets/d/10OvvATaaLtwErnr3qtWFcTmtbfpFEt5Bsqel9sXx0uE/edit?usp=sharing"",""งานกองทุน!N84"")"),64187.59)</f>
        <v>64187.59</v>
      </c>
      <c r="J782" s="152">
        <f ca="1">IFERROR(__xludf.DUMMYFUNCTION("IMPORTRANGE(""https://docs.google.com/spreadsheets/d/10OvvATaaLtwErnr3qtWFcTmtbfpFEt5Bsqel9sXx0uE/edit?usp=sharing"",""งานกองทุน!P84"")"),24322.33)</f>
        <v>24322.33</v>
      </c>
      <c r="K782" s="47">
        <f ca="1">IF(I782&gt;0,J782*100/I782,0)</f>
        <v>37.89257393835787</v>
      </c>
      <c r="L782" s="46"/>
      <c r="M782" s="46"/>
      <c r="N782" s="46"/>
      <c r="O782" s="46"/>
      <c r="P782" s="46"/>
      <c r="Q782" s="5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IFERROR(__xludf.DUMMYFUNCTION("IMPORTRANGE(""https://docs.google.com/spreadsheets/d/10OvvATaaLtwErnr3qtWFcTmtbfpFEt5Bsqel9sXx0uE/edit?usp=sharing"",""งานกองทุน!M84"")"),149)</f>
        <v>149</v>
      </c>
      <c r="J783" s="152">
        <f ca="1">IFERROR(__xludf.DUMMYFUNCTION("IMPORTRANGE(""https://docs.google.com/spreadsheets/d/10OvvATaaLtwErnr3qtWFcTmtbfpFEt5Bsqel9sXx0uE/edit?usp=sharing"",""งานกองทุน!O84"")"),72)</f>
        <v>72</v>
      </c>
      <c r="K783" s="47">
        <f ca="1">IF(I783&gt;0,J783*100/I783,0)</f>
        <v>48.322147651006709</v>
      </c>
      <c r="L783" s="46"/>
      <c r="M783" s="46"/>
      <c r="N783" s="46"/>
      <c r="O783" s="46"/>
      <c r="P783" s="46"/>
      <c r="Q783" s="5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IFERROR(__xludf.DUMMYFUNCTION("IMPORTRANGE(""https://docs.google.com/spreadsheets/d/10OvvATaaLtwErnr3qtWFcTmtbfpFEt5Bsqel9sXx0uE/edit?usp=sharing"",""งานกองทุน!S84"")"),1372000)</f>
        <v>1372000</v>
      </c>
      <c r="J784" s="152">
        <f ca="1">IFERROR(__xludf.DUMMYFUNCTION("IMPORTRANGE(""https://docs.google.com/spreadsheets/d/10OvvATaaLtwErnr3qtWFcTmtbfpFEt5Bsqel9sXx0uE/edit?usp=sharing"",""งานกองทุน!U84"")"),1400000)</f>
        <v>1400000</v>
      </c>
      <c r="K784" s="47">
        <f ca="1">IF(I784&gt;0,J784*100/I784,0)</f>
        <v>102.04081632653062</v>
      </c>
      <c r="L784" s="46"/>
      <c r="M784" s="46"/>
      <c r="N784" s="46"/>
      <c r="O784" s="46"/>
      <c r="P784" s="46"/>
      <c r="Q784" s="5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IFERROR(__xludf.DUMMYFUNCTION("IMPORTRANGE(""https://docs.google.com/spreadsheets/d/10OvvATaaLtwErnr3qtWFcTmtbfpFEt5Bsqel9sXx0uE/edit?usp=sharing"",""งานกองทุน!R84"")"),49)</f>
        <v>49</v>
      </c>
      <c r="J785" s="197">
        <f ca="1">IFERROR(__xludf.DUMMYFUNCTION("IMPORTRANGE(""https://docs.google.com/spreadsheets/d/10OvvATaaLtwErnr3qtWFcTmtbfpFEt5Bsqel9sXx0uE/edit?usp=sharing"",""งานกองทุน!T84"")"),28)</f>
        <v>28</v>
      </c>
      <c r="K785" s="111">
        <f ca="1">IF(I785&gt;0,J785*100/I785,0)</f>
        <v>57.142857142857146</v>
      </c>
      <c r="L785" s="4"/>
      <c r="M785" s="4"/>
      <c r="N785" s="4"/>
      <c r="O785" s="4"/>
      <c r="P785" s="4"/>
      <c r="Q785" s="545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4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AE237-7ECD-45DD-A629-C122B7BAF6E3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7.5703125" bestFit="1" customWidth="1"/>
    <col min="10" max="10" width="15.8554687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 x14ac:dyDescent="0.3">
      <c r="A1" s="817" t="s">
        <v>0</v>
      </c>
      <c r="B1" s="817"/>
      <c r="C1" s="817"/>
      <c r="D1" s="817"/>
      <c r="E1" s="817"/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7"/>
      <c r="R1" s="817"/>
      <c r="S1" s="817"/>
      <c r="T1" s="817"/>
      <c r="U1" s="817"/>
    </row>
    <row r="2" spans="1:21" s="897" customFormat="1" ht="19.5" x14ac:dyDescent="0.3">
      <c r="A2" s="817" t="s">
        <v>325</v>
      </c>
      <c r="B2" s="817"/>
      <c r="C2" s="817"/>
      <c r="D2" s="817"/>
      <c r="E2" s="817"/>
      <c r="F2" s="817"/>
      <c r="G2" s="817"/>
      <c r="H2" s="817"/>
      <c r="I2" s="817"/>
      <c r="J2" s="817"/>
      <c r="K2" s="817"/>
      <c r="L2" s="817"/>
      <c r="M2" s="817"/>
      <c r="N2" s="817"/>
      <c r="O2" s="817"/>
      <c r="P2" s="817"/>
      <c r="Q2" s="817"/>
      <c r="R2" s="817"/>
      <c r="S2" s="817"/>
      <c r="T2" s="817"/>
      <c r="U2" s="817"/>
    </row>
    <row r="3" spans="1:21" ht="19.5" x14ac:dyDescent="0.3">
      <c r="A3" s="817" t="s">
        <v>332</v>
      </c>
      <c r="B3" s="817"/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  <c r="S3" s="817"/>
      <c r="T3" s="817"/>
      <c r="U3" s="817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816"/>
      <c r="L4" s="815" t="s">
        <v>2</v>
      </c>
      <c r="M4" s="518"/>
      <c r="N4" s="518"/>
      <c r="O4" s="518"/>
      <c r="P4" s="519"/>
      <c r="Q4" s="814" t="s">
        <v>3</v>
      </c>
      <c r="R4" s="518"/>
      <c r="S4" s="518"/>
      <c r="T4" s="518"/>
      <c r="U4" s="519"/>
    </row>
    <row r="5" spans="1:21" ht="19.5" x14ac:dyDescent="0.3">
      <c r="A5" s="813" t="s">
        <v>4</v>
      </c>
      <c r="B5" s="522"/>
      <c r="C5" s="522"/>
      <c r="D5" s="522"/>
      <c r="E5" s="522"/>
      <c r="F5" s="522"/>
      <c r="G5" s="535"/>
      <c r="H5" s="812" t="s">
        <v>5</v>
      </c>
      <c r="I5" s="527" t="s">
        <v>6</v>
      </c>
      <c r="J5" s="518"/>
      <c r="K5" s="519"/>
      <c r="L5" s="811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0"/>
      <c r="I6" s="7" t="s">
        <v>9</v>
      </c>
      <c r="J6" s="8" t="s">
        <v>10</v>
      </c>
      <c r="K6" s="7" t="s">
        <v>11</v>
      </c>
      <c r="L6" s="809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2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1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1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1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1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1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1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1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1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08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7">
        <f ca="1">L19+L20</f>
        <v>2965470</v>
      </c>
      <c r="M18" s="35">
        <f ca="1">M19+M20</f>
        <v>2989048</v>
      </c>
      <c r="N18" s="35">
        <f ca="1">N19+N20</f>
        <v>1362748.96</v>
      </c>
      <c r="O18" s="35">
        <f ca="1">IF(L18&gt;0,N18*100/L18,0)</f>
        <v>45.95389466088006</v>
      </c>
      <c r="P18" s="35">
        <f ca="1">IF(M18&gt;0,N18*100/M18,0)</f>
        <v>45.591404353493154</v>
      </c>
      <c r="Q18" s="35">
        <f ca="1">Q19+Q20</f>
        <v>1150425</v>
      </c>
      <c r="R18" s="35">
        <f ca="1">R19+R20</f>
        <v>1150425</v>
      </c>
      <c r="S18" s="35">
        <f ca="1">S19+S20</f>
        <v>169941.01</v>
      </c>
      <c r="T18" s="35">
        <f ca="1">IF(Q18&gt;0,S18*100/Q18,0)</f>
        <v>14.772019905687028</v>
      </c>
      <c r="U18" s="35">
        <f ca="1">IF(R18&gt;0,S18*100/R18,0)</f>
        <v>14.772019905687028</v>
      </c>
    </row>
    <row r="19" spans="1:21" ht="18.75" hidden="1" x14ac:dyDescent="0.25">
      <c r="A19" s="27"/>
      <c r="B19" s="28"/>
      <c r="C19" s="28"/>
      <c r="D19" s="28"/>
      <c r="E19" s="806" t="s">
        <v>20</v>
      </c>
      <c r="F19" s="28"/>
      <c r="G19" s="31"/>
      <c r="H19" s="805" t="s">
        <v>14</v>
      </c>
      <c r="I19" s="33"/>
      <c r="J19" s="33"/>
      <c r="K19" s="34"/>
      <c r="L19" s="804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3">
        <f ca="1">L23+L26</f>
        <v>2965470</v>
      </c>
      <c r="M20" s="39">
        <f ca="1">M23+M26</f>
        <v>2989048</v>
      </c>
      <c r="N20" s="39">
        <f ca="1">N23+N26</f>
        <v>1362748.96</v>
      </c>
      <c r="O20" s="39">
        <f ca="1">IF(L20&gt;0,N20*100/L20,0)</f>
        <v>45.95389466088006</v>
      </c>
      <c r="P20" s="39">
        <f ca="1">IF(M20&gt;0,N20*100/M20,0)</f>
        <v>45.591404353493154</v>
      </c>
      <c r="Q20" s="39">
        <f ca="1">Q23+Q26</f>
        <v>1150425</v>
      </c>
      <c r="R20" s="39">
        <f ca="1">R23+R26</f>
        <v>1150425</v>
      </c>
      <c r="S20" s="39">
        <f ca="1">S23+S26</f>
        <v>169941.01</v>
      </c>
      <c r="T20" s="39">
        <f ca="1">IF(Q20&gt;0,S20*100/Q20,0)</f>
        <v>14.772019905687028</v>
      </c>
      <c r="U20" s="39">
        <f ca="1">IF(R20&gt;0,S20*100/R20,0)</f>
        <v>14.772019905687028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2073970</v>
      </c>
      <c r="M21" s="47">
        <f ca="1">M22+M23</f>
        <v>2097548</v>
      </c>
      <c r="N21" s="47">
        <f ca="1">N22+N23</f>
        <v>1321248.96</v>
      </c>
      <c r="O21" s="47">
        <f ca="1">IF(L21&gt;0,N21*100/L21,0)</f>
        <v>63.706271546840121</v>
      </c>
      <c r="P21" s="47">
        <f ca="1">IF(M21&gt;0,N21*100/M21,0)</f>
        <v>62.990165660094547</v>
      </c>
      <c r="Q21" s="47">
        <f ca="1">Q22+Q23</f>
        <v>1150425</v>
      </c>
      <c r="R21" s="47">
        <f ca="1">R22+R23</f>
        <v>1150425</v>
      </c>
      <c r="S21" s="47">
        <f ca="1">S22+S23</f>
        <v>169941.01</v>
      </c>
      <c r="T21" s="47">
        <f ca="1">IF(Q21&gt;0,S21*100/Q21,0)</f>
        <v>14.772019905687028</v>
      </c>
      <c r="U21" s="47">
        <f ca="1">IF(R21&gt;0,S21*100/R21,0)</f>
        <v>14.772019905687028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L49+L64+L77+L99+L130+L144+L162+L191+L178+L271+L287+L308+L325+L338+L361+L518</f>
        <v>2073970</v>
      </c>
      <c r="M23" s="47">
        <f ca="1">M49+M64+M77+M99+M130+M144+M162+M191+M178+M271+M287+M308+M325+M338+M361+M518</f>
        <v>2097548</v>
      </c>
      <c r="N23" s="47">
        <f ca="1">N49+N64+N77+N99+N130+N144+N162+N191+N178+N271+N287+N308+N325+N338+N361+N518</f>
        <v>1321248.96</v>
      </c>
      <c r="O23" s="47">
        <f ca="1">IF(L23&gt;0,N23*100/L23,0)</f>
        <v>63.706271546840121</v>
      </c>
      <c r="P23" s="47">
        <f ca="1">IF(M23&gt;0,N23*100/M23,0)</f>
        <v>62.990165660094547</v>
      </c>
      <c r="Q23" s="47">
        <f ca="1">Q77+Q99+Q122+Q144+Q162+Q178+Q191+Q271+Q287+Q308+Q338+Q380+Q397+Q418+Q498+Q604+Q621+Q647+Q695+Q719+Q733+Q765</f>
        <v>1150425</v>
      </c>
      <c r="R23" s="47">
        <f ca="1">R77+R99+R122+R144+R162+R178+R191+R271+R287+R308+R338+R380+R397+R418+R498+R604+R621+R647+R695+R719+R733+R765</f>
        <v>1150425</v>
      </c>
      <c r="S23" s="47">
        <f ca="1">S77+S99+S122+S144+S162+S178+S191+S271+S287+S308+S338+S380+S397+S418+S498+S604+S621+S647+S695+S719+S733+S765</f>
        <v>169941.01</v>
      </c>
      <c r="T23" s="47">
        <f ca="1">IF(Q23&gt;0,S23*100/Q23,0)</f>
        <v>14.772019905687028</v>
      </c>
      <c r="U23" s="47">
        <f ca="1">IF(R23&gt;0,S23*100/R23,0)</f>
        <v>14.772019905687028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891500</v>
      </c>
      <c r="M24" s="47">
        <f ca="1">M25+M26</f>
        <v>891500</v>
      </c>
      <c r="N24" s="47">
        <f ca="1">N25+N26</f>
        <v>41500</v>
      </c>
      <c r="O24" s="47">
        <f ca="1">IF(L24&gt;0,N24*100/L24,0)</f>
        <v>4.655075715086932</v>
      </c>
      <c r="P24" s="47">
        <f ca="1">IF(M24&gt;0,N24*100/M24,0)</f>
        <v>4.655075715086932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L52+L67+L80+L102+L133+L147+L165+L194+L181+L274+L290+L311+L328+L341+L364+L521</f>
        <v>891500</v>
      </c>
      <c r="M26" s="47">
        <f ca="1">M52+M67+M80+M102+M133+M147+M165+M194+M181+M274+M290+M311+M328+M341+M364+M521</f>
        <v>891500</v>
      </c>
      <c r="N26" s="47">
        <f ca="1">N52+N67+N80+N102+N133+N147+N165+N194+N181+N274+N290+N311+N328+N341+N364+N521</f>
        <v>41500</v>
      </c>
      <c r="O26" s="47">
        <f ca="1">IF(L26&gt;0,N26*100/L26,0)</f>
        <v>4.655075715086932</v>
      </c>
      <c r="P26" s="47">
        <f ca="1">IF(M26&gt;0,N26*100/M26,0)</f>
        <v>4.655075715086932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2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1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1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1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1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1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1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1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1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1">
        <f ca="1">L44+L59+L72+L94+L125+L139+L157+L173+L186+L266+L282+L303+L320+L333+L356</f>
        <v>2965470</v>
      </c>
      <c r="M40" s="800">
        <f ca="1">M44+M59+M72+M94+M125+M139+M157+M173+M186+M266+M282+M303+M320+M333+M356</f>
        <v>2989048</v>
      </c>
      <c r="N40" s="800">
        <f ca="1">N44+N59+N72+N94+N125+N139+N157+N173+N186+N266+N282+N303+N320+N333+N356</f>
        <v>1362748.96</v>
      </c>
      <c r="O40" s="800">
        <f ca="1">IF(L40&gt;0,N40*100/L40,0)</f>
        <v>45.95389466088006</v>
      </c>
      <c r="P40" s="800">
        <f ca="1">IF(M40&gt;0,N40*100/M40,0)</f>
        <v>45.591404353493154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99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1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212200</v>
      </c>
      <c r="M44" s="79">
        <f ca="1">M45+M46</f>
        <v>216218</v>
      </c>
      <c r="N44" s="79">
        <f ca="1">N45+N46</f>
        <v>119676</v>
      </c>
      <c r="O44" s="79">
        <f ca="1">IF(L44&gt;0,N44*100/L44,0)</f>
        <v>56.397737983034872</v>
      </c>
      <c r="P44" s="79">
        <f ca="1">IF(M44&gt;0,N44*100/M44,0)</f>
        <v>55.349693365029736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212200</v>
      </c>
      <c r="M46" s="83">
        <f ca="1">M49+M52</f>
        <v>216218</v>
      </c>
      <c r="N46" s="83">
        <f ca="1">N49+N52</f>
        <v>119676</v>
      </c>
      <c r="O46" s="83">
        <f ca="1">IF(L46&gt;0,N46*100/L46,0)</f>
        <v>56.397737983034872</v>
      </c>
      <c r="P46" s="83">
        <f ca="1">IF(M46&gt;0,N46*100/M46,0)</f>
        <v>55.349693365029736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212200</v>
      </c>
      <c r="M47" s="47">
        <f ca="1">M48+M49</f>
        <v>216218</v>
      </c>
      <c r="N47" s="47">
        <f ca="1">N48+N49</f>
        <v>119676</v>
      </c>
      <c r="O47" s="47">
        <f ca="1">IF(L47&gt;0,N47*100/L47,0)</f>
        <v>56.397737983034872</v>
      </c>
      <c r="P47" s="47">
        <f ca="1">IF(M47&gt;0,N47*100/M47,0)</f>
        <v>55.349693365029736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IFERROR(__xludf.DUMMYFUNCTION("IMPORTRANGE(""https://docs.google.com/spreadsheets/d/1-uDff_7J0KD5mKrp0Vvzr7lt3OU09vwQwhkpOPPYv2Y/edit?usp=sharing"",""งบพรบ!P85"")"),212200)</f>
        <v>212200</v>
      </c>
      <c r="M49" s="47">
        <f ca="1">IFERROR(__xludf.DUMMYFUNCTION("IMPORTRANGE(""https://docs.google.com/spreadsheets/d/1-uDff_7J0KD5mKrp0Vvzr7lt3OU09vwQwhkpOPPYv2Y/edit?usp=sharing"",""งบพรบ!V85"")"),216218)</f>
        <v>216218</v>
      </c>
      <c r="N49" s="47">
        <f ca="1">IFERROR(__xludf.DUMMYFUNCTION("IMPORTRANGE(""https://docs.google.com/spreadsheets/d/1-uDff_7J0KD5mKrp0Vvzr7lt3OU09vwQwhkpOPPYv2Y/edit?usp=sharing"",""งบพรบ!Y85"")"),119676)</f>
        <v>119676</v>
      </c>
      <c r="O49" s="47">
        <f ca="1">IF(L49&gt;0,N49*100/L49,0)</f>
        <v>56.397737983034872</v>
      </c>
      <c r="P49" s="47">
        <f ca="1">IF(M49&gt;0,N49*100/M49,0)</f>
        <v>55.349693365029736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IFERROR(__xludf.DUMMYFUNCTION("IMPORTRANGE(""https://docs.google.com/spreadsheets/d/1-uDff_7J0KD5mKrp0Vvzr7lt3OU09vwQwhkpOPPYv2Y/edit?usp=sharing"",""งบพรบ!S85"")"),0)</f>
        <v>0</v>
      </c>
      <c r="M52" s="47">
        <f ca="1">IFERROR(__xludf.DUMMYFUNCTION("IMPORTRANGE(""https://docs.google.com/spreadsheets/d/1-uDff_7J0KD5mKrp0Vvzr7lt3OU09vwQwhkpOPPYv2Y/edit?usp=sharing"",""งบพรบ!W85"")"),0)</f>
        <v>0</v>
      </c>
      <c r="N52" s="47">
        <f ca="1">IFERROR(__xludf.DUMMYFUNCTION("IMPORTRANGE(""https://docs.google.com/spreadsheets/d/1-uDff_7J0KD5mKrp0Vvzr7lt3OU09vwQwhkpOPPYv2Y/edit?usp=sharing"",""งบพรบ!Z85"")"),0)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690800</v>
      </c>
      <c r="M59" s="106">
        <f ca="1">M60+M61</f>
        <v>699800</v>
      </c>
      <c r="N59" s="106">
        <f ca="1">N60+N61</f>
        <v>479656.81</v>
      </c>
      <c r="O59" s="106">
        <f ca="1">IF(L59&gt;0,N59*100/L59,0)</f>
        <v>69.434975390851193</v>
      </c>
      <c r="P59" s="106">
        <f ca="1">IF(M59&gt;0,N59*100/M59,0)</f>
        <v>68.541984852815091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690800</v>
      </c>
      <c r="M61" s="109">
        <f ca="1">M64+M67</f>
        <v>699800</v>
      </c>
      <c r="N61" s="109">
        <f ca="1">N64+N67</f>
        <v>479656.81</v>
      </c>
      <c r="O61" s="109">
        <f ca="1">IF(L61&gt;0,N61*100/L61,0)</f>
        <v>69.434975390851193</v>
      </c>
      <c r="P61" s="109">
        <f ca="1">IF(M61&gt;0,N61*100/M61,0)</f>
        <v>68.541984852815091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649300</v>
      </c>
      <c r="M62" s="47">
        <f ca="1">M63+M64</f>
        <v>658300</v>
      </c>
      <c r="N62" s="47">
        <f ca="1">N63+N64</f>
        <v>438156.81</v>
      </c>
      <c r="O62" s="47">
        <f ca="1">IF(L62&gt;0,N62*100/L62,0)</f>
        <v>67.48141229015863</v>
      </c>
      <c r="P62" s="47">
        <f ca="1">IF(M62&gt;0,N62*100/M62,0)</f>
        <v>66.558834877715327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IFERROR(__xludf.DUMMYFUNCTION("IMPORTRANGE(""https://docs.google.com/spreadsheets/d/1-uDff_7J0KD5mKrp0Vvzr7lt3OU09vwQwhkpOPPYv2Y/edit?usp=sharing"",""งบพรบ!AC85"")"),649300)</f>
        <v>649300</v>
      </c>
      <c r="M64" s="47">
        <f ca="1">IFERROR(__xludf.DUMMYFUNCTION("IMPORTRANGE(""https://docs.google.com/spreadsheets/d/1-uDff_7J0KD5mKrp0Vvzr7lt3OU09vwQwhkpOPPYv2Y/edit?usp=sharing"",""งบพรบ!AH85"")"),658300)</f>
        <v>658300</v>
      </c>
      <c r="N64" s="47">
        <f ca="1">IFERROR(__xludf.DUMMYFUNCTION("IMPORTRANGE(""https://docs.google.com/spreadsheets/d/1-uDff_7J0KD5mKrp0Vvzr7lt3OU09vwQwhkpOPPYv2Y/edit?usp=sharing"",""งบพรบ!AJ85"")"),438156.81)</f>
        <v>438156.81</v>
      </c>
      <c r="O64" s="47">
        <f ca="1">IF(L64&gt;0,N64*100/L64,0)</f>
        <v>67.48141229015863</v>
      </c>
      <c r="P64" s="47">
        <f ca="1">IF(M64&gt;0,N64*100/M64,0)</f>
        <v>66.558834877715327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41500</v>
      </c>
      <c r="M65" s="47">
        <f ca="1">M66+M67</f>
        <v>41500</v>
      </c>
      <c r="N65" s="47">
        <f ca="1">N66+N67</f>
        <v>41500</v>
      </c>
      <c r="O65" s="47">
        <f ca="1">IF(L65&gt;0,N65*100/L65,0)</f>
        <v>100</v>
      </c>
      <c r="P65" s="47">
        <f ca="1">IF(M65&gt;0,N65*100/M65,0)</f>
        <v>100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IFERROR(__xludf.DUMMYFUNCTION("IMPORTRANGE(""https://docs.google.com/spreadsheets/d/1-uDff_7J0KD5mKrp0Vvzr7lt3OU09vwQwhkpOPPYv2Y/edit?usp=sharing"",""งบพรบ!AF85"")"),41500)</f>
        <v>41500</v>
      </c>
      <c r="M67" s="111">
        <f ca="1">IFERROR(__xludf.DUMMYFUNCTION("IMPORTRANGE(""https://docs.google.com/spreadsheets/d/1-uDff_7J0KD5mKrp0Vvzr7lt3OU09vwQwhkpOPPYv2Y/edit?usp=sharing"",""งบพรบ!AI85"")"),41500)</f>
        <v>41500</v>
      </c>
      <c r="N67" s="111">
        <f ca="1">IFERROR(__xludf.DUMMYFUNCTION("IMPORTRANGE(""https://docs.google.com/spreadsheets/d/1-uDff_7J0KD5mKrp0Vvzr7lt3OU09vwQwhkpOPPYv2Y/edit?usp=sharing"",""งบพรบ!AK85"")"),41500)</f>
        <v>41500</v>
      </c>
      <c r="O67" s="111">
        <f ca="1">IF(L67&gt;0,N67*100/L67,0)</f>
        <v>100</v>
      </c>
      <c r="P67" s="111">
        <f ca="1">IF(M67&gt;0,N67*100/M67,0)</f>
        <v>100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0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IFERROR(__xludf.DUMMYFUNCTION("IMPORTRANGE(""https://docs.google.com/spreadsheets/d/1-uDff_7J0KD5mKrp0Vvzr7lt3OU09vwQwhkpOPPYv2Y/edit?usp=sharing"",""งบพรบ!AM85"")"),0)</f>
        <v>0</v>
      </c>
      <c r="M77" s="47">
        <f ca="1">IFERROR(__xludf.DUMMYFUNCTION("IMPORTRANGE(""https://docs.google.com/spreadsheets/d/1-uDff_7J0KD5mKrp0Vvzr7lt3OU09vwQwhkpOPPYv2Y/edit?usp=sharing"",""งบพรบ!AR85"")"),0)</f>
        <v>0</v>
      </c>
      <c r="N77" s="47">
        <f ca="1">IFERROR(__xludf.DUMMYFUNCTION("IMPORTRANGE(""https://docs.google.com/spreadsheets/d/1-uDff_7J0KD5mKrp0Vvzr7lt3OU09vwQwhkpOPPYv2Y/edit?usp=sharing"",""งบพรบ!AT85"")"),0)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IFERROR(__xludf.DUMMYFUNCTION("IMPORTRANGE(""https://docs.google.com/spreadsheets/d/1ItG2mGa2ceCfYo0BwxsXqNm01IGEUdYcSSLTEv9YCik/edit?usp=sharing"",""เบิกจ่ายกองทุน!BH85"")"),0)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IFERROR(__xludf.DUMMYFUNCTION("IMPORTRANGE(""https://docs.google.com/spreadsheets/d/1ItG2mGa2ceCfYo0BwxsXqNm01IGEUdYcSSLTEv9YCik/edit?usp=sharing"",""เบิกจ่ายกองทุน!BI85"")"),0)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IFERROR(__xludf.DUMMYFUNCTION("IMPORTRANGE(""https://docs.google.com/spreadsheets/d/1ItG2mGa2ceCfYo0BwxsXqNm01IGEUdYcSSLTEv9YCik/edit?usp=sharing"",""เบิกจ่ายกองทุน!BJ85"")"),0)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IFERROR(__xludf.DUMMYFUNCTION("IMPORTRANGE(""https://docs.google.com/spreadsheets/d/1-uDff_7J0KD5mKrp0Vvzr7lt3OU09vwQwhkpOPPYv2Y/edit?usp=sharing"",""งบพรบ!AP85"")"),0)</f>
        <v>0</v>
      </c>
      <c r="M80" s="47">
        <f ca="1">IFERROR(__xludf.DUMMYFUNCTION("IMPORTRANGE(""https://docs.google.com/spreadsheets/d/1-uDff_7J0KD5mKrp0Vvzr7lt3OU09vwQwhkpOPPYv2Y/edit?usp=sharing"",""งบพรบ!AS85"")"),0)</f>
        <v>0</v>
      </c>
      <c r="N80" s="47">
        <f ca="1">IFERROR(__xludf.DUMMYFUNCTION("IMPORTRANGE(""https://docs.google.com/spreadsheets/d/1-uDff_7J0KD5mKrp0Vvzr7lt3OU09vwQwhkpOPPYv2Y/edit?usp=sharing"",""งบพรบ!AU85"")"),0)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IFERROR(__xludf.DUMMYFUNCTION("IMPORTRANGE(""https://docs.google.com/spreadsheets/d/1ItG2mGa2ceCfYo0BwxsXqNm01IGEUdYcSSLTEv9YCik/edit?usp=sharing"",""เบิกจ่ายกองทุน!BK85"")"),0)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IFERROR(__xludf.DUMMYFUNCTION("IMPORTRANGE(""https://docs.google.com/spreadsheets/d/1ItG2mGa2ceCfYo0BwxsXqNm01IGEUdYcSSLTEv9YCik/edit?usp=sharing"",""เบิกจ่ายกองทุน!BL85"")"),0)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IFERROR(__xludf.DUMMYFUNCTION("IMPORTRANGE(""https://docs.google.com/spreadsheets/d/1ItG2mGa2ceCfYo0BwxsXqNm01IGEUdYcSSLTEv9YCik/edit?usp=sharing"",""เบิกจ่ายกองทุน!BM85"")"),0)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IFERROR(__xludf.DUMMYFUNCTION("IMPORTRANGE(""https://docs.google.com/spreadsheets/d/1eHaY18a8A9IcSdp1K8H6x8fbOy06t2VsZHhMHf-1x7Y/edit?usp=sharing"",""แผน!H85"")"),0)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IFERROR(__xludf.DUMMYFUNCTION("IMPORTRANGE(""https://docs.google.com/spreadsheets/d/1eHaY18a8A9IcSdp1K8H6x8fbOy06t2VsZHhMHf-1x7Y/edit?usp=sharing"",""แผน!I85"")"),0)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IFERROR(__xludf.DUMMYFUNCTION("IMPORTRANGE(""https://docs.google.com/spreadsheets/d/1eHaY18a8A9IcSdp1K8H6x8fbOy06t2VsZHhMHf-1x7Y/edit?usp=sharing"",""แผน!F85"")"),0)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IFERROR(__xludf.DUMMYFUNCTION("IMPORTRANGE(""https://docs.google.com/spreadsheets/d/1eHaY18a8A9IcSdp1K8H6x8fbOy06t2VsZHhMHf-1x7Y/edit?usp=sharing"",""แผน!G85"")"),0)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IFERROR(__xludf.DUMMYFUNCTION("IMPORTRANGE(""https://docs.google.com/spreadsheets/d/1eHaY18a8A9IcSdp1K8H6x8fbOy06t2VsZHhMHf-1x7Y/edit?usp=sharing"",""แผน!D85"")"),0)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IFERROR(__xludf.DUMMYFUNCTION("IMPORTRANGE(""https://docs.google.com/spreadsheets/d/1eHaY18a8A9IcSdp1K8H6x8fbOy06t2VsZHhMHf-1x7Y/edit?usp=sharing"",""แผน!E85"")"),0)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IFERROR(__xludf.DUMMYFUNCTION("IMPORTRANGE(""https://docs.google.com/spreadsheets/d/1eHaY18a8A9IcSdp1K8H6x8fbOy06t2VsZHhMHf-1x7Y/edit?usp=sharing"",""แผน!J85"")"),0)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0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IFERROR(__xludf.DUMMYFUNCTION("IMPORTRANGE(""https://docs.google.com/spreadsheets/d/1-uDff_7J0KD5mKrp0Vvzr7lt3OU09vwQwhkpOPPYv2Y/edit?usp=sharing"",""งบพรบ!AW85"")"),0)</f>
        <v>0</v>
      </c>
      <c r="M99" s="47">
        <f ca="1">IFERROR(__xludf.DUMMYFUNCTION("IMPORTRANGE(""https://docs.google.com/spreadsheets/d/1-uDff_7J0KD5mKrp0Vvzr7lt3OU09vwQwhkpOPPYv2Y/edit?usp=sharing"",""งบพรบ!BB85"")"),0)</f>
        <v>0</v>
      </c>
      <c r="N99" s="47">
        <f ca="1">IFERROR(__xludf.DUMMYFUNCTION("IMPORTRANGE(""https://docs.google.com/spreadsheets/d/1-uDff_7J0KD5mKrp0Vvzr7lt3OU09vwQwhkpOPPYv2Y/edit?usp=sharing"",""งบพรบ!BD85"")"),0)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IFERROR(__xludf.DUMMYFUNCTION("IMPORTRANGE(""https://docs.google.com/spreadsheets/d/1ItG2mGa2ceCfYo0BwxsXqNm01IGEUdYcSSLTEv9YCik/edit?usp=sharing"",""เบิกจ่ายกองทุน!AJ85"")"),0)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IFERROR(__xludf.DUMMYFUNCTION("IMPORTRANGE(""https://docs.google.com/spreadsheets/d/1ItG2mGa2ceCfYo0BwxsXqNm01IGEUdYcSSLTEv9YCik/edit?usp=sharing"",""เบิกจ่ายกองทุน!AK85"")"),0)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IFERROR(__xludf.DUMMYFUNCTION("IMPORTRANGE(""https://docs.google.com/spreadsheets/d/1ItG2mGa2ceCfYo0BwxsXqNm01IGEUdYcSSLTEv9YCik/edit?usp=sharing"",""เบิกจ่ายกองทุน!AL85"")"),0)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IFERROR(__xludf.DUMMYFUNCTION("IMPORTRANGE(""https://docs.google.com/spreadsheets/d/1-uDff_7J0KD5mKrp0Vvzr7lt3OU09vwQwhkpOPPYv2Y/edit?usp=sharing"",""งบพรบ!AZ85"")"),0)</f>
        <v>0</v>
      </c>
      <c r="M102" s="47">
        <f ca="1">IFERROR(__xludf.DUMMYFUNCTION("IMPORTRANGE(""https://docs.google.com/spreadsheets/d/1-uDff_7J0KD5mKrp0Vvzr7lt3OU09vwQwhkpOPPYv2Y/edit?usp=sharing"",""งบพรบ!BC85"")"),0)</f>
        <v>0</v>
      </c>
      <c r="N102" s="47">
        <f ca="1">IFERROR(__xludf.DUMMYFUNCTION("IMPORTRANGE(""https://docs.google.com/spreadsheets/d/1-uDff_7J0KD5mKrp0Vvzr7lt3OU09vwQwhkpOPPYv2Y/edit?usp=sharing"",""งบพรบ!BE85"")"),0)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1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1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1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IFERROR(__xludf.DUMMYFUNCTION("IMPORTRANGE(""https://docs.google.com/spreadsheets/d/1eHaY18a8A9IcSdp1K8H6x8fbOy06t2VsZHhMHf-1x7Y/edit?usp=sharing"",""แผน!N85"")"),0)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IFERROR(__xludf.DUMMYFUNCTION("IMPORTRANGE(""https://docs.google.com/spreadsheets/d/1eHaY18a8A9IcSdp1K8H6x8fbOy06t2VsZHhMHf-1x7Y/edit?usp=sharing"",""แผน!O85"")"),0)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1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1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1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1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IFERROR(__xludf.DUMMYFUNCTION("IMPORTRANGE(""https://docs.google.com/spreadsheets/d/1eHaY18a8A9IcSdp1K8H6x8fbOy06t2VsZHhMHf-1x7Y/edit?usp=sharing"",""แผน!R85"")"),0)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8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9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65316</v>
      </c>
      <c r="T117" s="132">
        <f ca="1">IF(Q117&gt;0,S117*100/Q117,0)</f>
        <v>34.114697586963331</v>
      </c>
      <c r="U117" s="132">
        <f ca="1">IF(R117&gt;0,S117*100/R117,0)</f>
        <v>34.114697586963331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191460</v>
      </c>
      <c r="R119" s="47">
        <f ca="1">R122+R125</f>
        <v>191460</v>
      </c>
      <c r="S119" s="47">
        <f ca="1">S122+S125</f>
        <v>65316</v>
      </c>
      <c r="T119" s="47">
        <f ca="1">IF(Q119&gt;0,S119*100/Q119,0)</f>
        <v>34.114697586963331</v>
      </c>
      <c r="U119" s="47">
        <f ca="1">IF(R119&gt;0,S119*100/R119,0)</f>
        <v>34.114697586963331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65316</v>
      </c>
      <c r="T120" s="47">
        <f ca="1">IF(Q120&gt;0,S120*100/Q120,0)</f>
        <v>34.114697586963331</v>
      </c>
      <c r="U120" s="47">
        <f ca="1">IF(R120&gt;0,S120*100/R120,0)</f>
        <v>34.114697586963331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IFERROR(__xludf.DUMMYFUNCTION("IMPORTRANGE(""https://docs.google.com/spreadsheets/d/1-uDff_7J0KD5mKrp0Vvzr7lt3OU09vwQwhkpOPPYv2Y/edit?usp=sharing"",""งบพรบ!BG85"")"),0)</f>
        <v>0</v>
      </c>
      <c r="M122" s="47">
        <f ca="1">IFERROR(__xludf.DUMMYFUNCTION("IMPORTRANGE(""https://docs.google.com/spreadsheets/d/1-uDff_7J0KD5mKrp0Vvzr7lt3OU09vwQwhkpOPPYv2Y/edit?usp=sharing"",""งบพรบ!BL85"")"),0)</f>
        <v>0</v>
      </c>
      <c r="N122" s="47">
        <f ca="1">IFERROR(__xludf.DUMMYFUNCTION("IMPORTRANGE(""https://docs.google.com/spreadsheets/d/1-uDff_7J0KD5mKrp0Vvzr7lt3OU09vwQwhkpOPPYv2Y/edit?usp=sharing"",""งบพรบ!BN85"")"),0)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IFERROR(__xludf.DUMMYFUNCTION("IMPORTRANGE(""https://docs.google.com/spreadsheets/d/1ItG2mGa2ceCfYo0BwxsXqNm01IGEUdYcSSLTEv9YCik/edit?usp=sharing"",""เบิกจ่ายกองทุน!U85"")"),191460)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IFERROR(__xludf.DUMMYFUNCTION("IMPORTRANGE(""https://docs.google.com/spreadsheets/d/1ItG2mGa2ceCfYo0BwxsXqNm01IGEUdYcSSLTEv9YCik/edit?usp=sharing"",""เบิกจ่ายกองทุน!V85"")"),191460)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IFERROR(__xludf.DUMMYFUNCTION("IMPORTRANGE(""https://docs.google.com/spreadsheets/d/1ItG2mGa2ceCfYo0BwxsXqNm01IGEUdYcSSLTEv9YCik/edit?usp=sharing"",""เบิกจ่ายกองทุน!W85"")"),65316)</f>
        <v>65316</v>
      </c>
      <c r="T122" s="47">
        <f ca="1">IF(Q122&gt;0,S122*100/Q122,0)</f>
        <v>34.114697586963331</v>
      </c>
      <c r="U122" s="47">
        <f ca="1">IF(R122&gt;0,S122*100/R122,0)</f>
        <v>34.114697586963331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IFERROR(__xludf.DUMMYFUNCTION("IMPORTRANGE(""https://docs.google.com/spreadsheets/d/1-uDff_7J0KD5mKrp0Vvzr7lt3OU09vwQwhkpOPPYv2Y/edit?usp=sharing"",""งบพรบ!BJ85"")"),0)</f>
        <v>0</v>
      </c>
      <c r="M125" s="47">
        <f ca="1">IFERROR(__xludf.DUMMYFUNCTION("IMPORTRANGE(""https://docs.google.com/spreadsheets/d/1-uDff_7J0KD5mKrp0Vvzr7lt3OU09vwQwhkpOPPYv2Y/edit?usp=sharing"",""งบพรบ!BM85"")"),0)</f>
        <v>0</v>
      </c>
      <c r="N125" s="47">
        <f ca="1">IFERROR(__xludf.DUMMYFUNCTION("IMPORTRANGE(""https://docs.google.com/spreadsheets/d/1-uDff_7J0KD5mKrp0Vvzr7lt3OU09vwQwhkpOPPYv2Y/edit?usp=sharing"",""งบพรบ!BO85"")"),0)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IFERROR(__xludf.DUMMYFUNCTION("IMPORTRANGE(""https://docs.google.com/spreadsheets/d/1ItG2mGa2ceCfYo0BwxsXqNm01IGEUdYcSSLTEv9YCik/edit?usp=sharing"",""เบิกจ่ายกองทุน!X85"")"),0)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IFERROR(__xludf.DUMMYFUNCTION("IMPORTRANGE(""https://docs.google.com/spreadsheets/d/1ItG2mGa2ceCfYo0BwxsXqNm01IGEUdYcSSLTEv9YCik/edit?usp=sharing"",""เบิกจ่ายกองทุน!Y85"")"),0)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IFERROR(__xludf.DUMMYFUNCTION("IMPORTRANGE(""https://docs.google.com/spreadsheets/d/1ItG2mGa2ceCfYo0BwxsXqNm01IGEUdYcSSLTEv9YCik/edit?usp=sharing"",""เบิกจ่ายกองทุน!Z85"")"),0)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IFERROR(__xludf.DUMMYFUNCTION("IMPORTRANGE(""https://docs.google.com/spreadsheets/d/1eHaY18a8A9IcSdp1K8H6x8fbOy06t2VsZHhMHf-1x7Y/edit?usp=sharing"",""แผน!FF85"")"),15)</f>
        <v>15</v>
      </c>
      <c r="J127" s="167">
        <v>15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IFERROR(__xludf.DUMMYFUNCTION("IMPORTRANGE(""https://docs.google.com/spreadsheets/d/1eHaY18a8A9IcSdp1K8H6x8fbOy06t2VsZHhMHf-1x7Y/edit?usp=sharing"",""แผน!FG85"")"),0)</f>
        <v>0</v>
      </c>
      <c r="J128" s="167">
        <v>1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IFERROR(__xludf.DUMMYFUNCTION("IMPORTRANGE(""https://docs.google.com/spreadsheets/d/1eHaY18a8A9IcSdp1K8H6x8fbOy06t2VsZHhMHf-1x7Y/edit?usp=sharing"",""แผน!FH85"")"),15)</f>
        <v>15</v>
      </c>
      <c r="J129" s="167">
        <v>15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IFERROR(__xludf.DUMMYFUNCTION("IMPORTRANGE(""https://docs.google.com/spreadsheets/d/1eHaY18a8A9IcSdp1K8H6x8fbOy06t2VsZHhMHf-1x7Y/edit?usp=sharing"",""แผน!FI85"")"),0)</f>
        <v>0</v>
      </c>
      <c r="J130" s="167">
        <v>1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1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2</v>
      </c>
      <c r="J136" s="127">
        <f>J154</f>
        <v>0</v>
      </c>
      <c r="K136" s="35">
        <f ca="1">IF(I136&gt;0,J136*100/I136,0)</f>
        <v>0</v>
      </c>
      <c r="L136" s="58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30</v>
      </c>
      <c r="J137" s="127">
        <f>J152</f>
        <v>30</v>
      </c>
      <c r="K137" s="35">
        <f ca="1">IF(I137&gt;0,J137*100/I137,0)</f>
        <v>100</v>
      </c>
      <c r="L137" s="58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3</v>
      </c>
      <c r="J138" s="127">
        <f>J153</f>
        <v>3</v>
      </c>
      <c r="K138" s="35">
        <f ca="1">IF(I138&gt;0,J138*100/I138,0)</f>
        <v>100</v>
      </c>
      <c r="L138" s="58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59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66500</v>
      </c>
      <c r="M139" s="132">
        <f ca="1">M140+M141</f>
        <v>61500</v>
      </c>
      <c r="N139" s="132">
        <f ca="1">N140+N141</f>
        <v>53811</v>
      </c>
      <c r="O139" s="132">
        <f ca="1">IF(L139&gt;0,N139*100/L139,0)</f>
        <v>80.918796992481205</v>
      </c>
      <c r="P139" s="132">
        <f ca="1">IF(M139&gt;0,N139*100/M139,0)</f>
        <v>87.497560975609758</v>
      </c>
      <c r="Q139" s="132">
        <f ca="1">Q140+Q141</f>
        <v>304860</v>
      </c>
      <c r="R139" s="132">
        <f ca="1">R140+R141</f>
        <v>304860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66500</v>
      </c>
      <c r="M141" s="47">
        <f ca="1">M144+M147</f>
        <v>61500</v>
      </c>
      <c r="N141" s="47">
        <f ca="1">N144+N147</f>
        <v>53811</v>
      </c>
      <c r="O141" s="47">
        <f ca="1">IF(L141&gt;0,N141*100/L141,0)</f>
        <v>80.918796992481205</v>
      </c>
      <c r="P141" s="47">
        <f ca="1">IF(M141&gt;0,N141*100/M141,0)</f>
        <v>87.497560975609758</v>
      </c>
      <c r="Q141" s="47">
        <f ca="1">Q144+Q147</f>
        <v>304860</v>
      </c>
      <c r="R141" s="47">
        <f ca="1">R144+R147</f>
        <v>304860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66500</v>
      </c>
      <c r="M142" s="47">
        <f ca="1">M143+M144</f>
        <v>61500</v>
      </c>
      <c r="N142" s="47">
        <f ca="1">N143+N144</f>
        <v>53811</v>
      </c>
      <c r="O142" s="47">
        <f ca="1">IF(L142&gt;0,N142*100/L142,0)</f>
        <v>80.918796992481205</v>
      </c>
      <c r="P142" s="47">
        <f ca="1">IF(M142&gt;0,N142*100/M142,0)</f>
        <v>87.497560975609758</v>
      </c>
      <c r="Q142" s="47">
        <f ca="1">Q143+Q144</f>
        <v>304860</v>
      </c>
      <c r="R142" s="47">
        <f ca="1">R143+R144</f>
        <v>304860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IFERROR(__xludf.DUMMYFUNCTION("IMPORTRANGE(""https://docs.google.com/spreadsheets/d/1-uDff_7J0KD5mKrp0Vvzr7lt3OU09vwQwhkpOPPYv2Y/edit?usp=sharing"",""งบพรบ!BQ85"")"),66500)</f>
        <v>66500</v>
      </c>
      <c r="M144" s="47">
        <f ca="1">IFERROR(__xludf.DUMMYFUNCTION("IMPORTRANGE(""https://docs.google.com/spreadsheets/d/1-uDff_7J0KD5mKrp0Vvzr7lt3OU09vwQwhkpOPPYv2Y/edit?usp=sharing"",""งบพรบ!BV85"")"),61500)</f>
        <v>61500</v>
      </c>
      <c r="N144" s="47">
        <f ca="1">IFERROR(__xludf.DUMMYFUNCTION("IMPORTRANGE(""https://docs.google.com/spreadsheets/d/1-uDff_7J0KD5mKrp0Vvzr7lt3OU09vwQwhkpOPPYv2Y/edit?usp=sharing"",""งบพรบ!BX85"")"),53811)</f>
        <v>53811</v>
      </c>
      <c r="O144" s="47">
        <f ca="1">IF(L144&gt;0,N144*100/L144,0)</f>
        <v>80.918796992481205</v>
      </c>
      <c r="P144" s="47">
        <f ca="1">IF(M144&gt;0,N144*100/M144,0)</f>
        <v>87.497560975609758</v>
      </c>
      <c r="Q144" s="47">
        <f ca="1">IFERROR(__xludf.DUMMYFUNCTION("IMPORTRANGE(""https://docs.google.com/spreadsheets/d/1ItG2mGa2ceCfYo0BwxsXqNm01IGEUdYcSSLTEv9YCik/edit?usp=sharing"",""เบิกจ่ายกองทุน!CF85"")"),304860)</f>
        <v>304860</v>
      </c>
      <c r="R144" s="47">
        <f ca="1">IFERROR(__xludf.DUMMYFUNCTION("IMPORTRANGE(""https://docs.google.com/spreadsheets/d/1ItG2mGa2ceCfYo0BwxsXqNm01IGEUdYcSSLTEv9YCik/edit?usp=sharing"",""เบิกจ่ายกองทุน!CG85"")"),304860)</f>
        <v>304860</v>
      </c>
      <c r="S144" s="47">
        <f ca="1">IFERROR(__xludf.DUMMYFUNCTION("IMPORTRANGE(""https://docs.google.com/spreadsheets/d/1ItG2mGa2ceCfYo0BwxsXqNm01IGEUdYcSSLTEv9YCik/edit?usp=sharing"",""เบิกจ่ายกองทุน!CH85"")"),0)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IFERROR(__xludf.DUMMYFUNCTION("IMPORTRANGE(""https://docs.google.com/spreadsheets/d/1-uDff_7J0KD5mKrp0Vvzr7lt3OU09vwQwhkpOPPYv2Y/edit?usp=sharing"",""งบพรบ!BT85"")"),0)</f>
        <v>0</v>
      </c>
      <c r="M147" s="47">
        <f ca="1">IFERROR(__xludf.DUMMYFUNCTION("IMPORTRANGE(""https://docs.google.com/spreadsheets/d/1-uDff_7J0KD5mKrp0Vvzr7lt3OU09vwQwhkpOPPYv2Y/edit?usp=sharing"",""งบพรบ!BW85"")"),0)</f>
        <v>0</v>
      </c>
      <c r="N147" s="47">
        <f ca="1">IFERROR(__xludf.DUMMYFUNCTION("IMPORTRANGE(""https://docs.google.com/spreadsheets/d/1-uDff_7J0KD5mKrp0Vvzr7lt3OU09vwQwhkpOPPYv2Y/edit?usp=sharing"",""งบพรบ!BY85"")"),0)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IFERROR(__xludf.DUMMYFUNCTION("IMPORTRANGE(""https://docs.google.com/spreadsheets/d/1ItG2mGa2ceCfYo0BwxsXqNm01IGEUdYcSSLTEv9YCik/edit?usp=sharing"",""เบิกจ่ายกองทุน!CI85"")"),0)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IFERROR(__xludf.DUMMYFUNCTION("IMPORTRANGE(""https://docs.google.com/spreadsheets/d/1ItG2mGa2ceCfYo0BwxsXqNm01IGEUdYcSSLTEv9YCik/edit?usp=sharing"",""เบิกจ่ายกองทุน!CJ85"")"),0)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IFERROR(__xludf.DUMMYFUNCTION("IMPORTRANGE(""https://docs.google.com/spreadsheets/d/1ItG2mGa2ceCfYo0BwxsXqNm01IGEUdYcSSLTEv9YCik/edit?usp=sharing"",""เบิกจ่ายกองทุน!CK85"")"),0)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IFERROR(__xludf.DUMMYFUNCTION("IMPORTRANGE(""https://docs.google.com/spreadsheets/d/1eHaY18a8A9IcSdp1K8H6x8fbOy06t2VsZHhMHf-1x7Y/edit?usp=sharing"",""แผน!U85"")"),20)</f>
        <v>20</v>
      </c>
      <c r="J150" s="167">
        <v>20</v>
      </c>
      <c r="K150" s="47">
        <f ca="1">IF(I150&gt;0,J150*100/I150,0)</f>
        <v>100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IFERROR(__xludf.DUMMYFUNCTION("IMPORTRANGE(""https://docs.google.com/spreadsheets/d/1eHaY18a8A9IcSdp1K8H6x8fbOy06t2VsZHhMHf-1x7Y/edit?usp=sharing"",""แผน!V85"")"),2)</f>
        <v>2</v>
      </c>
      <c r="J151" s="167">
        <v>2</v>
      </c>
      <c r="K151" s="47">
        <f ca="1">IF(I151&gt;0,J151*100/I151,0)</f>
        <v>100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IFERROR(__xludf.DUMMYFUNCTION("IMPORTRANGE(""https://docs.google.com/spreadsheets/d/1eHaY18a8A9IcSdp1K8H6x8fbOy06t2VsZHhMHf-1x7Y/edit?usp=sharing"",""แผน!W85"")"),30)</f>
        <v>30</v>
      </c>
      <c r="J152" s="167">
        <v>30</v>
      </c>
      <c r="K152" s="47">
        <f ca="1">IF(I152&gt;0,J152*100/I152,0)</f>
        <v>100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IFERROR(__xludf.DUMMYFUNCTION("IMPORTRANGE(""https://docs.google.com/spreadsheets/d/1eHaY18a8A9IcSdp1K8H6x8fbOy06t2VsZHhMHf-1x7Y/edit?usp=sharing"",""แผน!X85"")"),3)</f>
        <v>3</v>
      </c>
      <c r="J153" s="167">
        <v>3</v>
      </c>
      <c r="K153" s="47">
        <f ca="1">IF(I153&gt;0,J153*100/I153,0)</f>
        <v>100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IFERROR(__xludf.DUMMYFUNCTION("IMPORTRANGE(""https://docs.google.com/spreadsheets/d/1eHaY18a8A9IcSdp1K8H6x8fbOy06t2VsZHhMHf-1x7Y/edit?usp=sharing"",""แผน!Y85"")"),2)</f>
        <v>2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IFERROR(__xludf.DUMMYFUNCTION("IMPORTRANGE(""https://docs.google.com/spreadsheets/d/1-uDff_7J0KD5mKrp0Vvzr7lt3OU09vwQwhkpOPPYv2Y/edit?usp=sharing"",""งบพรบ!CA85"")"),0)</f>
        <v>0</v>
      </c>
      <c r="M162" s="47">
        <f ca="1">IFERROR(__xludf.DUMMYFUNCTION("IMPORTRANGE(""https://docs.google.com/spreadsheets/d/1-uDff_7J0KD5mKrp0Vvzr7lt3OU09vwQwhkpOPPYv2Y/edit?usp=sharing"",""งบพรบ!CF85"")"),0)</f>
        <v>0</v>
      </c>
      <c r="N162" s="47">
        <f ca="1">IFERROR(__xludf.DUMMYFUNCTION("IMPORTRANGE(""https://docs.google.com/spreadsheets/d/1-uDff_7J0KD5mKrp0Vvzr7lt3OU09vwQwhkpOPPYv2Y/edit?usp=sharing"",""งบพรบ!CH85"")"),0)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IFERROR(__xludf.DUMMYFUNCTION("IMPORTRANGE(""https://docs.google.com/spreadsheets/d/1ItG2mGa2ceCfYo0BwxsXqNm01IGEUdYcSSLTEv9YCik/edit?usp=sharing"",""เบิกจ่ายกองทุน!AM85"")"),0)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IFERROR(__xludf.DUMMYFUNCTION("IMPORTRANGE(""https://docs.google.com/spreadsheets/d/1ItG2mGa2ceCfYo0BwxsXqNm01IGEUdYcSSLTEv9YCik/edit?usp=sharing"",""เบิกจ่ายกองทุน!AN85"")"),0)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IFERROR(__xludf.DUMMYFUNCTION("IMPORTRANGE(""https://docs.google.com/spreadsheets/d/1ItG2mGa2ceCfYo0BwxsXqNm01IGEUdYcSSLTEv9YCik/edit?usp=sharing"",""เบิกจ่ายกองทุน!AO85"")"),0)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IFERROR(__xludf.DUMMYFUNCTION("IMPORTRANGE(""https://docs.google.com/spreadsheets/d/1-uDff_7J0KD5mKrp0Vvzr7lt3OU09vwQwhkpOPPYv2Y/edit?usp=sharing"",""งบพรบ!CD85"")"),0)</f>
        <v>0</v>
      </c>
      <c r="M165" s="47">
        <f ca="1">IFERROR(__xludf.DUMMYFUNCTION("IMPORTRANGE(""https://docs.google.com/spreadsheets/d/1-uDff_7J0KD5mKrp0Vvzr7lt3OU09vwQwhkpOPPYv2Y/edit?usp=sharing"",""งบพรบ!CG85"")"),0)</f>
        <v>0</v>
      </c>
      <c r="N165" s="47">
        <f ca="1">IFERROR(__xludf.DUMMYFUNCTION("IMPORTRANGE(""https://docs.google.com/spreadsheets/d/1-uDff_7J0KD5mKrp0Vvzr7lt3OU09vwQwhkpOPPYv2Y/edit?usp=sharing"",""งบพรบ!CI85"")"),0)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IFERROR(__xludf.DUMMYFUNCTION("IMPORTRANGE(""https://docs.google.com/spreadsheets/d/1eHaY18a8A9IcSdp1K8H6x8fbOy06t2VsZHhMHf-1x7Y/edit?usp=sharing"",""แผน!Z85"")"),0)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IFERROR(__xludf.DUMMYFUNCTION("IMPORTRANGE(""https://docs.google.com/spreadsheets/d/1eHaY18a8A9IcSdp1K8H6x8fbOy06t2VsZHhMHf-1x7Y/edit?usp=sharing"",""แผน!Z85"")"),0)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IFERROR(__xludf.DUMMYFUNCTION("IMPORTRANGE(""https://docs.google.com/spreadsheets/d/1eHaY18a8A9IcSdp1K8H6x8fbOy06t2VsZHhMHf-1x7Y/edit?usp=sharing"",""แผน!Z85"")"),0)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9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35150</v>
      </c>
      <c r="N173" s="132">
        <f ca="1">N174+N175</f>
        <v>34641</v>
      </c>
      <c r="O173" s="132">
        <f ca="1">IF(L173&gt;0,N173*100/L173,0)</f>
        <v>176.83001531393569</v>
      </c>
      <c r="P173" s="132">
        <f ca="1">IF(M173&gt;0,N173*100/M173,0)</f>
        <v>98.551920341394023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35150</v>
      </c>
      <c r="N175" s="47">
        <f ca="1">N178+N181</f>
        <v>34641</v>
      </c>
      <c r="O175" s="47">
        <f ca="1">IF(L175&gt;0,N175*100/L175,0)</f>
        <v>176.83001531393569</v>
      </c>
      <c r="P175" s="47">
        <f ca="1">IF(M175&gt;0,N175*100/M175,0)</f>
        <v>98.551920341394023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35150</v>
      </c>
      <c r="N176" s="47">
        <f ca="1">N177+N178</f>
        <v>34641</v>
      </c>
      <c r="O176" s="47">
        <f ca="1">IF(L176&gt;0,N176*100/L176,0)</f>
        <v>176.83001531393569</v>
      </c>
      <c r="P176" s="47">
        <f ca="1">IF(M176&gt;0,N176*100/M176,0)</f>
        <v>98.551920341394023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IFERROR(__xludf.DUMMYFUNCTION("IMPORTRANGE(""https://docs.google.com/spreadsheets/d/1-uDff_7J0KD5mKrp0Vvzr7lt3OU09vwQwhkpOPPYv2Y/edit?usp=sharing"",""งบพรบ!CK85"")"),19590)</f>
        <v>19590</v>
      </c>
      <c r="M178" s="47">
        <f ca="1">IFERROR(__xludf.DUMMYFUNCTION("IMPORTRANGE(""https://docs.google.com/spreadsheets/d/1-uDff_7J0KD5mKrp0Vvzr7lt3OU09vwQwhkpOPPYv2Y/edit?usp=sharing"",""งบพรบ!CP85"")"),35150)</f>
        <v>35150</v>
      </c>
      <c r="N178" s="47">
        <f ca="1">IFERROR(__xludf.DUMMYFUNCTION("IMPORTRANGE(""https://docs.google.com/spreadsheets/d/1-uDff_7J0KD5mKrp0Vvzr7lt3OU09vwQwhkpOPPYv2Y/edit?usp=sharing"",""งบพรบ!CR85"")"),34641)</f>
        <v>34641</v>
      </c>
      <c r="O178" s="47">
        <f ca="1">IF(L178&gt;0,N178*100/L178,0)</f>
        <v>176.83001531393569</v>
      </c>
      <c r="P178" s="47">
        <f ca="1">IF(M178&gt;0,N178*100/M178,0)</f>
        <v>98.551920341394023</v>
      </c>
      <c r="Q178" s="47">
        <f ca="1">IFERROR(__xludf.DUMMYFUNCTION("IMPORTRANGE(""https://docs.google.com/spreadsheets/d/1ItG2mGa2ceCfYo0BwxsXqNm01IGEUdYcSSLTEv9YCik/edit?usp=sharing"",""เบิกจ่ายกองทุน!DG85"")"),0)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IFERROR(__xludf.DUMMYFUNCTION("IMPORTRANGE(""https://docs.google.com/spreadsheets/d/1ItG2mGa2ceCfYo0BwxsXqNm01IGEUdYcSSLTEv9YCik/edit?usp=sharing"",""เบิกจ่ายกองทุน!DH85"")"),0)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IFERROR(__xludf.DUMMYFUNCTION("IMPORTRANGE(""https://docs.google.com/spreadsheets/d/1ItG2mGa2ceCfYo0BwxsXqNm01IGEUdYcSSLTEv9YCik/edit?usp=sharing"",""เบิกจ่ายกองทุน!DI85"")"),0)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IFERROR(__xludf.DUMMYFUNCTION("IMPORTRANGE(""https://docs.google.com/spreadsheets/d/1-uDff_7J0KD5mKrp0Vvzr7lt3OU09vwQwhkpOPPYv2Y/edit?usp=sharing"",""งบพรบ!CN85"")"),0)</f>
        <v>0</v>
      </c>
      <c r="M181" s="47">
        <f ca="1">IFERROR(__xludf.DUMMYFUNCTION("IMPORTRANGE(""https://docs.google.com/spreadsheets/d/1-uDff_7J0KD5mKrp0Vvzr7lt3OU09vwQwhkpOPPYv2Y/edit?usp=sharing"",""งบพรบ!CQ85"")"),0)</f>
        <v>0</v>
      </c>
      <c r="N181" s="47">
        <f ca="1">IFERROR(__xludf.DUMMYFUNCTION("IMPORTRANGE(""https://docs.google.com/spreadsheets/d/1-uDff_7J0KD5mKrp0Vvzr7lt3OU09vwQwhkpOPPYv2Y/edit?usp=sharing"",""งบพรบ!CS85"")"),0)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IFERROR(__xludf.DUMMYFUNCTION("IMPORTRANGE(""https://docs.google.com/spreadsheets/d/1eHaY18a8A9IcSdp1K8H6x8fbOy06t2VsZHhMHf-1x7Y/edit?usp=sharing"",""แผน!AA85"")"),7)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9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401900</v>
      </c>
      <c r="M186" s="132">
        <f ca="1">M187+M188</f>
        <v>401900</v>
      </c>
      <c r="N186" s="132">
        <f ca="1">N187+N188</f>
        <v>265539.53999999998</v>
      </c>
      <c r="O186" s="132">
        <f ca="1">IF(L186&gt;0,N186*100/L186,0)</f>
        <v>66.071047524259754</v>
      </c>
      <c r="P186" s="132">
        <f ca="1">IF(M186&gt;0,N186*100/M186,0)</f>
        <v>66.071047524259754</v>
      </c>
      <c r="Q186" s="132">
        <f ca="1">Q187+Q188</f>
        <v>28000</v>
      </c>
      <c r="R186" s="132">
        <f ca="1">R187+R188</f>
        <v>28000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401900</v>
      </c>
      <c r="M188" s="47">
        <f ca="1">M191+M194</f>
        <v>401900</v>
      </c>
      <c r="N188" s="47">
        <f ca="1">N191+N194</f>
        <v>265539.53999999998</v>
      </c>
      <c r="O188" s="47">
        <f ca="1">IF(L188&gt;0,N188*100/L188,0)</f>
        <v>66.071047524259754</v>
      </c>
      <c r="P188" s="47">
        <f ca="1">IF(M188&gt;0,N188*100/M188,0)</f>
        <v>66.071047524259754</v>
      </c>
      <c r="Q188" s="47">
        <f ca="1">Q191+Q194</f>
        <v>28000</v>
      </c>
      <c r="R188" s="47">
        <f ca="1">R191+R194</f>
        <v>28000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401900</v>
      </c>
      <c r="M189" s="47">
        <f ca="1">M190+M191</f>
        <v>401900</v>
      </c>
      <c r="N189" s="47">
        <f ca="1">N190+N191</f>
        <v>265539.53999999998</v>
      </c>
      <c r="O189" s="47">
        <f ca="1">IF(L189&gt;0,N189*100/L189,0)</f>
        <v>66.071047524259754</v>
      </c>
      <c r="P189" s="47">
        <f ca="1">IF(M189&gt;0,N189*100/M189,0)</f>
        <v>66.071047524259754</v>
      </c>
      <c r="Q189" s="47">
        <f ca="1">Q190+Q191</f>
        <v>28000</v>
      </c>
      <c r="R189" s="47">
        <f ca="1">R190+R191</f>
        <v>28000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IFERROR(__xludf.DUMMYFUNCTION("IMPORTRANGE(""https://docs.google.com/spreadsheets/d/1-uDff_7J0KD5mKrp0Vvzr7lt3OU09vwQwhkpOPPYv2Y/edit?usp=sharing"",""งบพรบ!CU85"")"),401900)</f>
        <v>401900</v>
      </c>
      <c r="M191" s="47">
        <f ca="1">IFERROR(__xludf.DUMMYFUNCTION("IMPORTRANGE(""https://docs.google.com/spreadsheets/d/1-uDff_7J0KD5mKrp0Vvzr7lt3OU09vwQwhkpOPPYv2Y/edit?usp=sharing"",""งบพรบ!CZ85"")"),401900)</f>
        <v>401900</v>
      </c>
      <c r="N191" s="47">
        <f ca="1">IFERROR(__xludf.DUMMYFUNCTION("IMPORTRANGE(""https://docs.google.com/spreadsheets/d/1-uDff_7J0KD5mKrp0Vvzr7lt3OU09vwQwhkpOPPYv2Y/edit?usp=sharing"",""งบพรบ!DB85"")"),265539.54)</f>
        <v>265539.53999999998</v>
      </c>
      <c r="O191" s="47">
        <f ca="1">IF(L191&gt;0,N191*100/L191,0)</f>
        <v>66.071047524259754</v>
      </c>
      <c r="P191" s="47">
        <f ca="1">IF(M191&gt;0,N191*100/M191,0)</f>
        <v>66.071047524259754</v>
      </c>
      <c r="Q191" s="47">
        <f ca="1">IFERROR(__xludf.DUMMYFUNCTION("IMPORTRANGE(""https://docs.google.com/spreadsheets/d/1ItG2mGa2ceCfYo0BwxsXqNm01IGEUdYcSSLTEv9YCik/edit?usp=sharing"",""เบิกจ่ายกองทุน!BQ85"")"),28000)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IFERROR(__xludf.DUMMYFUNCTION("IMPORTRANGE(""https://docs.google.com/spreadsheets/d/1ItG2mGa2ceCfYo0BwxsXqNm01IGEUdYcSSLTEv9YCik/edit?usp=sharing"",""เบิกจ่ายกองทุน!BR85"")"),28000)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IFERROR(__xludf.DUMMYFUNCTION("IMPORTRANGE(""https://docs.google.com/spreadsheets/d/1ItG2mGa2ceCfYo0BwxsXqNm01IGEUdYcSSLTEv9YCik/edit?usp=sharing"",""เบิกจ่ายกองทุน!BS85"")"),0)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IFERROR(__xludf.DUMMYFUNCTION("IMPORTRANGE(""https://docs.google.com/spreadsheets/d/1-uDff_7J0KD5mKrp0Vvzr7lt3OU09vwQwhkpOPPYv2Y/edit?usp=sharing"",""งบพรบ!CX85"")"),0)</f>
        <v>0</v>
      </c>
      <c r="M194" s="47">
        <f ca="1">IFERROR(__xludf.DUMMYFUNCTION("IMPORTRANGE(""https://docs.google.com/spreadsheets/d/1-uDff_7J0KD5mKrp0Vvzr7lt3OU09vwQwhkpOPPYv2Y/edit?usp=sharing"",""งบพรบ!DA85"")"),0)</f>
        <v>0</v>
      </c>
      <c r="N194" s="47">
        <f ca="1">IFERROR(__xludf.DUMMYFUNCTION("IMPORTRANGE(""https://docs.google.com/spreadsheets/d/1-uDff_7J0KD5mKrp0Vvzr7lt3OU09vwQwhkpOPPYv2Y/edit?usp=sharing"",""งบพรบ!DC85"")"),0)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IFERROR(__xludf.DUMMYFUNCTION("IMPORTRANGE(""https://docs.google.com/spreadsheets/d/1ItG2mGa2ceCfYo0BwxsXqNm01IGEUdYcSSLTEv9YCik/edit?usp=sharing"",""เบิกจ่ายกองทุน!BT85"")"),0)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IFERROR(__xludf.DUMMYFUNCTION("IMPORTRANGE(""https://docs.google.com/spreadsheets/d/1ItG2mGa2ceCfYo0BwxsXqNm01IGEUdYcSSLTEv9YCik/edit?usp=sharing"",""เบิกจ่ายกองทุน!BU85"")"),0)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IFERROR(__xludf.DUMMYFUNCTION("IMPORTRANGE(""https://docs.google.com/spreadsheets/d/1ItG2mGa2ceCfYo0BwxsXqNm01IGEUdYcSSLTEv9YCik/edit?usp=sharing"",""เบิกจ่ายกองทุน!BV85"")"),0)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87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IFERROR(__xludf.DUMMYFUNCTION("IMPORTRANGE(""https://docs.google.com/spreadsheets/d/1eHaY18a8A9IcSdp1K8H6x8fbOy06t2VsZHhMHf-1x7Y/edit?usp=sharing"",""แผน!AB85"")"),6000)</f>
        <v>6000</v>
      </c>
      <c r="M196" s="46"/>
      <c r="N196" s="769">
        <v>3000</v>
      </c>
      <c r="O196" s="132">
        <f ca="1">IF(L196&gt;0,N196*100/L196,0)</f>
        <v>50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IFERROR(__xludf.DUMMYFUNCTION("IMPORTRANGE(""https://docs.google.com/spreadsheets/d/1eHaY18a8A9IcSdp1K8H6x8fbOy06t2VsZHhMHf-1x7Y/edit?usp=sharing"",""แผน!AE85"")"),4)</f>
        <v>4</v>
      </c>
      <c r="J198" s="167">
        <v>2</v>
      </c>
      <c r="K198" s="47">
        <f ca="1">IF(I198&gt;0,J198*100/I198,0)</f>
        <v>50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81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81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0</v>
      </c>
      <c r="K202" s="229">
        <f ca="1">IF(I202&gt;0,J202*100/I202,0)</f>
        <v>0</v>
      </c>
      <c r="L202" s="687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 t="e">
        <f ca="1">L204+L205+L206+L207</f>
        <v>#VALUE!</v>
      </c>
      <c r="M203" s="46"/>
      <c r="N203" s="132">
        <f>N204+N205+N206+N207</f>
        <v>0</v>
      </c>
      <c r="O203" s="132" t="e">
        <f ca="1">IF(L203&gt;0,N203*100/L203,0)</f>
        <v>#VALUE!</v>
      </c>
      <c r="P203" s="132">
        <f>IF(M203&gt;0,N203*100/M203,0)</f>
        <v>0</v>
      </c>
      <c r="Q203" s="768">
        <f ca="1">Q204+Q205+Q206+Q207</f>
        <v>28000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IFERROR(__xludf.DUMMYFUNCTION("IMPORTRANGE(""https://docs.google.com/spreadsheets/d/1eHaY18a8A9IcSdp1K8H6x8fbOy06t2VsZHhMHf-1x7Y/edit?usp=sharing"",""แผน!AG85"")"),2000)</f>
        <v>2000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IFERROR(__xludf.DUMMYFUNCTION("IMPORTRANGE(""https://docs.google.com/spreadsheets/d/1eHaY18a8A9IcSdp1K8H6x8fbOy06t2VsZHhMHf-1x7Y/edit?usp=sharing"",""แผน!AH85"")"),0)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 t="str">
        <f ca="1">IFERROR(__xludf.DUMMYFUNCTION("IMPORTRANGE(""https://docs.google.com/spreadsheets/d/1eHaY18a8A9IcSdp1K8H6x8fbOy06t2VsZHhMHf-1x7Y/edit?usp=sharing"",""แผน!AI85"")"),"")</f>
        <v/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IFERROR(__xludf.DUMMYFUNCTION("IMPORTRANGE(""https://docs.google.com/spreadsheets/d/1eHaY18a8A9IcSdp1K8H6x8fbOy06t2VsZHhMHf-1x7Y/edit?usp=sharing"",""แผน!LV85"")"),28000)</f>
        <v>28000</v>
      </c>
      <c r="R206" s="46"/>
      <c r="S206" s="743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IFERROR(__xludf.DUMMYFUNCTION("IMPORTRANGE(""https://docs.google.com/spreadsheets/d/1eHaY18a8A9IcSdp1K8H6x8fbOy06t2VsZHhMHf-1x7Y/edit?usp=sharing"",""แผน!AJ85"")"),8000)</f>
        <v>8000</v>
      </c>
      <c r="M207" s="46"/>
      <c r="N207" s="743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IFERROR(__xludf.DUMMYFUNCTION("IMPORTRANGE(""https://docs.google.com/spreadsheets/d/1eHaY18a8A9IcSdp1K8H6x8fbOy06t2VsZHhMHf-1x7Y/edit?usp=sharing"",""แผน!AK85"")"),2)</f>
        <v>2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IFERROR(__xludf.DUMMYFUNCTION("IMPORTRANGE(""https://docs.google.com/spreadsheets/d/1eHaY18a8A9IcSdp1K8H6x8fbOy06t2VsZHhMHf-1x7Y/edit?usp=sharing"",""แผน!JX85"")"),1)</f>
        <v>1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IFERROR(__xludf.DUMMYFUNCTION("IMPORTRANGE(""https://docs.google.com/spreadsheets/d/1eHaY18a8A9IcSdp1K8H6x8fbOy06t2VsZHhMHf-1x7Y/edit?usp=sharing"",""แผน!JY85"")"),0)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7"/>
      <c r="M213" s="230"/>
      <c r="N213" s="230"/>
      <c r="O213" s="230"/>
      <c r="P213" s="230"/>
      <c r="Q213" s="687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IFERROR(__xludf.DUMMYFUNCTION("IMPORTRANGE(""https://docs.google.com/spreadsheets/d/1eHaY18a8A9IcSdp1K8H6x8fbOy06t2VsZHhMHf-1x7Y/edit?usp=sharing"",""แผน!AM85"")"),0)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IFERROR(__xludf.DUMMYFUNCTION("IMPORTRANGE(""https://docs.google.com/spreadsheets/d/1eHaY18a8A9IcSdp1K8H6x8fbOy06t2VsZHhMHf-1x7Y/edit?usp=sharing"",""แผน!AN85"")"),0)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IFERROR(__xludf.DUMMYFUNCTION("IMPORTRANGE(""https://docs.google.com/spreadsheets/d/1eHaY18a8A9IcSdp1K8H6x8fbOy06t2VsZHhMHf-1x7Y/edit?usp=sharing"",""แผน!AO85"")"),0)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IFERROR(__xludf.DUMMYFUNCTION("IMPORTRANGE(""https://docs.google.com/spreadsheets/d/1eHaY18a8A9IcSdp1K8H6x8fbOy06t2VsZHhMHf-1x7Y/edit?usp=sharing"",""แผน!LY85"")"),0)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IFERROR(__xludf.DUMMYFUNCTION("IMPORTRANGE(""https://docs.google.com/spreadsheets/d/1eHaY18a8A9IcSdp1K8H6x8fbOy06t2VsZHhMHf-1x7Y/edit?usp=sharing"",""แผน!AP85"")"),0)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IFERROR(__xludf.DUMMYFUNCTION("IMPORTRANGE(""https://docs.google.com/spreadsheets/d/1eHaY18a8A9IcSdp1K8H6x8fbOy06t2VsZHhMHf-1x7Y/edit?usp=sharing"",""แผน!AP85"")"),0)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12800</v>
      </c>
      <c r="J221" s="228">
        <f>J229</f>
        <v>0</v>
      </c>
      <c r="K221" s="229">
        <f ca="1">IF(I221&gt;0,J221*100/I221,0)</f>
        <v>0</v>
      </c>
      <c r="L221" s="687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IFERROR(__xludf.DUMMYFUNCTION("IMPORTRANGE(""https://docs.google.com/spreadsheets/d/1eHaY18a8A9IcSdp1K8H6x8fbOy06t2VsZHhMHf-1x7Y/edit?usp=sharing"",""แผน!AR85"")"),3000)</f>
        <v>3000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IFERROR(__xludf.DUMMYFUNCTION("IMPORTRANGE(""https://docs.google.com/spreadsheets/d/1eHaY18a8A9IcSdp1K8H6x8fbOy06t2VsZHhMHf-1x7Y/edit?usp=sharing"",""แผน!AS85"")"),1500)</f>
        <v>1500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IFERROR(__xludf.DUMMYFUNCTION("IMPORTRANGE(""https://docs.google.com/spreadsheets/d/1eHaY18a8A9IcSdp1K8H6x8fbOy06t2VsZHhMHf-1x7Y/edit?usp=sharing"",""แผน!AT85"")"),0)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IFERROR(__xludf.DUMMYFUNCTION("IMPORTRANGE(""https://docs.google.com/spreadsheets/d/1eHaY18a8A9IcSdp1K8H6x8fbOy06t2VsZHhMHf-1x7Y/edit?usp=sharing"",""แผน!AV85"")"),12800)</f>
        <v>12800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IFERROR(__xludf.DUMMYFUNCTION("IMPORTRANGE(""https://docs.google.com/spreadsheets/d/1eHaY18a8A9IcSdp1K8H6x8fbOy06t2VsZHhMHf-1x7Y/edit?usp=sharing"",""แผน!AV85"")"),12800)</f>
        <v>12800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IFERROR(__xludf.DUMMYFUNCTION("IMPORTRANGE(""https://docs.google.com/spreadsheets/d/1eHaY18a8A9IcSdp1K8H6x8fbOy06t2VsZHhMHf-1x7Y/edit?usp=sharing"",""แผน!AU85"")"),0)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7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1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7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IFERROR(__xludf.DUMMYFUNCTION("IMPORTRANGE(""https://docs.google.com/spreadsheets/d/1eHaY18a8A9IcSdp1K8H6x8fbOy06t2VsZHhMHf-1x7Y/edit?usp=sharing"",""แผน!AX85"")"),0)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IFERROR(__xludf.DUMMYFUNCTION("IMPORTRANGE(""https://docs.google.com/spreadsheets/d/1eHaY18a8A9IcSdp1K8H6x8fbOy06t2VsZHhMHf-1x7Y/edit?usp=sharing"",""แผน!AY85"")"),0)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IFERROR(__xludf.DUMMYFUNCTION("IMPORTRANGE(""https://docs.google.com/spreadsheets/d/1eHaY18a8A9IcSdp1K8H6x8fbOy06t2VsZHhMHf-1x7Y/edit?usp=sharing"",""แผน!AZ85"")"),0)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IFERROR(__xludf.DUMMYFUNCTION("IMPORTRANGE(""https://docs.google.com/spreadsheets/d/1eHaY18a8A9IcSdp1K8H6x8fbOy06t2VsZHhMHf-1x7Y/edit?usp=sharing"",""แผน!BA85"")"),0)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1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IFERROR(__xludf.DUMMYFUNCTION("IMPORTRANGE(""https://docs.google.com/spreadsheets/d/1eHaY18a8A9IcSdp1K8H6x8fbOy06t2VsZHhMHf-1x7Y/edit?usp=sharing"",""แผน!BG85"")"),0)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7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IFERROR(__xludf.DUMMYFUNCTION("IMPORTRANGE(""https://docs.google.com/spreadsheets/d/1eHaY18a8A9IcSdp1K8H6x8fbOy06t2VsZHhMHf-1x7Y/edit?usp=sharing"",""แผน!BB85"")"),0)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IFERROR(__xludf.DUMMYFUNCTION("IMPORTRANGE(""https://docs.google.com/spreadsheets/d/1eHaY18a8A9IcSdp1K8H6x8fbOy06t2VsZHhMHf-1x7Y/edit?usp=sharing"",""แผน!BC85"")"),0)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IFERROR(__xludf.DUMMYFUNCTION("IMPORTRANGE(""https://docs.google.com/spreadsheets/d/1eHaY18a8A9IcSdp1K8H6x8fbOy06t2VsZHhMHf-1x7Y/edit?usp=sharing"",""แผน!BD85"")"),0)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IFERROR(__xludf.DUMMYFUNCTION("IMPORTRANGE(""https://docs.google.com/spreadsheets/d/1eHaY18a8A9IcSdp1K8H6x8fbOy06t2VsZHhMHf-1x7Y/edit?usp=sharing"",""แผน!BE85"")"),0)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1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IFERROR(__xludf.DUMMYFUNCTION("IMPORTRANGE(""https://docs.google.com/spreadsheets/d/1eHaY18a8A9IcSdp1K8H6x8fbOy06t2VsZHhMHf-1x7Y/edit?usp=sharing"",""แผน!BH85"")"),0)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0</v>
      </c>
      <c r="K265" s="725">
        <f ca="1">IF(I265&gt;0,J265*100/I265,0)</f>
        <v>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618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1120</v>
      </c>
      <c r="O266" s="421">
        <f ca="1">IF(L266&gt;0,N266*100/L266,0)</f>
        <v>22.4</v>
      </c>
      <c r="P266" s="421">
        <f ca="1">IF(M266&gt;0,N266*100/M266,0)</f>
        <v>22.4</v>
      </c>
      <c r="Q266" s="421">
        <f ca="1">Q267+Q268</f>
        <v>50660</v>
      </c>
      <c r="R266" s="421">
        <f ca="1">R267+R268</f>
        <v>50660</v>
      </c>
      <c r="S266" s="421">
        <f ca="1">S267+S268</f>
        <v>0</v>
      </c>
      <c r="T266" s="421">
        <f ca="1">IF(Q266&gt;0,S266*100/Q266,0)</f>
        <v>0</v>
      </c>
      <c r="U266" s="421">
        <f ca="1">IF(R266&gt;0,S266*100/R266,0)</f>
        <v>0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1120</v>
      </c>
      <c r="O268" s="331">
        <f ca="1">IF(L268&gt;0,N268*100/L268,0)</f>
        <v>22.4</v>
      </c>
      <c r="P268" s="331">
        <f ca="1">IF(M268&gt;0,N268*100/M268,0)</f>
        <v>22.4</v>
      </c>
      <c r="Q268" s="331">
        <f ca="1">Q271+Q274</f>
        <v>50660</v>
      </c>
      <c r="R268" s="331">
        <f ca="1">R271+R274</f>
        <v>50660</v>
      </c>
      <c r="S268" s="331">
        <f ca="1">S271+S274</f>
        <v>0</v>
      </c>
      <c r="T268" s="331">
        <f ca="1">IF(Q268&gt;0,S268*100/Q268,0)</f>
        <v>0</v>
      </c>
      <c r="U268" s="331">
        <f ca="1">IF(R268&gt;0,S268*100/R268,0)</f>
        <v>0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1120</v>
      </c>
      <c r="O269" s="331">
        <f ca="1">IF(L269&gt;0,N269*100/L269,0)</f>
        <v>22.4</v>
      </c>
      <c r="P269" s="331">
        <f ca="1">IF(M269&gt;0,N269*100/M269,0)</f>
        <v>22.4</v>
      </c>
      <c r="Q269" s="331">
        <f ca="1">Q270+Q271</f>
        <v>50660</v>
      </c>
      <c r="R269" s="331">
        <f ca="1">R270+R271</f>
        <v>50660</v>
      </c>
      <c r="S269" s="331">
        <f ca="1">S270+S271</f>
        <v>0</v>
      </c>
      <c r="T269" s="331">
        <f ca="1">IF(Q269&gt;0,S269*100/Q269,0)</f>
        <v>0</v>
      </c>
      <c r="U269" s="331">
        <f ca="1">IF(R269&gt;0,S269*100/R269,0)</f>
        <v>0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IFERROR(__xludf.DUMMYFUNCTION("IMPORTRANGE(""https://docs.google.com/spreadsheets/d/1-uDff_7J0KD5mKrp0Vvzr7lt3OU09vwQwhkpOPPYv2Y/edit?usp=sharing"",""งบพรบ!DE85"")"),5000)</f>
        <v>5000</v>
      </c>
      <c r="M271" s="331">
        <f ca="1">IFERROR(__xludf.DUMMYFUNCTION("IMPORTRANGE(""https://docs.google.com/spreadsheets/d/1-uDff_7J0KD5mKrp0Vvzr7lt3OU09vwQwhkpOPPYv2Y/edit?usp=sharing"",""งบพรบ!DJ85"")"),5000)</f>
        <v>5000</v>
      </c>
      <c r="N271" s="331">
        <f ca="1">IFERROR(__xludf.DUMMYFUNCTION("IMPORTRANGE(""https://docs.google.com/spreadsheets/d/1-uDff_7J0KD5mKrp0Vvzr7lt3OU09vwQwhkpOPPYv2Y/edit?usp=sharing"",""งบพรบ!DL85"")"),1120)</f>
        <v>1120</v>
      </c>
      <c r="O271" s="331">
        <f ca="1">IF(L271&gt;0,N271*100/L271,0)</f>
        <v>22.4</v>
      </c>
      <c r="P271" s="331">
        <f ca="1">IF(M271&gt;0,N271*100/M271,0)</f>
        <v>22.4</v>
      </c>
      <c r="Q271" s="331">
        <f ca="1">IFERROR(__xludf.DUMMYFUNCTION("IMPORTRANGE(""https://docs.google.com/spreadsheets/d/1ItG2mGa2ceCfYo0BwxsXqNm01IGEUdYcSSLTEv9YCik/edit?usp=sharing"",""เบิกจ่ายกองทุน!AP85"")"),50660)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IFERROR(__xludf.DUMMYFUNCTION("IMPORTRANGE(""https://docs.google.com/spreadsheets/d/1ItG2mGa2ceCfYo0BwxsXqNm01IGEUdYcSSLTEv9YCik/edit?usp=sharing"",""เบิกจ่ายกองทุน!AQ85"")"),50660)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IFERROR(__xludf.DUMMYFUNCTION("IMPORTRANGE(""https://docs.google.com/spreadsheets/d/1ItG2mGa2ceCfYo0BwxsXqNm01IGEUdYcSSLTEv9YCik/edit?usp=sharing"",""เบิกจ่ายกองทุน!AR85"")"),0)</f>
        <v>0</v>
      </c>
      <c r="T271" s="331">
        <f ca="1">IF(Q271&gt;0,S271*100/Q271,0)</f>
        <v>0</v>
      </c>
      <c r="U271" s="331">
        <f ca="1">IF(R271&gt;0,S271*100/R271,0)</f>
        <v>0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IFERROR(__xludf.DUMMYFUNCTION("IMPORTRANGE(""https://docs.google.com/spreadsheets/d/1-uDff_7J0KD5mKrp0Vvzr7lt3OU09vwQwhkpOPPYv2Y/edit?usp=sharing"",""งบพรบ!DH85"")"),0)</f>
        <v>0</v>
      </c>
      <c r="M274" s="331">
        <f ca="1">IFERROR(__xludf.DUMMYFUNCTION("IMPORTRANGE(""https://docs.google.com/spreadsheets/d/1-uDff_7J0KD5mKrp0Vvzr7lt3OU09vwQwhkpOPPYv2Y/edit?usp=sharing"",""งบพรบ!DK85"")"),0)</f>
        <v>0</v>
      </c>
      <c r="N274" s="331">
        <f ca="1">IFERROR(__xludf.DUMMYFUNCTION("IMPORTRANGE(""https://docs.google.com/spreadsheets/d/1-uDff_7J0KD5mKrp0Vvzr7lt3OU09vwQwhkpOPPYv2Y/edit?usp=sharing"",""งบพรบ!DM85"")"),0)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423" t="s">
        <v>18</v>
      </c>
      <c r="D275" s="617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IFERROR(__xludf.DUMMYFUNCTION("IMPORTRANGE(""https://docs.google.com/spreadsheets/d/1eHaY18a8A9IcSdp1K8H6x8fbOy06t2VsZHhMHf-1x7Y/edit?usp=sharing"",""แผน!EC85"")"),22)</f>
        <v>22</v>
      </c>
      <c r="J276" s="175">
        <v>0</v>
      </c>
      <c r="K276" s="176">
        <f ca="1">IF(I276&gt;0,J276*100/I276,0)</f>
        <v>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IFERROR(__xludf.DUMMYFUNCTION("IMPORTRANGE(""https://docs.google.com/spreadsheets/d/1-uDff_7J0KD5mKrp0Vvzr7lt3OU09vwQwhkpOPPYv2Y/edit?usp=sharing"",""งบพรบ!DO85"")"),0)</f>
        <v>0</v>
      </c>
      <c r="M287" s="47">
        <f ca="1">IFERROR(__xludf.DUMMYFUNCTION("IMPORTRANGE(""https://docs.google.com/spreadsheets/d/1-uDff_7J0KD5mKrp0Vvzr7lt3OU09vwQwhkpOPPYv2Y/edit?usp=sharing"",""งบพรบ!DT85"")"),0)</f>
        <v>0</v>
      </c>
      <c r="N287" s="47">
        <f ca="1">IFERROR(__xludf.DUMMYFUNCTION("IMPORTRANGE(""https://docs.google.com/spreadsheets/d/1-uDff_7J0KD5mKrp0Vvzr7lt3OU09vwQwhkpOPPYv2Y/edit?usp=sharing"",""งบพรบ!DV85"")"),0)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IFERROR(__xludf.DUMMYFUNCTION("IMPORTRANGE(""https://docs.google.com/spreadsheets/d/1-uDff_7J0KD5mKrp0Vvzr7lt3OU09vwQwhkpOPPYv2Y/edit?usp=sharing"",""งบพรบ!DR85"")"),0)</f>
        <v>0</v>
      </c>
      <c r="M290" s="47">
        <f ca="1">IFERROR(__xludf.DUMMYFUNCTION("IMPORTRANGE(""https://docs.google.com/spreadsheets/d/1-uDff_7J0KD5mKrp0Vvzr7lt3OU09vwQwhkpOPPYv2Y/edit?usp=sharing"",""งบพรบ!DU85"")"),0)</f>
        <v>0</v>
      </c>
      <c r="N290" s="47">
        <f ca="1">IFERROR(__xludf.DUMMYFUNCTION("IMPORTRANGE(""https://docs.google.com/spreadsheets/d/1-uDff_7J0KD5mKrp0Vvzr7lt3OU09vwQwhkpOPPYv2Y/edit?usp=sharing"",""งบพรบ!DW85"")"),0)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IFERROR(__xludf.DUMMYFUNCTION("IMPORTRANGE(""https://docs.google.com/spreadsheets/d/1eHaY18a8A9IcSdp1K8H6x8fbOy06t2VsZHhMHf-1x7Y/edit?usp=sharing"",""แผน!EE85"")"),0)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IFERROR(__xludf.DUMMYFUNCTION("IMPORTRANGE(""https://docs.google.com/spreadsheets/d/1eHaY18a8A9IcSdp1K8H6x8fbOy06t2VsZHhMHf-1x7Y/edit?usp=sharing"",""แผน!ED85"")"),0)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IFERROR(__xludf.DUMMYFUNCTION("IMPORTRANGE(""https://docs.google.com/spreadsheets/d/1eHaY18a8A9IcSdp1K8H6x8fbOy06t2VsZHhMHf-1x7Y/edit?usp=sharing"",""แผน!ED85"")"),0)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IFERROR(__xludf.DUMMYFUNCTION("IMPORTRANGE(""https://docs.google.com/spreadsheets/d/1eHaY18a8A9IcSdp1K8H6x8fbOy06t2VsZHhMHf-1x7Y/edit?usp=sharing"",""แผน!ED85"")"),0)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1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1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hidden="1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700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hidden="1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hidden="1" x14ac:dyDescent="0.3">
      <c r="A303" s="128"/>
      <c r="B303" s="41"/>
      <c r="C303" s="129" t="s">
        <v>18</v>
      </c>
      <c r="D303" s="59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0</v>
      </c>
      <c r="R305" s="47">
        <f ca="1">R308+R311</f>
        <v>0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hidden="1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IFERROR(__xludf.DUMMYFUNCTION("IMPORTRANGE(""https://docs.google.com/spreadsheets/d/1-uDff_7J0KD5mKrp0Vvzr7lt3OU09vwQwhkpOPPYv2Y/edit?usp=sharing"",""งบพรบ!DY85"")"),0)</f>
        <v>0</v>
      </c>
      <c r="M308" s="47">
        <f ca="1">IFERROR(__xludf.DUMMYFUNCTION("IMPORTRANGE(""https://docs.google.com/spreadsheets/d/1-uDff_7J0KD5mKrp0Vvzr7lt3OU09vwQwhkpOPPYv2Y/edit?usp=sharing"",""งบพรบ!ED85"")"),0)</f>
        <v>0</v>
      </c>
      <c r="N308" s="47">
        <f ca="1">IFERROR(__xludf.DUMMYFUNCTION("IMPORTRANGE(""https://docs.google.com/spreadsheets/d/1-uDff_7J0KD5mKrp0Vvzr7lt3OU09vwQwhkpOPPYv2Y/edit?usp=sharing"",""งบพรบ!EF85"")"),0)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IFERROR(__xludf.DUMMYFUNCTION("IMPORTRANGE(""https://docs.google.com/spreadsheets/d/1ItG2mGa2ceCfYo0BwxsXqNm01IGEUdYcSSLTEv9YCik/edit?usp=sharing"",""เบิกจ่ายกองทุน!BB85"")"),0)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IFERROR(__xludf.DUMMYFUNCTION("IMPORTRANGE(""https://docs.google.com/spreadsheets/d/1ItG2mGa2ceCfYo0BwxsXqNm01IGEUdYcSSLTEv9YCik/edit?usp=sharing"",""เบิกจ่ายกองทุน!BC85"")"),0)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IFERROR(__xludf.DUMMYFUNCTION("IMPORTRANGE(""https://docs.google.com/spreadsheets/d/1ItG2mGa2ceCfYo0BwxsXqNm01IGEUdYcSSLTEv9YCik/edit?usp=sharing"",""เบิกจ่ายกองทุน!BD85"")"),0)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hidden="1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IFERROR(__xludf.DUMMYFUNCTION("IMPORTRANGE(""https://docs.google.com/spreadsheets/d/1-uDff_7J0KD5mKrp0Vvzr7lt3OU09vwQwhkpOPPYv2Y/edit?usp=sharing"",""งบพรบ!EB85"")"),0)</f>
        <v>0</v>
      </c>
      <c r="M311" s="47">
        <f ca="1">IFERROR(__xludf.DUMMYFUNCTION("IMPORTRANGE(""https://docs.google.com/spreadsheets/d/1-uDff_7J0KD5mKrp0Vvzr7lt3OU09vwQwhkpOPPYv2Y/edit?usp=sharing"",""งบพรบ!EE85"")"),0)</f>
        <v>0</v>
      </c>
      <c r="N311" s="47">
        <f ca="1">IFERROR(__xludf.DUMMYFUNCTION("IMPORTRANGE(""https://docs.google.com/spreadsheets/d/1-uDff_7J0KD5mKrp0Vvzr7lt3OU09vwQwhkpOPPYv2Y/edit?usp=sharing"",""งบพรบ!EG85"")"),0)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hidden="1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9"/>
      <c r="E313" s="19"/>
      <c r="F313" s="19"/>
      <c r="G313" s="20"/>
      <c r="H313" s="20"/>
      <c r="I313" s="21"/>
      <c r="J313" s="707"/>
      <c r="K313" s="22"/>
      <c r="L313" s="701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IFERROR(__xludf.DUMMYFUNCTION("IMPORTRANGE(""https://docs.google.com/spreadsheets/d/1eHaY18a8A9IcSdp1K8H6x8fbOy06t2VsZHhMHf-1x7Y/edit?usp=sharing"",""แผน!EF85"")"),0)</f>
        <v>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9"/>
      <c r="E315" s="19"/>
      <c r="F315" s="19"/>
      <c r="G315" s="20"/>
      <c r="H315" s="708"/>
      <c r="I315" s="707"/>
      <c r="J315" s="707"/>
      <c r="K315" s="706"/>
      <c r="L315" s="701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9"/>
      <c r="E316" s="19"/>
      <c r="F316" s="19"/>
      <c r="G316" s="20"/>
      <c r="H316" s="708"/>
      <c r="I316" s="707"/>
      <c r="J316" s="707"/>
      <c r="K316" s="706"/>
      <c r="L316" s="701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5"/>
      <c r="E317" s="19"/>
      <c r="F317" s="19"/>
      <c r="G317" s="20"/>
      <c r="H317" s="704"/>
      <c r="I317" s="703"/>
      <c r="J317" s="703"/>
      <c r="K317" s="702"/>
      <c r="L317" s="701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700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IFERROR(__xludf.DUMMYFUNCTION("IMPORTRANGE(""https://docs.google.com/spreadsheets/d/1-uDff_7J0KD5mKrp0Vvzr7lt3OU09vwQwhkpOPPYv2Y/edit?usp=sharing"",""งบพรบ!EI85"")"),0)</f>
        <v>0</v>
      </c>
      <c r="M325" s="47">
        <f ca="1">IFERROR(__xludf.DUMMYFUNCTION("IMPORTRANGE(""https://docs.google.com/spreadsheets/d/1-uDff_7J0KD5mKrp0Vvzr7lt3OU09vwQwhkpOPPYv2Y/edit?usp=sharing"",""งบพรบ!EN85"")"),0)</f>
        <v>0</v>
      </c>
      <c r="N325" s="47">
        <f ca="1">IFERROR(__xludf.DUMMYFUNCTION("IMPORTRANGE(""https://docs.google.com/spreadsheets/d/1-uDff_7J0KD5mKrp0Vvzr7lt3OU09vwQwhkpOPPYv2Y/edit?usp=sharing"",""งบพรบ!EP85"")"),0)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IFERROR(__xludf.DUMMYFUNCTION("IMPORTRANGE(""https://docs.google.com/spreadsheets/d/1-uDff_7J0KD5mKrp0Vvzr7lt3OU09vwQwhkpOPPYv2Y/edit?usp=sharing"",""งบพรบ!EL85"")"),0)</f>
        <v>0</v>
      </c>
      <c r="M328" s="47">
        <f ca="1">IFERROR(__xludf.DUMMYFUNCTION("IMPORTRANGE(""https://docs.google.com/spreadsheets/d/1-uDff_7J0KD5mKrp0Vvzr7lt3OU09vwQwhkpOPPYv2Y/edit?usp=sharing"",""งบพรบ!EO85"")"),0)</f>
        <v>0</v>
      </c>
      <c r="N328" s="47">
        <f ca="1">IFERROR(__xludf.DUMMYFUNCTION("IMPORTRANGE(""https://docs.google.com/spreadsheets/d/1-uDff_7J0KD5mKrp0Vvzr7lt3OU09vwQwhkpOPPYv2Y/edit?usp=sharing"",""งบพรบ!EQ85"")"),0)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IFERROR(__xludf.DUMMYFUNCTION("IMPORTRANGE(""https://docs.google.com/spreadsheets/d/1eHaY18a8A9IcSdp1K8H6x8fbOy06t2VsZHhMHf-1x7Y/edit?usp=sharing"",""แผน!EJ85"")"),0)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700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9">
        <f ca="1">I344</f>
        <v>340</v>
      </c>
      <c r="J332" s="698">
        <f ca="1">J344+J347+J348+J349+J353</f>
        <v>2477</v>
      </c>
      <c r="K332" s="697">
        <f ca="1">IF(I332&gt;0,J332*100/I332,0)</f>
        <v>728.52941176470586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9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1024000</v>
      </c>
      <c r="M333" s="132">
        <f ca="1">M334+M335</f>
        <v>1024000</v>
      </c>
      <c r="N333" s="132">
        <f ca="1">N334+N335</f>
        <v>108810</v>
      </c>
      <c r="O333" s="132">
        <f ca="1">IF(L333&gt;0,N333*100/L333,0)</f>
        <v>10.6259765625</v>
      </c>
      <c r="P333" s="132">
        <f ca="1">IF(M333&gt;0,N333*100/M333,0)</f>
        <v>10.6259765625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1024000</v>
      </c>
      <c r="M335" s="47">
        <f ca="1">M338+M341</f>
        <v>1024000</v>
      </c>
      <c r="N335" s="47">
        <f ca="1">N338+N341</f>
        <v>108810</v>
      </c>
      <c r="O335" s="47">
        <f ca="1">IF(L335&gt;0,N335*100/L335,0)</f>
        <v>10.6259765625</v>
      </c>
      <c r="P335" s="47">
        <f ca="1">IF(M335&gt;0,N335*100/M335,0)</f>
        <v>10.6259765625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174000</v>
      </c>
      <c r="M336" s="47">
        <f ca="1">M337+M338</f>
        <v>174000</v>
      </c>
      <c r="N336" s="47">
        <f ca="1">N337+N338</f>
        <v>108810</v>
      </c>
      <c r="O336" s="47">
        <f ca="1">IF(L336&gt;0,N336*100/L336,0)</f>
        <v>62.53448275862069</v>
      </c>
      <c r="P336" s="47">
        <f ca="1">IF(M336&gt;0,N336*100/M336,0)</f>
        <v>62.53448275862069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IFERROR(__xludf.DUMMYFUNCTION("IMPORTRANGE(""https://docs.google.com/spreadsheets/d/1-uDff_7J0KD5mKrp0Vvzr7lt3OU09vwQwhkpOPPYv2Y/edit?usp=sharing"",""งบพรบ!ES85"")"),174000)</f>
        <v>174000</v>
      </c>
      <c r="M338" s="47">
        <f ca="1">IFERROR(__xludf.DUMMYFUNCTION("IMPORTRANGE(""https://docs.google.com/spreadsheets/d/1-uDff_7J0KD5mKrp0Vvzr7lt3OU09vwQwhkpOPPYv2Y/edit?usp=sharing"",""งบพรบ!EX85"")"),174000)</f>
        <v>174000</v>
      </c>
      <c r="N338" s="47">
        <f ca="1">IFERROR(__xludf.DUMMYFUNCTION("IMPORTRANGE(""https://docs.google.com/spreadsheets/d/1-uDff_7J0KD5mKrp0Vvzr7lt3OU09vwQwhkpOPPYv2Y/edit?usp=sharing"",""งบพรบ!EZ85"")"),108810)</f>
        <v>108810</v>
      </c>
      <c r="O338" s="47">
        <f ca="1">IF(L338&gt;0,N338*100/L338,0)</f>
        <v>62.53448275862069</v>
      </c>
      <c r="P338" s="47">
        <f ca="1">IF(M338&gt;0,N338*100/M338,0)</f>
        <v>62.53448275862069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850000</v>
      </c>
      <c r="M339" s="47">
        <f ca="1">M340+M341</f>
        <v>850000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IFERROR(__xludf.DUMMYFUNCTION("IMPORTRANGE(""https://docs.google.com/spreadsheets/d/1-uDff_7J0KD5mKrp0Vvzr7lt3OU09vwQwhkpOPPYv2Y/edit?usp=sharing"",""งบพรบ!EV85"")"),850000)</f>
        <v>850000</v>
      </c>
      <c r="M341" s="47">
        <f ca="1">IFERROR(__xludf.DUMMYFUNCTION("IMPORTRANGE(""https://docs.google.com/spreadsheets/d/1-uDff_7J0KD5mKrp0Vvzr7lt3OU09vwQwhkpOPPYv2Y/edit?usp=sharing"",""งบพรบ!EY85"")"),850000)</f>
        <v>850000</v>
      </c>
      <c r="N341" s="47">
        <f ca="1">IFERROR(__xludf.DUMMYFUNCTION("IMPORTRANGE(""https://docs.google.com/spreadsheets/d/1-uDff_7J0KD5mKrp0Vvzr7lt3OU09vwQwhkpOPPYv2Y/edit?usp=sharing"",""งบพรบ!FA85"")"),0)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6"/>
      <c r="B343" s="693"/>
      <c r="C343" s="695"/>
      <c r="D343" s="693"/>
      <c r="E343" s="694" t="s">
        <v>137</v>
      </c>
      <c r="F343" s="693"/>
      <c r="G343" s="692"/>
      <c r="H343" s="691" t="s">
        <v>35</v>
      </c>
      <c r="I343" s="690">
        <v>0</v>
      </c>
      <c r="J343" s="690">
        <f ca="1">J344+J347+J348+J349</f>
        <v>328</v>
      </c>
      <c r="K343" s="689">
        <v>0</v>
      </c>
      <c r="L343" s="687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IFERROR(__xludf.DUMMYFUNCTION("IMPORTRANGE(""https://docs.google.com/spreadsheets/d/1eHaY18a8A9IcSdp1K8H6x8fbOy06t2VsZHhMHf-1x7Y/edit?usp=sharing"",""แผน!EK85"")"),340)</f>
        <v>340</v>
      </c>
      <c r="J344" s="152">
        <f ca="1">IFERROR(__xludf.DUMMYFUNCTION("IMPORTRANGE(""https://docs.google.com/spreadsheets/d/1awYsYK3VOup2i3Pq_Yjnu8DRu_mYwSBnCR2QPthd0rU/edit?usp=sharing"",""ศูนย์ยกเว้นโฉนด!D85"")"),209)</f>
        <v>209</v>
      </c>
      <c r="K344" s="47">
        <f ca="1">IF(I344&gt;0,J344*100/I344,0)</f>
        <v>61.470588235294116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IFERROR(__xludf.DUMMYFUNCTION("IMPORTRANGE(""https://docs.google.com/spreadsheets/d/1eHaY18a8A9IcSdp1K8H6x8fbOy06t2VsZHhMHf-1x7Y/edit?usp=sharing"",""แผน!EL85"")"),2)</f>
        <v>2</v>
      </c>
      <c r="J346" s="152">
        <f ca="1">IFERROR(__xludf.DUMMYFUNCTION("IMPORTRANGE(""https://docs.google.com/spreadsheets/d/1awYsYK3VOup2i3Pq_Yjnu8DRu_mYwSBnCR2QPthd0rU/edit?usp=sharing"",""ศูนย์รวม!E85"")"),1)</f>
        <v>1</v>
      </c>
      <c r="K346" s="47">
        <f ca="1">IF(I346&gt;0,J346*100/I346,0)</f>
        <v>50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IFERROR(__xludf.DUMMYFUNCTION("IMPORTRANGE(""https://docs.google.com/spreadsheets/d/1awYsYK3VOup2i3Pq_Yjnu8DRu_mYwSBnCR2QPthd0rU/edit?usp=sharing"",""ศูนย์ยกเว้นโฉนด!F85"")"),119)</f>
        <v>119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IFERROR(__xludf.DUMMYFUNCTION("IMPORTRANGE(""https://docs.google.com/spreadsheets/d/1awYsYK3VOup2i3Pq_Yjnu8DRu_mYwSBnCR2QPthd0rU/edit?usp=sharing"",""ศูนย์ยกเว้นโฉนด!G85"")"),0)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IFERROR(__xludf.DUMMYFUNCTION("IMPORTRANGE(""https://docs.google.com/spreadsheets/d/1awYsYK3VOup2i3Pq_Yjnu8DRu_mYwSBnCR2QPthd0rU/edit?usp=sharing"",""ศูนย์ยกเว้นโฉนด!H85"")"),0)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8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2665</v>
      </c>
      <c r="K351" s="229">
        <v>0</v>
      </c>
      <c r="L351" s="687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IFERROR(__xludf.DUMMYFUNCTION("IMPORTRANGE(""https://docs.google.com/spreadsheets/d/1awYsYK3VOup2i3Pq_Yjnu8DRu_mYwSBnCR2QPthd0rU/edit?usp=sharing"",""โฉนดM3!G85"")"),516)</f>
        <v>516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IFERROR(__xludf.DUMMYFUNCTION("IMPORTRANGE(""https://docs.google.com/spreadsheets/d/1awYsYK3VOup2i3Pq_Yjnu8DRu_mYwSBnCR2QPthd0rU/edit?usp=sharing"",""โฉนดM3!H85"")"),2149)</f>
        <v>2149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9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545480</v>
      </c>
      <c r="M356" s="132">
        <f ca="1">M357+M358</f>
        <v>545480</v>
      </c>
      <c r="N356" s="132">
        <f ca="1">N357+N358</f>
        <v>299494.61</v>
      </c>
      <c r="O356" s="132">
        <f ca="1">IF(L356&gt;0,N356*100/L356,0)</f>
        <v>54.904782943462635</v>
      </c>
      <c r="P356" s="132">
        <f ca="1">IF(M356&gt;0,N356*100/M356,0)</f>
        <v>54.904782943462635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545480</v>
      </c>
      <c r="M358" s="47">
        <f ca="1">M361+M364</f>
        <v>545480</v>
      </c>
      <c r="N358" s="47">
        <f ca="1">N361+N364</f>
        <v>299494.61</v>
      </c>
      <c r="O358" s="47">
        <f ca="1">IF(L358&gt;0,N358*100/L358,0)</f>
        <v>54.904782943462635</v>
      </c>
      <c r="P358" s="47">
        <f ca="1">IF(M358&gt;0,N358*100/M358,0)</f>
        <v>54.904782943462635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545480</v>
      </c>
      <c r="M359" s="47">
        <f ca="1">M360+M361</f>
        <v>545480</v>
      </c>
      <c r="N359" s="47">
        <f ca="1">N360+N361</f>
        <v>299494.61</v>
      </c>
      <c r="O359" s="47">
        <f ca="1">IF(L359&gt;0,N359*100/L359,0)</f>
        <v>54.904782943462635</v>
      </c>
      <c r="P359" s="47">
        <f ca="1">IF(M359&gt;0,N359*100/M359,0)</f>
        <v>54.904782943462635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IFERROR(__xludf.DUMMYFUNCTION("IMPORTRANGE(""https://docs.google.com/spreadsheets/d/1-uDff_7J0KD5mKrp0Vvzr7lt3OU09vwQwhkpOPPYv2Y/edit?usp=sharing"",""งบพรบ!FC85"")"),545480)</f>
        <v>545480</v>
      </c>
      <c r="M361" s="47">
        <f ca="1">IFERROR(__xludf.DUMMYFUNCTION("IMPORTRANGE(""https://docs.google.com/spreadsheets/d/1-uDff_7J0KD5mKrp0Vvzr7lt3OU09vwQwhkpOPPYv2Y/edit?usp=sharing"",""งบพรบ!FH85"")"),545480)</f>
        <v>545480</v>
      </c>
      <c r="N361" s="47">
        <f ca="1">IFERROR(__xludf.DUMMYFUNCTION("IMPORTRANGE(""https://docs.google.com/spreadsheets/d/1-uDff_7J0KD5mKrp0Vvzr7lt3OU09vwQwhkpOPPYv2Y/edit?usp=sharing"",""งบพรบ!FJ85"")"),299494.61)</f>
        <v>299494.61</v>
      </c>
      <c r="O361" s="47">
        <f ca="1">IF(L361&gt;0,N361*100/L361,0)</f>
        <v>54.904782943462635</v>
      </c>
      <c r="P361" s="47">
        <f ca="1">IF(M361&gt;0,N361*100/M361,0)</f>
        <v>54.904782943462635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IFERROR(__xludf.DUMMYFUNCTION("IMPORTRANGE(""https://docs.google.com/spreadsheets/d/1-uDff_7J0KD5mKrp0Vvzr7lt3OU09vwQwhkpOPPYv2Y/edit?usp=sharing"",""งบพรบ!FF85"")"),0)</f>
        <v>0</v>
      </c>
      <c r="M364" s="47">
        <f ca="1">IFERROR(__xludf.DUMMYFUNCTION("IMPORTRANGE(""https://docs.google.com/spreadsheets/d/1-uDff_7J0KD5mKrp0Vvzr7lt3OU09vwQwhkpOPPYv2Y/edit?usp=sharing"",""งบพรบ!FI85"")"),0)</f>
        <v>0</v>
      </c>
      <c r="N364" s="47">
        <f ca="1">IFERROR(__xludf.DUMMYFUNCTION("IMPORTRANGE(""https://docs.google.com/spreadsheets/d/1-uDff_7J0KD5mKrp0Vvzr7lt3OU09vwQwhkpOPPYv2Y/edit?usp=sharing"",""งบพรบ!FK85"")"),0)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8" t="s">
        <v>149</v>
      </c>
      <c r="E365" s="225"/>
      <c r="F365" s="225"/>
      <c r="G365" s="226"/>
      <c r="H365" s="234" t="s">
        <v>35</v>
      </c>
      <c r="I365" s="228">
        <f ca="1">I371</f>
        <v>74</v>
      </c>
      <c r="J365" s="228">
        <f ca="1">J371</f>
        <v>50</v>
      </c>
      <c r="K365" s="229">
        <f ca="1">IF(I365&gt;0,J365*100/I365,0)</f>
        <v>67.567567567567565</v>
      </c>
      <c r="L365" s="687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IFERROR(__xludf.DUMMYFUNCTION("IMPORTRANGE(""https://docs.google.com/spreadsheets/d/1tdoBKaGub7dwA3U6UFTqxio9LNnvDCQjHKmttSEBsFQ/edit?usp=sharing"",""จัดที่ดิน!AB85"")"),72)</f>
        <v>72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IFERROR(__xludf.DUMMYFUNCTION("IMPORTRANGE(""https://docs.google.com/spreadsheets/d/1eHaY18a8A9IcSdp1K8H6x8fbOy06t2VsZHhMHf-1x7Y/edit?usp=sharing"",""แผน!EW85"")"),410)</f>
        <v>410</v>
      </c>
      <c r="J368" s="686">
        <f ca="1">IFERROR(__xludf.DUMMYFUNCTION("IMPORTRANGE(""https://docs.google.com/spreadsheets/d/1tdoBKaGub7dwA3U6UFTqxio9LNnvDCQjHKmttSEBsFQ/edit?usp=sharing"",""จัดที่ดิน!AC85"")"),562.88)</f>
        <v>562.88</v>
      </c>
      <c r="K368" s="47">
        <f ca="1">IF(I368&gt;0,J368*100/I368,0)</f>
        <v>137.28780487804877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IFERROR(__xludf.DUMMYFUNCTION("IMPORTRANGE(""https://docs.google.com/spreadsheets/d/1eHaY18a8A9IcSdp1K8H6x8fbOy06t2VsZHhMHf-1x7Y/edit?usp=sharing"",""แผน!EX85"")"),74)</f>
        <v>74</v>
      </c>
      <c r="J369" s="152">
        <f ca="1">IFERROR(__xludf.DUMMYFUNCTION("IMPORTRANGE(""https://docs.google.com/spreadsheets/d/1tdoBKaGub7dwA3U6UFTqxio9LNnvDCQjHKmttSEBsFQ/edit?usp=sharing"",""จัดที่ดิน!AD85"")"),91)</f>
        <v>91</v>
      </c>
      <c r="K369" s="47">
        <f ca="1">IF(I369&gt;0,J369*100/I369,0)</f>
        <v>122.97297297297297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6">
        <f ca="1">IFERROR(__xludf.DUMMYFUNCTION("IMPORTRANGE(""https://docs.google.com/spreadsheets/d/1tdoBKaGub7dwA3U6UFTqxio9LNnvDCQjHKmttSEBsFQ/edit?usp=sharing"",""จัดที่ดิน!AE85"")"),1179.12)</f>
        <v>1179.1199999999999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IFERROR(__xludf.DUMMYFUNCTION("IMPORTRANGE(""https://docs.google.com/spreadsheets/d/1eHaY18a8A9IcSdp1K8H6x8fbOy06t2VsZHhMHf-1x7Y/edit?usp=sharing"",""แผน!EY85"")"),74)</f>
        <v>74</v>
      </c>
      <c r="J371" s="152">
        <f ca="1">IFERROR(__xludf.DUMMYFUNCTION("IMPORTRANGE(""https://docs.google.com/spreadsheets/d/1tdoBKaGub7dwA3U6UFTqxio9LNnvDCQjHKmttSEBsFQ/edit?usp=sharing"",""จัดที่ดิน!AF85"")"),50)</f>
        <v>50</v>
      </c>
      <c r="K371" s="47">
        <f ca="1">IF(I371&gt;0,J371*100/I371,0)</f>
        <v>67.567567567567565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6">
        <f ca="1">IFERROR(__xludf.DUMMYFUNCTION("IMPORTRANGE(""https://docs.google.com/spreadsheets/d/1tdoBKaGub7dwA3U6UFTqxio9LNnvDCQjHKmttSEBsFQ/edit?usp=sharing"",""จัดที่ดิน!AG85"")"),683.37)</f>
        <v>683.37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5"/>
      <c r="B374" s="684" t="s">
        <v>153</v>
      </c>
      <c r="C374" s="683"/>
      <c r="D374" s="682"/>
      <c r="E374" s="681"/>
      <c r="F374" s="681"/>
      <c r="G374" s="680"/>
      <c r="H374" s="679" t="s">
        <v>46</v>
      </c>
      <c r="I374" s="678">
        <f ca="1">I386+I388</f>
        <v>300</v>
      </c>
      <c r="J374" s="678">
        <f ca="1">J386+J388</f>
        <v>0</v>
      </c>
      <c r="K374" s="677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18750</v>
      </c>
      <c r="R375" s="132">
        <f ca="1">R376+R377</f>
        <v>18750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18750</v>
      </c>
      <c r="R377" s="47">
        <f ca="1">R380+R383</f>
        <v>18750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18750</v>
      </c>
      <c r="R378" s="47">
        <f ca="1">R379+R380</f>
        <v>18750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IFERROR(__xludf.DUMMYFUNCTION("IMPORTRANGE(""https://docs.google.com/spreadsheets/d/1-uDff_7J0KD5mKrp0Vvzr7lt3OU09vwQwhkpOPPYv2Y/edit?usp=sharing"",""งบพรบ!IE85"")"),0)</f>
        <v>0</v>
      </c>
      <c r="M380" s="47">
        <f ca="1">IFERROR(__xludf.DUMMYFUNCTION("IMPORTRANGE(""https://docs.google.com/spreadsheets/d/1-uDff_7J0KD5mKrp0Vvzr7lt3OU09vwQwhkpOPPYv2Y/edit?usp=sharing"",""งบพรบ!IJ85"")"),0)</f>
        <v>0</v>
      </c>
      <c r="N380" s="47">
        <f ca="1">IFERROR(__xludf.DUMMYFUNCTION("IMPORTRANGE(""https://docs.google.com/spreadsheets/d/1-uDff_7J0KD5mKrp0Vvzr7lt3OU09vwQwhkpOPPYv2Y/edit?usp=sharing"",""งบพรบ!IL85"")"),0)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IFERROR(__xludf.DUMMYFUNCTION("IMPORTRANGE(""https://docs.google.com/spreadsheets/d/1ItG2mGa2ceCfYo0BwxsXqNm01IGEUdYcSSLTEv9YCik/edit?usp=sharing"",""เบิกจ่ายกองทุน!BW85"")"),18750)</f>
        <v>18750</v>
      </c>
      <c r="R380" s="47">
        <f ca="1">IFERROR(__xludf.DUMMYFUNCTION("IMPORTRANGE(""https://docs.google.com/spreadsheets/d/1ItG2mGa2ceCfYo0BwxsXqNm01IGEUdYcSSLTEv9YCik/edit?usp=sharing"",""เบิกจ่ายกองทุน!BX85"")"),18750)</f>
        <v>18750</v>
      </c>
      <c r="S380" s="47">
        <f ca="1">IFERROR(__xludf.DUMMYFUNCTION("IMPORTRANGE(""https://docs.google.com/spreadsheets/d/1ItG2mGa2ceCfYo0BwxsXqNm01IGEUdYcSSLTEv9YCik/edit?usp=sharing"",""เบิกจ่ายกองทุน!BY85"")"),0)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IFERROR(__xludf.DUMMYFUNCTION("IMPORTRANGE(""https://docs.google.com/spreadsheets/d/1-uDff_7J0KD5mKrp0Vvzr7lt3OU09vwQwhkpOPPYv2Y/edit?usp=sharing"",""งบพรบ!IH85"")"),0)</f>
        <v>0</v>
      </c>
      <c r="M383" s="47">
        <f ca="1">IFERROR(__xludf.DUMMYFUNCTION("IMPORTRANGE(""https://docs.google.com/spreadsheets/d/1-uDff_7J0KD5mKrp0Vvzr7lt3OU09vwQwhkpOPPYv2Y/edit?usp=sharing"",""งบพรบ!IK85"")"),0)</f>
        <v>0</v>
      </c>
      <c r="N383" s="47">
        <f ca="1">IFERROR(__xludf.DUMMYFUNCTION("IMPORTRANGE(""https://docs.google.com/spreadsheets/d/1-uDff_7J0KD5mKrp0Vvzr7lt3OU09vwQwhkpOPPYv2Y/edit?usp=sharing"",""งบพรบ!IM85"")"),0)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IFERROR(__xludf.DUMMYFUNCTION("IMPORTRANGE(""https://docs.google.com/spreadsheets/d/1w5rwWK1o49a35cNtocGL0gxDwhFSTZUQu90BiH9_zqM/edit?usp=sharing"",""RTK!H85"")"),0)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IFERROR(__xludf.DUMMYFUNCTION("IMPORTRANGE(""https://docs.google.com/spreadsheets/d/1w5rwWK1o49a35cNtocGL0gxDwhFSTZUQu90BiH9_zqM/edit?usp=sharing"",""RTK!G85"")"),300)</f>
        <v>300</v>
      </c>
      <c r="J386" s="152">
        <f ca="1">IFERROR(__xludf.DUMMYFUNCTION("IMPORTRANGE(""https://docs.google.com/spreadsheets/d/1w5rwWK1o49a35cNtocGL0gxDwhFSTZUQu90BiH9_zqM/edit?usp=sharing"",""RTK!I85"")"),0)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326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IFERROR(__xludf.DUMMYFUNCTION("IMPORTRANGE(""https://docs.google.com/spreadsheets/d/1w5rwWK1o49a35cNtocGL0gxDwhFSTZUQu90BiH9_zqM/edit?usp=sharing"",""RTK!L85"")"),0)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326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IFERROR(__xludf.DUMMYFUNCTION("IMPORTRANGE(""https://docs.google.com/spreadsheets/d/1w5rwWK1o49a35cNtocGL0gxDwhFSTZUQu90BiH9_zqM/edit?usp=sharing"",""RTK!K85"")"),0)</f>
        <v>0</v>
      </c>
      <c r="J388" s="330">
        <f ca="1">IFERROR(__xludf.DUMMYFUNCTION("IMPORTRANGE(""https://docs.google.com/spreadsheets/d/1w5rwWK1o49a35cNtocGL0gxDwhFSTZUQu90BiH9_zqM/edit?usp=sharing"",""RTK!M85"")"),0)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89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33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IFERROR(__xludf.DUMMYFUNCTION("IMPORTRANGE(""https://docs.google.com/spreadsheets/d/1ItG2mGa2ceCfYo0BwxsXqNm01IGEUdYcSSLTEv9YCik/edit?usp=sharing"",""เบิกจ่ายกองทุน!CL85"")"),0)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IFERROR(__xludf.DUMMYFUNCTION("IMPORTRANGE(""https://docs.google.com/spreadsheets/d/1ItG2mGa2ceCfYo0BwxsXqNm01IGEUdYcSSLTEv9YCik/edit?usp=sharing"",""เบิกจ่ายกองทุน!CM85"")"),0)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IFERROR(__xludf.DUMMYFUNCTION("IMPORTRANGE(""https://docs.google.com/spreadsheets/d/1ItG2mGa2ceCfYo0BwxsXqNm01IGEUdYcSSLTEv9YCik/edit?usp=sharing"",""เบิกจ่ายกองทุน!CN85"")"),0)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89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89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89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89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89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89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89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89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89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33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hidden="1" x14ac:dyDescent="0.3">
      <c r="A412" s="31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40" t="s">
        <v>18</v>
      </c>
      <c r="D413" s="650" t="s">
        <v>19</v>
      </c>
      <c r="E413" s="518"/>
      <c r="F413" s="518"/>
      <c r="G413" s="519"/>
      <c r="H413" s="341" t="s">
        <v>14</v>
      </c>
      <c r="I413" s="45"/>
      <c r="J413" s="45"/>
      <c r="K413" s="46"/>
      <c r="L413" s="550">
        <f ca="1">L414+L415</f>
        <v>0</v>
      </c>
      <c r="M413" s="132">
        <f ca="1">M414+M415</f>
        <v>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45" t="s">
        <v>158</v>
      </c>
      <c r="F414" s="159"/>
      <c r="G414" s="191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0</v>
      </c>
      <c r="M415" s="47">
        <f ca="1">M418+M421</f>
        <v>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0</v>
      </c>
      <c r="R415" s="47">
        <f ca="1">R418+R421</f>
        <v>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hidden="1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0</v>
      </c>
      <c r="M416" s="47">
        <f ca="1">M417+M418</f>
        <v>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IFERROR(__xludf.DUMMYFUNCTION("IMPORTRANGE(""https://docs.google.com/spreadsheets/d/1-uDff_7J0KD5mKrp0Vvzr7lt3OU09vwQwhkpOPPYv2Y/edit?usp=sharing"",""งบพรบ!IO85"")"),0)</f>
        <v>0</v>
      </c>
      <c r="M418" s="47">
        <f ca="1">IFERROR(__xludf.DUMMYFUNCTION("IMPORTRANGE(""https://docs.google.com/spreadsheets/d/1-uDff_7J0KD5mKrp0Vvzr7lt3OU09vwQwhkpOPPYv2Y/edit?usp=sharing"",""งบพรบ!IT85"")"),0)</f>
        <v>0</v>
      </c>
      <c r="N418" s="47">
        <f ca="1">IFERROR(__xludf.DUMMYFUNCTION("IMPORTRANGE(""https://docs.google.com/spreadsheets/d/1-uDff_7J0KD5mKrp0Vvzr7lt3OU09vwQwhkpOPPYv2Y/edit?usp=sharing"",""งบพรบ!IV85"")"),0)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IFERROR(__xludf.DUMMYFUNCTION("IMPORTRANGE(""https://docs.google.com/spreadsheets/d/1ItG2mGa2ceCfYo0BwxsXqNm01IGEUdYcSSLTEv9YCik/edit?usp=sharing"",""เบิกจ่ายกองทุน!BZ85"")"),0)</f>
        <v>0</v>
      </c>
      <c r="R418" s="47">
        <f ca="1">IFERROR(__xludf.DUMMYFUNCTION("IMPORTRANGE(""https://docs.google.com/spreadsheets/d/1ItG2mGa2ceCfYo0BwxsXqNm01IGEUdYcSSLTEv9YCik/edit?usp=sharing"",""เบิกจ่ายกองทุน!CA85"")"),0)</f>
        <v>0</v>
      </c>
      <c r="S418" s="47">
        <f ca="1">IFERROR(__xludf.DUMMYFUNCTION("IMPORTRANGE(""https://docs.google.com/spreadsheets/d/1ItG2mGa2ceCfYo0BwxsXqNm01IGEUdYcSSLTEv9YCik/edit?usp=sharing"",""เบิกจ่ายกองทุน!CB85"")"),0)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hidden="1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IFERROR(__xludf.DUMMYFUNCTION("IMPORTRANGE(""https://docs.google.com/spreadsheets/d/1-uDff_7J0KD5mKrp0Vvzr7lt3OU09vwQwhkpOPPYv2Y/edit?usp=sharing"",""งบพรบ!IR85"")"),0)</f>
        <v>0</v>
      </c>
      <c r="M421" s="47">
        <f ca="1">IFERROR(__xludf.DUMMYFUNCTION("IMPORTRANGE(""https://docs.google.com/spreadsheets/d/1-uDff_7J0KD5mKrp0Vvzr7lt3OU09vwQwhkpOPPYv2Y/edit?usp=sharing"",""งบพรบ!IU85"")"),0)</f>
        <v>0</v>
      </c>
      <c r="N421" s="47">
        <f ca="1">IFERROR(__xludf.DUMMYFUNCTION("IMPORTRANGE(""https://docs.google.com/spreadsheets/d/1-uDff_7J0KD5mKrp0Vvzr7lt3OU09vwQwhkpOPPYv2Y/edit?usp=sharing"",""งบพรบ!IW85"")"),0)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hidden="1" x14ac:dyDescent="0.3">
      <c r="A422" s="217"/>
      <c r="B422" s="159"/>
      <c r="C422" s="340" t="s">
        <v>18</v>
      </c>
      <c r="D422" s="674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669"/>
      <c r="B423" s="464" t="s">
        <v>160</v>
      </c>
      <c r="C423" s="463"/>
      <c r="D423" s="463"/>
      <c r="E423" s="463"/>
      <c r="F423" s="463"/>
      <c r="G423" s="474"/>
      <c r="H423" s="671" t="s">
        <v>46</v>
      </c>
      <c r="I423" s="468">
        <f ca="1">I440</f>
        <v>0</v>
      </c>
      <c r="J423" s="673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IFERROR(__xludf.DUMMYFUNCTION("IMPORTRANGE(""https://docs.google.com/spreadsheets/d/1eHaY18a8A9IcSdp1K8H6x8fbOy06t2VsZHhMHf-1x7Y/edit?usp=sharing"",""แผน!HJ85"")"),0)</f>
        <v>0</v>
      </c>
      <c r="J424" s="670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IFERROR(__xludf.DUMMYFUNCTION("IMPORTRANGE(""https://docs.google.com/spreadsheets/d/1eHaY18a8A9IcSdp1K8H6x8fbOy06t2VsZHhMHf-1x7Y/edit?usp=sharing"",""แผน!HK85"")"),0)</f>
        <v>0</v>
      </c>
      <c r="J425" s="670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IFERROR(__xludf.DUMMYFUNCTION("IMPORTRANGE(""https://docs.google.com/spreadsheets/d/1eHaY18a8A9IcSdp1K8H6x8fbOy06t2VsZHhMHf-1x7Y/edit?usp=sharing"",""แผน!HJ85"")"),0)</f>
        <v>0</v>
      </c>
      <c r="J432" s="670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IFERROR(__xludf.DUMMYFUNCTION("IMPORTRANGE(""https://docs.google.com/spreadsheets/d/1eHaY18a8A9IcSdp1K8H6x8fbOy06t2VsZHhMHf-1x7Y/edit?usp=sharing"",""แผน!HK85"")"),0)</f>
        <v>0</v>
      </c>
      <c r="J433" s="670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IFERROR(__xludf.DUMMYFUNCTION("IMPORTRANGE(""https://docs.google.com/spreadsheets/d/1eHaY18a8A9IcSdp1K8H6x8fbOy06t2VsZHhMHf-1x7Y/edit?usp=sharing"",""แผน!HJ85"")"),0)</f>
        <v>0</v>
      </c>
      <c r="J440" s="670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IFERROR(__xludf.DUMMYFUNCTION("IMPORTRANGE(""https://docs.google.com/spreadsheets/d/1eHaY18a8A9IcSdp1K8H6x8fbOy06t2VsZHhMHf-1x7Y/edit?usp=sharing"",""แผน!HK85"")"),0)</f>
        <v>0</v>
      </c>
      <c r="J441" s="670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70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70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2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669"/>
      <c r="B456" s="464" t="s">
        <v>177</v>
      </c>
      <c r="C456" s="463"/>
      <c r="D456" s="463"/>
      <c r="E456" s="463"/>
      <c r="F456" s="463"/>
      <c r="G456" s="474"/>
      <c r="H456" s="671" t="s">
        <v>46</v>
      </c>
      <c r="I456" s="468">
        <f ca="1">I457</f>
        <v>0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IFERROR(__xludf.DUMMYFUNCTION("IMPORTRANGE(""https://docs.google.com/spreadsheets/d/1eHaY18a8A9IcSdp1K8H6x8fbOy06t2VsZHhMHf-1x7Y/edit?usp=sharing"",""แผน!HL85"")"),0)</f>
        <v>0</v>
      </c>
      <c r="J457" s="670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IFERROR(__xludf.DUMMYFUNCTION("IMPORTRANGE(""https://docs.google.com/spreadsheets/d/1eHaY18a8A9IcSdp1K8H6x8fbOy06t2VsZHhMHf-1x7Y/edit?usp=sharing"",""แผน!HM85"")"),0)</f>
        <v>0</v>
      </c>
      <c r="J458" s="670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669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650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IFERROR(__xludf.DUMMYFUNCTION("IMPORTRANGE(""https://docs.google.com/spreadsheets/d/1-uDff_7J0KD5mKrp0Vvzr7lt3OU09vwQwhkpOPPYv2Y/edit?usp=sharing"",""งบพรบ!HU85"")"),0)</f>
        <v>0</v>
      </c>
      <c r="M498" s="47">
        <f ca="1">IFERROR(__xludf.DUMMYFUNCTION("IMPORTRANGE(""https://docs.google.com/spreadsheets/d/1-uDff_7J0KD5mKrp0Vvzr7lt3OU09vwQwhkpOPPYv2Y/edit?usp=sharing"",""งบพรบ!HZ85"")"),0)</f>
        <v>0</v>
      </c>
      <c r="N498" s="47">
        <f ca="1">IFERROR(__xludf.DUMMYFUNCTION("IMPORTRANGE(""https://docs.google.com/spreadsheets/d/1-uDff_7J0KD5mKrp0Vvzr7lt3OU09vwQwhkpOPPYv2Y/edit?usp=sharing"",""งบพรบ!IB85"")"),0)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IFERROR(__xludf.DUMMYFUNCTION("IMPORTRANGE(""https://docs.google.com/spreadsheets/d/1ItG2mGa2ceCfYo0BwxsXqNm01IGEUdYcSSLTEv9YCik/edit?usp=sharing"",""เบิกจ่ายกองทุน!AD85"")"),0)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IFERROR(__xludf.DUMMYFUNCTION("IMPORTRANGE(""https://docs.google.com/spreadsheets/d/1ItG2mGa2ceCfYo0BwxsXqNm01IGEUdYcSSLTEv9YCik/edit?usp=sharing"",""เบิกจ่ายกองทุน!AE85"")"),0)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IFERROR(__xludf.DUMMYFUNCTION("IMPORTRANGE(""https://docs.google.com/spreadsheets/d/1ItG2mGa2ceCfYo0BwxsXqNm01IGEUdYcSSLTEv9YCik/edit?usp=sharing"",""เบิกจ่ายกองทุน!AF85"")"),0)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IFERROR(__xludf.DUMMYFUNCTION("IMPORTRANGE(""https://docs.google.com/spreadsheets/d/1-uDff_7J0KD5mKrp0Vvzr7lt3OU09vwQwhkpOPPYv2Y/edit?usp=sharing"",""งบพรบ!HX85"")"),0)</f>
        <v>0</v>
      </c>
      <c r="M501" s="47">
        <f ca="1">IFERROR(__xludf.DUMMYFUNCTION("IMPORTRANGE(""https://docs.google.com/spreadsheets/d/1-uDff_7J0KD5mKrp0Vvzr7lt3OU09vwQwhkpOPPYv2Y/edit?usp=sharing"",""งบพรบ!IA85"")"),0)</f>
        <v>0</v>
      </c>
      <c r="N501" s="47">
        <f ca="1">IFERROR(__xludf.DUMMYFUNCTION("IMPORTRANGE(""https://docs.google.com/spreadsheets/d/1-uDff_7J0KD5mKrp0Vvzr7lt3OU09vwQwhkpOPPYv2Y/edit?usp=sharing"",""งบพรบ!IC85"")"),0)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IFERROR(__xludf.DUMMYFUNCTION("IMPORTRANGE(""https://docs.google.com/spreadsheets/d/1eHaY18a8A9IcSdp1K8H6x8fbOy06t2VsZHhMHf-1x7Y/edit?usp=sharing"",""แผน!GX85"")"),0)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IFERROR(__xludf.DUMMYFUNCTION("IMPORTRANGE(""https://docs.google.com/spreadsheets/d/1eHaY18a8A9IcSdp1K8H6x8fbOy06t2VsZHhMHf-1x7Y/edit?usp=sharing"",""แผน!GY85"")"),0)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IFERROR(__xludf.DUMMYFUNCTION("IMPORTRANGE(""https://docs.google.com/spreadsheets/d/1eHaY18a8A9IcSdp1K8H6x8fbOy06t2VsZHhMHf-1x7Y/edit?usp=sharing"",""แผน!GZ85"")"),0)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IFERROR(__xludf.DUMMYFUNCTION("IMPORTRANGE(""https://docs.google.com/spreadsheets/d/1eHaY18a8A9IcSdp1K8H6x8fbOy06t2VsZHhMHf-1x7Y/edit?usp=sharing"",""แผน!HA85"")"),0)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IFERROR(__xludf.DUMMYFUNCTION("IMPORTRANGE(""https://docs.google.com/spreadsheets/d/1eHaY18a8A9IcSdp1K8H6x8fbOy06t2VsZHhMHf-1x7Y/edit?usp=sharing"",""แผน!HB85"")"),0)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IFERROR(__xludf.DUMMYFUNCTION("IMPORTRANGE(""https://docs.google.com/spreadsheets/d/1eHaY18a8A9IcSdp1K8H6x8fbOy06t2VsZHhMHf-1x7Y/edit?usp=sharing"",""แผน!HC85"")"),0)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29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26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25" t="s">
        <v>207</v>
      </c>
      <c r="C512" s="372"/>
      <c r="D512" s="373"/>
      <c r="E512" s="373"/>
      <c r="F512" s="373"/>
      <c r="G512" s="374"/>
      <c r="H512" s="824" t="s">
        <v>61</v>
      </c>
      <c r="I512" s="823">
        <f>I524</f>
        <v>0</v>
      </c>
      <c r="J512" s="823">
        <f>J524</f>
        <v>0</v>
      </c>
      <c r="K512" s="822">
        <f>IF(I512&gt;0,J512*100/I512,0)</f>
        <v>0</v>
      </c>
      <c r="L512" s="591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21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0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IFERROR(__xludf.DUMMYFUNCTION("IMPORTRANGE(""https://docs.google.com/spreadsheets/d/1-uDff_7J0KD5mKrp0Vvzr7lt3OU09vwQwhkpOPPYv2Y/edit?usp=sharing"",""งบพรบ!FM85"")"),0)</f>
        <v>0</v>
      </c>
      <c r="M518" s="47">
        <f ca="1">IFERROR(__xludf.DUMMYFUNCTION("IMPORTRANGE(""https://docs.google.com/spreadsheets/d/1-uDff_7J0KD5mKrp0Vvzr7lt3OU09vwQwhkpOPPYv2Y/edit?usp=sharing"",""งบพรบ!FR85"")"),0)</f>
        <v>0</v>
      </c>
      <c r="N518" s="47">
        <f ca="1">IFERROR(__xludf.DUMMYFUNCTION("IMPORTRANGE(""https://docs.google.com/spreadsheets/d/1-uDff_7J0KD5mKrp0Vvzr7lt3OU09vwQwhkpOPPYv2Y/edit?usp=sharing"",""งบพรบ!FT85"")"),0)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0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IFERROR(__xludf.DUMMYFUNCTION("IMPORTRANGE(""https://docs.google.com/spreadsheets/d/1-uDff_7J0KD5mKrp0Vvzr7lt3OU09vwQwhkpOPPYv2Y/edit?usp=sharing"",""งบพรบ!FP85"")"),0)</f>
        <v>0</v>
      </c>
      <c r="M521" s="47">
        <f ca="1">IFERROR(__xludf.DUMMYFUNCTION("IMPORTRANGE(""https://docs.google.com/spreadsheets/d/1-uDff_7J0KD5mKrp0Vvzr7lt3OU09vwQwhkpOPPYv2Y/edit?usp=sharing"",""งบพรบ!FS85"")"),0)</f>
        <v>0</v>
      </c>
      <c r="N521" s="47">
        <f ca="1">IFERROR(__xludf.DUMMYFUNCTION("IMPORTRANGE(""https://docs.google.com/spreadsheets/d/1-uDff_7J0KD5mKrp0Vvzr7lt3OU09vwQwhkpOPPYv2Y/edit?usp=sharing"",""งบพรบ!FU85"")"),0)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1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19" t="s">
        <v>209</v>
      </c>
      <c r="E524" s="264"/>
      <c r="F524" s="1"/>
      <c r="G524" s="53"/>
      <c r="H524" s="818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4"/>
      <c r="B525" s="613"/>
      <c r="C525" s="613"/>
      <c r="D525" s="612"/>
      <c r="E525" s="612"/>
      <c r="F525" s="612"/>
      <c r="G525" s="611"/>
      <c r="H525" s="610"/>
      <c r="I525" s="609"/>
      <c r="J525" s="609"/>
      <c r="K525" s="608"/>
      <c r="L525" s="589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89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89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89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89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89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89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2">
        <f>I545</f>
        <v>0</v>
      </c>
      <c r="J533" s="592">
        <f>J545</f>
        <v>0</v>
      </c>
      <c r="K533" s="377">
        <f>IF(I533&gt;0,J533*100/I533,0)</f>
        <v>0</v>
      </c>
      <c r="L533" s="591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IFERROR(__xludf.DUMMYFUNCTION("IMPORTRANGE(""https://docs.google.com/spreadsheets/d/1-uDff_7J0KD5mKrp0Vvzr7lt3OU09vwQwhkpOPPYv2Y/edit?usp=sharing"",""งบพรบ!FW85"")"),0)</f>
        <v>0</v>
      </c>
      <c r="M539" s="47">
        <f ca="1">IFERROR(__xludf.DUMMYFUNCTION("IMPORTRANGE(""https://docs.google.com/spreadsheets/d/1-uDff_7J0KD5mKrp0Vvzr7lt3OU09vwQwhkpOPPYv2Y/edit?usp=sharing"",""งบพรบ!GB85"")"),0)</f>
        <v>0</v>
      </c>
      <c r="N539" s="47">
        <f ca="1">IFERROR(__xludf.DUMMYFUNCTION("IMPORTRANGE(""https://docs.google.com/spreadsheets/d/1-uDff_7J0KD5mKrp0Vvzr7lt3OU09vwQwhkpOPPYv2Y/edit?usp=sharing"",""งบพรบ!GD85"")"),0)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IFERROR(__xludf.DUMMYFUNCTION("IMPORTRANGE(""https://docs.google.com/spreadsheets/d/1-uDff_7J0KD5mKrp0Vvzr7lt3OU09vwQwhkpOPPYv2Y/edit?usp=sharing"",""งบพรบ!FZ85"")"),0)</f>
        <v>0</v>
      </c>
      <c r="M542" s="47">
        <f ca="1">IFERROR(__xludf.DUMMYFUNCTION("IMPORTRANGE(""https://docs.google.com/spreadsheets/d/1-uDff_7J0KD5mKrp0Vvzr7lt3OU09vwQwhkpOPPYv2Y/edit?usp=sharing"",""งบพรบ!GC85"")"),0)</f>
        <v>0</v>
      </c>
      <c r="N542" s="47">
        <f ca="1">IFERROR(__xludf.DUMMYFUNCTION("IMPORTRANGE(""https://docs.google.com/spreadsheets/d/1-uDff_7J0KD5mKrp0Vvzr7lt3OU09vwQwhkpOPPYv2Y/edit?usp=sharing"",""งบพรบ!GE85"")"),0)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89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89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89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89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89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89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89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89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89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2">
        <f>I566</f>
        <v>0</v>
      </c>
      <c r="J554" s="592">
        <f>J566</f>
        <v>0</v>
      </c>
      <c r="K554" s="377">
        <f>IF(I554&gt;0,J554*100/I554,0)</f>
        <v>0</v>
      </c>
      <c r="L554" s="591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IFERROR(__xludf.DUMMYFUNCTION("IMPORTRANGE(""https://docs.google.com/spreadsheets/d/1-uDff_7J0KD5mKrp0Vvzr7lt3OU09vwQwhkpOPPYv2Y/edit?usp=sharing"",""งบพรบ!GG85"")"),0)</f>
        <v>0</v>
      </c>
      <c r="M560" s="47">
        <f ca="1">IFERROR(__xludf.DUMMYFUNCTION("IMPORTRANGE(""https://docs.google.com/spreadsheets/d/1-uDff_7J0KD5mKrp0Vvzr7lt3OU09vwQwhkpOPPYv2Y/edit?usp=sharing"",""งบพรบ!GL85"")"),0)</f>
        <v>0</v>
      </c>
      <c r="N560" s="47">
        <f ca="1">IFERROR(__xludf.DUMMYFUNCTION("IMPORTRANGE(""https://docs.google.com/spreadsheets/d/1-uDff_7J0KD5mKrp0Vvzr7lt3OU09vwQwhkpOPPYv2Y/edit?usp=sharing"",""งบพรบ!GN85"")"),0)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IFERROR(__xludf.DUMMYFUNCTION("IMPORTRANGE(""https://docs.google.com/spreadsheets/d/1-uDff_7J0KD5mKrp0Vvzr7lt3OU09vwQwhkpOPPYv2Y/edit?usp=sharing"",""งบพรบ!GJ85"")"),0)</f>
        <v>0</v>
      </c>
      <c r="M563" s="47">
        <f ca="1">IFERROR(__xludf.DUMMYFUNCTION("IMPORTRANGE(""https://docs.google.com/spreadsheets/d/1-uDff_7J0KD5mKrp0Vvzr7lt3OU09vwQwhkpOPPYv2Y/edit?usp=sharing"",""งบพรบ!GM85"")"),0)</f>
        <v>0</v>
      </c>
      <c r="N563" s="47">
        <f ca="1">IFERROR(__xludf.DUMMYFUNCTION("IMPORTRANGE(""https://docs.google.com/spreadsheets/d/1-uDff_7J0KD5mKrp0Vvzr7lt3OU09vwQwhkpOPPYv2Y/edit?usp=sharing"",""งบพรบ!GO85"")"),0)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89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89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89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89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89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89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89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89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89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2">
        <f>I587</f>
        <v>0</v>
      </c>
      <c r="J575" s="592">
        <f>J587</f>
        <v>0</v>
      </c>
      <c r="K575" s="377">
        <f>IF(I575&gt;0,J575*100/I575,0)</f>
        <v>0</v>
      </c>
      <c r="L575" s="591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IFERROR(__xludf.DUMMYFUNCTION("IMPORTRANGE(""https://docs.google.com/spreadsheets/d/1-uDff_7J0KD5mKrp0Vvzr7lt3OU09vwQwhkpOPPYv2Y/edit?usp=sharing"",""งบพรบ!GQ85"")"),0)</f>
        <v>0</v>
      </c>
      <c r="M581" s="47">
        <f ca="1">IFERROR(__xludf.DUMMYFUNCTION("IMPORTRANGE(""https://docs.google.com/spreadsheets/d/1-uDff_7J0KD5mKrp0Vvzr7lt3OU09vwQwhkpOPPYv2Y/edit?usp=sharing"",""งบพรบ!GV85"")"),0)</f>
        <v>0</v>
      </c>
      <c r="N581" s="47">
        <f ca="1">IFERROR(__xludf.DUMMYFUNCTION("IMPORTRANGE(""https://docs.google.com/spreadsheets/d/1-uDff_7J0KD5mKrp0Vvzr7lt3OU09vwQwhkpOPPYv2Y/edit?usp=sharing"",""งบพรบ!GX85"")"),0)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IFERROR(__xludf.DUMMYFUNCTION("IMPORTRANGE(""https://docs.google.com/spreadsheets/d/1-uDff_7J0KD5mKrp0Vvzr7lt3OU09vwQwhkpOPPYv2Y/edit?usp=sharing"",""งบพรบ!GT85"")"),0)</f>
        <v>0</v>
      </c>
      <c r="M584" s="47">
        <f ca="1">IFERROR(__xludf.DUMMYFUNCTION("IMPORTRANGE(""https://docs.google.com/spreadsheets/d/1-uDff_7J0KD5mKrp0Vvzr7lt3OU09vwQwhkpOPPYv2Y/edit?usp=sharing"",""งบพรบ!GW85"")"),0)</f>
        <v>0</v>
      </c>
      <c r="N584" s="47">
        <f ca="1">IFERROR(__xludf.DUMMYFUNCTION("IMPORTRANGE(""https://docs.google.com/spreadsheets/d/1-uDff_7J0KD5mKrp0Vvzr7lt3OU09vwQwhkpOPPYv2Y/edit?usp=sharing"",""งบพรบ!GY85"")"),0)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89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89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89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89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89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89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89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89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89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35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35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417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2">
        <f ca="1">L600+L601</f>
        <v>10980</v>
      </c>
      <c r="M599" s="421">
        <f ca="1">M600+M601</f>
        <v>10980</v>
      </c>
      <c r="N599" s="421">
        <f ca="1">N600+N601</f>
        <v>0</v>
      </c>
      <c r="O599" s="421">
        <f ca="1">IF(L599&gt;0,N599*100/L599,0)</f>
        <v>0</v>
      </c>
      <c r="P599" s="421">
        <f ca="1">IF(M599&gt;0,N599*100/M599,0)</f>
        <v>0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1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1">
        <f ca="1">L604+L607</f>
        <v>10980</v>
      </c>
      <c r="M601" s="331">
        <f ca="1">M604+M607</f>
        <v>10980</v>
      </c>
      <c r="N601" s="331">
        <f ca="1">N604+N607</f>
        <v>0</v>
      </c>
      <c r="O601" s="331">
        <f ca="1">IF(L601&gt;0,N601*100/L601,0)</f>
        <v>0</v>
      </c>
      <c r="P601" s="331">
        <f ca="1">IF(M601&gt;0,N601*100/M601,0)</f>
        <v>0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9.5" x14ac:dyDescent="0.3">
      <c r="A602" s="416"/>
      <c r="B602" s="326"/>
      <c r="C602" s="326"/>
      <c r="D602" s="418" t="s">
        <v>22</v>
      </c>
      <c r="E602" s="424"/>
      <c r="F602" s="424"/>
      <c r="G602" s="425"/>
      <c r="H602" s="419" t="s">
        <v>14</v>
      </c>
      <c r="I602" s="428"/>
      <c r="J602" s="428"/>
      <c r="K602" s="429"/>
      <c r="L602" s="721">
        <f ca="1">L603+L604</f>
        <v>10980</v>
      </c>
      <c r="M602" s="331">
        <f ca="1">M603+M604</f>
        <v>10980</v>
      </c>
      <c r="N602" s="331">
        <f ca="1">N603+N604</f>
        <v>0</v>
      </c>
      <c r="O602" s="331">
        <f ca="1">IF(L602&gt;0,N602*100/L602,0)</f>
        <v>0</v>
      </c>
      <c r="P602" s="331">
        <f ca="1">IF(M602&gt;0,N602*100/M602,0)</f>
        <v>0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1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1">
        <f ca="1">IFERROR(__xludf.DUMMYFUNCTION("IMPORTRANGE(""https://docs.google.com/spreadsheets/d/1-uDff_7J0KD5mKrp0Vvzr7lt3OU09vwQwhkpOPPYv2Y/edit?usp=sharing"",""งบพรบ!HK85"")"),10980)</f>
        <v>10980</v>
      </c>
      <c r="M604" s="331">
        <f ca="1">IFERROR(__xludf.DUMMYFUNCTION("IMPORTRANGE(""https://docs.google.com/spreadsheets/d/1-uDff_7J0KD5mKrp0Vvzr7lt3OU09vwQwhkpOPPYv2Y/edit?usp=sharing"",""งบพรบ!HP85"")"),10980)</f>
        <v>10980</v>
      </c>
      <c r="N604" s="331">
        <f ca="1">IFERROR(__xludf.DUMMYFUNCTION("IMPORTRANGE(""https://docs.google.com/spreadsheets/d/1-uDff_7J0KD5mKrp0Vvzr7lt3OU09vwQwhkpOPPYv2Y/edit?usp=sharing"",""งบพรบ!HR85"")"),0)</f>
        <v>0</v>
      </c>
      <c r="O604" s="331">
        <f ca="1">IF(L604&gt;0,N604*100/L604,0)</f>
        <v>0</v>
      </c>
      <c r="P604" s="331">
        <f ca="1">IF(M604&gt;0,N604*100/M604,0)</f>
        <v>0</v>
      </c>
      <c r="Q604" s="331">
        <f ca="1">IFERROR(__xludf.DUMMYFUNCTION("IMPORTRANGE(""https://docs.google.com/spreadsheets/d/1ItG2mGa2ceCfYo0BwxsXqNm01IGEUdYcSSLTEv9YCik/edit?usp=sharing"",""เบิกจ่ายกองทุน!AV85"")"),0)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IFERROR(__xludf.DUMMYFUNCTION("IMPORTRANGE(""https://docs.google.com/spreadsheets/d/1ItG2mGa2ceCfYo0BwxsXqNm01IGEUdYcSSLTEv9YCik/edit?usp=sharing"",""เบิกจ่ายกองทุน!AW85"")"),0)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IFERROR(__xludf.DUMMYFUNCTION("IMPORTRANGE(""https://docs.google.com/spreadsheets/d/1ItG2mGa2ceCfYo0BwxsXqNm01IGEUdYcSSLTEv9YCik/edit?usp=sharing"",""เบิกจ่ายกองทุน!AX85"")"),0)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9.5" x14ac:dyDescent="0.3">
      <c r="A605" s="416"/>
      <c r="B605" s="326"/>
      <c r="C605" s="326"/>
      <c r="D605" s="418" t="s">
        <v>23</v>
      </c>
      <c r="E605" s="326"/>
      <c r="F605" s="424"/>
      <c r="G605" s="425"/>
      <c r="H605" s="430" t="s">
        <v>14</v>
      </c>
      <c r="I605" s="428"/>
      <c r="J605" s="428"/>
      <c r="K605" s="429"/>
      <c r="L605" s="721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721">
        <v>0</v>
      </c>
      <c r="M606" s="331">
        <v>0</v>
      </c>
      <c r="N606" s="331">
        <v>0</v>
      </c>
      <c r="O606" s="331">
        <f>IF(L606&gt;0,N606*100/L606,0)</f>
        <v>0</v>
      </c>
      <c r="P606" s="331">
        <f>IF(M606&gt;0,N606*100/M606,0)</f>
        <v>0</v>
      </c>
      <c r="Q606" s="331">
        <v>0</v>
      </c>
      <c r="R606" s="331">
        <v>0</v>
      </c>
      <c r="S606" s="331">
        <v>0</v>
      </c>
      <c r="T606" s="331">
        <f>IF(Q606&gt;0,S606*100/Q606,0)</f>
        <v>0</v>
      </c>
      <c r="U606" s="331">
        <f>IF(R606&gt;0,S606*100/R606,0)</f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721">
        <f ca="1">IFERROR(__xludf.DUMMYFUNCTION("IMPORTRANGE(""https://docs.google.com/spreadsheets/d/1-uDff_7J0KD5mKrp0Vvzr7lt3OU09vwQwhkpOPPYv2Y/edit?usp=sharing"",""งบพรบ!HN85"")"),0)</f>
        <v>0</v>
      </c>
      <c r="M607" s="331">
        <f ca="1">IFERROR(__xludf.DUMMYFUNCTION("IMPORTRANGE(""https://docs.google.com/spreadsheets/d/1-uDff_7J0KD5mKrp0Vvzr7lt3OU09vwQwhkpOPPYv2Y/edit?usp=sharing"",""งบพรบ!HQ85"")"),0)</f>
        <v>0</v>
      </c>
      <c r="N607" s="331">
        <f ca="1">IFERROR(__xludf.DUMMYFUNCTION("IMPORTRANGE(""https://docs.google.com/spreadsheets/d/1-uDff_7J0KD5mKrp0Vvzr7lt3OU09vwQwhkpOPPYv2Y/edit?usp=sharing"",""งบพรบ!HS85"")"),0)</f>
        <v>0</v>
      </c>
      <c r="O607" s="331">
        <f ca="1">IF(L607&gt;0,N607*100/L607,0)</f>
        <v>0</v>
      </c>
      <c r="P607" s="331">
        <f ca="1">IF(M607&gt;0,N607*100/M607,0)</f>
        <v>0</v>
      </c>
      <c r="Q607" s="331">
        <f ca="1">IFERROR(__xludf.DUMMYFUNCTION("IMPORTRANGE(""https://docs.google.com/spreadsheets/d/1ItG2mGa2ceCfYo0BwxsXqNm01IGEUdYcSSLTEv9YCik/edit?usp=sharing"",""เบิกจ่ายกองทุน!AY85"")"),0)</f>
        <v>0</v>
      </c>
      <c r="R607" s="331">
        <f ca="1">IFERROR(__xludf.DUMMYFUNCTION("IMPORTRANGE(""https://docs.google.com/spreadsheets/d/1ItG2mGa2ceCfYo0BwxsXqNm01IGEUdYcSSLTEv9YCik/edit?usp=sharing"",""เบิกจ่ายกองทุน!AZ85"")"),0)</f>
        <v>0</v>
      </c>
      <c r="S607" s="331">
        <f ca="1">IFERROR(__xludf.DUMMYFUNCTION("IMPORTRANGE(""https://docs.google.com/spreadsheets/d/1ItG2mGa2ceCfYo0BwxsXqNm01IGEUdYcSSLTEv9YCik/edit?usp=sharing"",""เบิกจ่ายกองทุน!BA85"")"),0)</f>
        <v>0</v>
      </c>
      <c r="T607" s="331">
        <f ca="1">IF(Q607&gt;0,S607*100/Q607,0)</f>
        <v>0</v>
      </c>
      <c r="U607" s="331">
        <f ca="1">IF(R607&gt;0,S607*100/R607,0)</f>
        <v>0</v>
      </c>
    </row>
    <row r="608" spans="1:21" ht="19.5" hidden="1" x14ac:dyDescent="0.3">
      <c r="A608" s="432"/>
      <c r="B608" s="433"/>
      <c r="C608" s="417" t="s">
        <v>18</v>
      </c>
      <c r="D608" s="617" t="s">
        <v>38</v>
      </c>
      <c r="E608" s="435"/>
      <c r="F608" s="435"/>
      <c r="G608" s="436"/>
      <c r="H608" s="437"/>
      <c r="I608" s="428"/>
      <c r="J608" s="428"/>
      <c r="K608" s="429"/>
      <c r="L608" s="553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hidden="1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553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hidden="1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553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hidden="1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553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9.5" hidden="1" thickBot="1" x14ac:dyDescent="0.3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834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0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56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463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188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1725</v>
      </c>
      <c r="R616" s="132">
        <f ca="1">R617+R618</f>
        <v>1725</v>
      </c>
      <c r="S616" s="132">
        <f ca="1">S617+S618</f>
        <v>1725</v>
      </c>
      <c r="T616" s="132">
        <f ca="1">IF(Q616&gt;0,S616*100/Q616,0)</f>
        <v>100</v>
      </c>
      <c r="U616" s="132">
        <f ca="1">IF(R616&gt;0,S616*100/R616,0)</f>
        <v>100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1725</v>
      </c>
      <c r="R618" s="47">
        <f ca="1">R621+R624</f>
        <v>1725</v>
      </c>
      <c r="S618" s="47">
        <f ca="1">S621+S624</f>
        <v>1725</v>
      </c>
      <c r="T618" s="47">
        <f ca="1">IF(Q618&gt;0,S618*100/Q618,0)</f>
        <v>100</v>
      </c>
      <c r="U618" s="47">
        <f ca="1">IF(R618&gt;0,S618*100/R618,0)</f>
        <v>100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1725</v>
      </c>
      <c r="R619" s="47">
        <f ca="1">R620+R621</f>
        <v>1725</v>
      </c>
      <c r="S619" s="47">
        <f ca="1">S620+S621</f>
        <v>1725</v>
      </c>
      <c r="T619" s="47">
        <f ca="1">IF(Q619&gt;0,S619*100/Q619,0)</f>
        <v>100</v>
      </c>
      <c r="U619" s="47">
        <f ca="1">IF(R619&gt;0,S619*100/R619,0)</f>
        <v>100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IFERROR(__xludf.DUMMYFUNCTION("IMPORTRANGE(""https://docs.google.com/spreadsheets/d/1ItG2mGa2ceCfYo0BwxsXqNm01IGEUdYcSSLTEv9YCik/edit?usp=sharing"",""เบิกจ่ายกองทุน!F85"")"),1725)</f>
        <v>1725</v>
      </c>
      <c r="R621" s="47">
        <f ca="1">IFERROR(__xludf.DUMMYFUNCTION("IMPORTRANGE(""https://docs.google.com/spreadsheets/d/1ItG2mGa2ceCfYo0BwxsXqNm01IGEUdYcSSLTEv9YCik/edit?usp=sharing"",""เบิกจ่ายกองทุน!G85"")"),1725)</f>
        <v>1725</v>
      </c>
      <c r="S621" s="47">
        <f ca="1">IFERROR(__xludf.DUMMYFUNCTION("IMPORTRANGE(""https://docs.google.com/spreadsheets/d/1ItG2mGa2ceCfYo0BwxsXqNm01IGEUdYcSSLTEv9YCik/edit?usp=sharing"",""เบิกจ่ายกองทุน!H85"")"),1725)</f>
        <v>1725</v>
      </c>
      <c r="T621" s="47">
        <f ca="1">IF(Q621&gt;0,S621*100/Q621,0)</f>
        <v>100</v>
      </c>
      <c r="U621" s="47">
        <f ca="1">IF(R621&gt;0,S621*100/R621,0)</f>
        <v>100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IFERROR(__xludf.DUMMYFUNCTION("IMPORTRANGE(""https://docs.google.com/spreadsheets/d/1eHaY18a8A9IcSdp1K8H6x8fbOy06t2VsZHhMHf-1x7Y/edit?usp=sharing"",""แผน!ID85"")"),0)</f>
        <v>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IFERROR(__xludf.DUMMYFUNCTION("IMPORTRANGE(""https://docs.google.com/spreadsheets/d/1eHaY18a8A9IcSdp1K8H6x8fbOy06t2VsZHhMHf-1x7Y/edit?usp=sharing"",""แผน!IC85"")"),1)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IFERROR(__xludf.DUMMYFUNCTION("IMPORTRANGE(""https://docs.google.com/spreadsheets/d/1eHaY18a8A9IcSdp1K8H6x8fbOy06t2VsZHhMHf-1x7Y/edit?usp=sharing"",""แผน!IC85"")"),1)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IFERROR(__xludf.DUMMYFUNCTION("IMPORTRANGE(""https://docs.google.com/spreadsheets/d/1eHaY18a8A9IcSdp1K8H6x8fbOy06t2VsZHhMHf-1x7Y/edit?usp=sharing"",""แผน!IE85"")"),0)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63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IFERROR(__xludf.DUMMYFUNCTION("IMPORTRANGE(""https://docs.google.com/spreadsheets/d/1ItG2mGa2ceCfYo0BwxsXqNm01IGEUdYcSSLTEv9YCik/edit?usp=sharing"",""เบิกจ่ายกองทุน!I85"")"),0)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IFERROR(__xludf.DUMMYFUNCTION("IMPORTRANGE(""https://docs.google.com/spreadsheets/d/1ItG2mGa2ceCfYo0BwxsXqNm01IGEUdYcSSLTEv9YCik/edit?usp=sharing"",""เบิกจ่ายกองทุน!J85"")"),0)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IFERROR(__xludf.DUMMYFUNCTION("IMPORTRANGE(""https://docs.google.com/spreadsheets/d/1ItG2mGa2ceCfYo0BwxsXqNm01IGEUdYcSSLTEv9YCik/edit?usp=sharing"",""เบิกจ่ายกองทุน!K85"")"),0)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IFERROR(__xludf.DUMMYFUNCTION("IMPORTRANGE(""https://docs.google.com/spreadsheets/d/1eHaY18a8A9IcSdp1K8H6x8fbOy06t2VsZHhMHf-1x7Y/edit?usp=sharing"",""แผน!IF85"")"),0)</f>
        <v>0</v>
      </c>
      <c r="J652" s="152">
        <f ca="1">IFERROR(__xludf.DUMMYFUNCTION("IMPORTRANGE(""https://docs.google.com/spreadsheets/d/1tdoBKaGub7dwA3U6UFTqxio9LNnvDCQjHKmttSEBsFQ/edit?usp=sharing"",""จัดที่ดิน!AU85"")"),0)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IFERROR(__xludf.DUMMYFUNCTION("IMPORTRANGE(""https://docs.google.com/spreadsheets/d/1eHaY18a8A9IcSdp1K8H6x8fbOy06t2VsZHhMHf-1x7Y/edit?usp=sharing"",""แผน!IG85"")"),0)</f>
        <v>0</v>
      </c>
      <c r="J653" s="152">
        <f ca="1">IFERROR(__xludf.DUMMYFUNCTION("IMPORTRANGE(""https://docs.google.com/spreadsheets/d/1tdoBKaGub7dwA3U6UFTqxio9LNnvDCQjHKmttSEBsFQ/edit?usp=sharing"",""จัดที่ดิน!AW85"")"),0)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IFERROR(__xludf.DUMMYFUNCTION("IMPORTRANGE(""https://docs.google.com/spreadsheets/d/1eHaY18a8A9IcSdp1K8H6x8fbOy06t2VsZHhMHf-1x7Y/edit?usp=sharing"",""แผน!IH85"")"),0)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IFERROR(__xludf.DUMMYFUNCTION("IMPORTRANGE(""https://docs.google.com/spreadsheets/d/1eHaY18a8A9IcSdp1K8H6x8fbOy06t2VsZHhMHf-1x7Y/edit?usp=sharing"",""แผน!II85"")"),0)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IFERROR(__xludf.DUMMYFUNCTION("IMPORTRANGE(""https://docs.google.com/spreadsheets/d/1eHaY18a8A9IcSdp1K8H6x8fbOy06t2VsZHhMHf-1x7Y/edit?usp=sharing"",""แผน!IJ85"")"),0)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IFERROR(__xludf.DUMMYFUNCTION("IMPORTRANGE(""https://docs.google.com/spreadsheets/d/1eHaY18a8A9IcSdp1K8H6x8fbOy06t2VsZHhMHf-1x7Y/edit?usp=sharing"",""แผน!IK85"")"),0)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IFERROR(__xludf.DUMMYFUNCTION("IMPORTRANGE(""https://docs.google.com/spreadsheets/d/1tdoBKaGub7dwA3U6UFTqxio9LNnvDCQjHKmttSEBsFQ/edit?usp=sharing"",""จัดที่ดิน!AY85"")"),0)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IFERROR(__xludf.DUMMYFUNCTION("IMPORTRANGE(""https://docs.google.com/spreadsheets/d/1tdoBKaGub7dwA3U6UFTqxio9LNnvDCQjHKmttSEBsFQ/edit?usp=sharing"",""จัดที่ดิน!AZ85"")"),0)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IFERROR(__xludf.DUMMYFUNCTION("IMPORTRANGE(""https://docs.google.com/spreadsheets/d/1eHaY18a8A9IcSdp1K8H6x8fbOy06t2VsZHhMHf-1x7Y/edit?usp=sharing"",""แผน!IL85"")"),0)</f>
        <v>0</v>
      </c>
      <c r="J673" s="152">
        <f ca="1">IFERROR(__xludf.DUMMYFUNCTION("IMPORTRANGE(""https://docs.google.com/spreadsheets/d/1tdoBKaGub7dwA3U6UFTqxio9LNnvDCQjHKmttSEBsFQ/edit?usp=sharing"",""จัดที่ดิน!BA85"")"),0)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IFERROR(__xludf.DUMMYFUNCTION("IMPORTRANGE(""https://docs.google.com/spreadsheets/d/1eHaY18a8A9IcSdp1K8H6x8fbOy06t2VsZHhMHf-1x7Y/edit?usp=sharing"",""แผน!IM85"")"),0)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IFERROR(__xludf.DUMMYFUNCTION("IMPORTRANGE(""https://docs.google.com/spreadsheets/d/1eHaY18a8A9IcSdp1K8H6x8fbOy06t2VsZHhMHf-1x7Y/edit?usp=sharing"",""แผน!IN85"")"),0)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IFERROR(__xludf.DUMMYFUNCTION("IMPORTRANGE(""https://docs.google.com/spreadsheets/d/1eHaY18a8A9IcSdp1K8H6x8fbOy06t2VsZHhMHf-1x7Y/edit?usp=sharing"",""แผน!IO85"")"),0)</f>
        <v>0</v>
      </c>
      <c r="J676" s="152">
        <f ca="1">IFERROR(__xludf.DUMMYFUNCTION("IMPORTRANGE(""https://docs.google.com/spreadsheets/d/1tdoBKaGub7dwA3U6UFTqxio9LNnvDCQjHKmttSEBsFQ/edit?usp=sharing"",""จัดที่ดิน!BF85"")"),0)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IFERROR(__xludf.DUMMYFUNCTION("IMPORTRANGE(""https://docs.google.com/spreadsheets/d/1tdoBKaGub7dwA3U6UFTqxio9LNnvDCQjHKmttSEBsFQ/edit?usp=sharing"",""จัดที่ดิน!BG85"")"),0)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IFERROR(__xludf.DUMMYFUNCTION("IMPORTRANGE(""https://docs.google.com/spreadsheets/d/1eHaY18a8A9IcSdp1K8H6x8fbOy06t2VsZHhMHf-1x7Y/edit?usp=sharing"",""แผน!IP85"")"),0)</f>
        <v>0</v>
      </c>
      <c r="J678" s="152">
        <f ca="1">IFERROR(__xludf.DUMMYFUNCTION("IMPORTRANGE(""https://docs.google.com/spreadsheets/d/1tdoBKaGub7dwA3U6UFTqxio9LNnvDCQjHKmttSEBsFQ/edit?usp=sharing"",""จัดที่ดิน!BH85"")"),0)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IFERROR(__xludf.DUMMYFUNCTION("IMPORTRANGE(""https://docs.google.com/spreadsheets/d/1eHaY18a8A9IcSdp1K8H6x8fbOy06t2VsZHhMHf-1x7Y/edit?usp=sharing"",""แผน!IQ85"")"),0)</f>
        <v>0</v>
      </c>
      <c r="J679" s="152">
        <f ca="1">IFERROR(__xludf.DUMMYFUNCTION("IMPORTRANGE(""https://docs.google.com/spreadsheets/d/1tdoBKaGub7dwA3U6UFTqxio9LNnvDCQjHKmttSEBsFQ/edit?usp=sharing"",""จัดที่ดิน!BK85"")"),0)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IFERROR(__xludf.DUMMYFUNCTION("IMPORTRANGE(""https://docs.google.com/spreadsheets/d/1tdoBKaGub7dwA3U6UFTqxio9LNnvDCQjHKmttSEBsFQ/edit?usp=sharing"",""จัดที่ดิน!BL85"")"),0)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IFERROR(__xludf.DUMMYFUNCTION("IMPORTRANGE(""https://docs.google.com/spreadsheets/d/1eHaY18a8A9IcSdp1K8H6x8fbOy06t2VsZHhMHf-1x7Y/edit?usp=sharing"",""แผน!IR85"")"),0)</f>
        <v>0</v>
      </c>
      <c r="J681" s="152">
        <f ca="1">IFERROR(__xludf.DUMMYFUNCTION("IMPORTRANGE(""https://docs.google.com/spreadsheets/d/1tdoBKaGub7dwA3U6UFTqxio9LNnvDCQjHKmttSEBsFQ/edit?usp=sharing"",""จัดที่ดิน!BM85"")"),0)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IFERROR(__xludf.DUMMYFUNCTION("IMPORTRANGE(""https://docs.google.com/spreadsheets/d/1eHaY18a8A9IcSdp1K8H6x8fbOy06t2VsZHhMHf-1x7Y/edit?usp=sharing"",""แผน!IS85"")"),0)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56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66220</v>
      </c>
      <c r="R690" s="132">
        <f ca="1">R691+R692</f>
        <v>66220</v>
      </c>
      <c r="S690" s="132">
        <f ca="1">S691+S692</f>
        <v>2360</v>
      </c>
      <c r="T690" s="132">
        <f ca="1">IF(Q690&gt;0,S690*100/Q690,0)</f>
        <v>3.5638779824826337</v>
      </c>
      <c r="U690" s="132">
        <f ca="1">IF(R690&gt;0,S690*100/R690,0)</f>
        <v>3.5638779824826337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66220</v>
      </c>
      <c r="R692" s="47">
        <f ca="1">R695+R698</f>
        <v>66220</v>
      </c>
      <c r="S692" s="47">
        <f ca="1">S695+S698</f>
        <v>2360</v>
      </c>
      <c r="T692" s="47">
        <f ca="1">IF(Q692&gt;0,S692*100/Q692,0)</f>
        <v>3.5638779824826337</v>
      </c>
      <c r="U692" s="47">
        <f ca="1">IF(R692&gt;0,S692*100/R692,0)</f>
        <v>3.5638779824826337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66220</v>
      </c>
      <c r="R693" s="47">
        <f ca="1">R694+R695</f>
        <v>66220</v>
      </c>
      <c r="S693" s="47">
        <f ca="1">S694+S695</f>
        <v>2360</v>
      </c>
      <c r="T693" s="47">
        <f ca="1">IF(Q693&gt;0,S693*100/Q693,0)</f>
        <v>3.5638779824826337</v>
      </c>
      <c r="U693" s="47">
        <f ca="1">IF(R693&gt;0,S693*100/R693,0)</f>
        <v>3.5638779824826337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IFERROR(__xludf.DUMMYFUNCTION("IMPORTRANGE(""https://docs.google.com/spreadsheets/d/1ItG2mGa2ceCfYo0BwxsXqNm01IGEUdYcSSLTEv9YCik/edit?usp=sharing"",""เบิกจ่ายกองทุน!L85"")"),66220)</f>
        <v>66220</v>
      </c>
      <c r="R695" s="47">
        <f ca="1">IFERROR(__xludf.DUMMYFUNCTION("IMPORTRANGE(""https://docs.google.com/spreadsheets/d/1ItG2mGa2ceCfYo0BwxsXqNm01IGEUdYcSSLTEv9YCik/edit?usp=sharing"",""เบิกจ่ายกองทุน!M85"")"),66220)</f>
        <v>66220</v>
      </c>
      <c r="S695" s="47">
        <f ca="1">IFERROR(__xludf.DUMMYFUNCTION("IMPORTRANGE(""https://docs.google.com/spreadsheets/d/1ItG2mGa2ceCfYo0BwxsXqNm01IGEUdYcSSLTEv9YCik/edit?usp=sharing"",""เบิกจ่ายกองทุน!N85"")"),2360)</f>
        <v>2360</v>
      </c>
      <c r="T695" s="47">
        <f ca="1">IF(Q695&gt;0,S695*100/Q695,0)</f>
        <v>3.5638779824826337</v>
      </c>
      <c r="U695" s="47">
        <f ca="1">IF(R695&gt;0,S695*100/R695,0)</f>
        <v>3.5638779824826337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IFERROR(__xludf.DUMMYFUNCTION("IMPORTRANGE(""https://docs.google.com/spreadsheets/d/1eHaY18a8A9IcSdp1K8H6x8fbOy06t2VsZHhMHf-1x7Y/edit?usp=sharing"",""แผน!LC85"")"),0)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3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IFERROR(__xludf.DUMMYFUNCTION("IMPORTRANGE(""https://docs.google.com/spreadsheets/d/1eHaY18a8A9IcSdp1K8H6x8fbOy06t2VsZHhMHf-1x7Y/edit?usp=sharing"",""แผน!LJ85"")"),0)</f>
        <v>0</v>
      </c>
      <c r="J703" s="152">
        <f ca="1">IFERROR(__xludf.DUMMYFUNCTION("IMPORTRANGE(""https://docs.google.com/spreadsheets/d/1tdoBKaGub7dwA3U6UFTqxio9LNnvDCQjHKmttSEBsFQ/edit?usp=sharing"",""จัดที่ดิน!AP85"")"),0)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IFERROR(__xludf.DUMMYFUNCTION("IMPORTRANGE(""https://docs.google.com/spreadsheets/d/1tdoBKaGub7dwA3U6UFTqxio9LNnvDCQjHKmttSEBsFQ/edit?usp=sharing"",""จัดที่ดิน!AQ85"")"),0)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IFERROR(__xludf.DUMMYFUNCTION("IMPORTRANGE(""https://docs.google.com/spreadsheets/d/1eHaY18a8A9IcSdp1K8H6x8fbOy06t2VsZHhMHf-1x7Y/edit?usp=sharing"",""แผน!LK85"")"),3)</f>
        <v>3</v>
      </c>
      <c r="J705" s="152">
        <f ca="1">IFERROR(__xludf.DUMMYFUNCTION("IMPORTRANGE(""https://docs.google.com/spreadsheets/d/1tdoBKaGub7dwA3U6UFTqxio9LNnvDCQjHKmttSEBsFQ/edit?usp=sharing"",""จัดที่ดิน!AR85"")"),0)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IFERROR(__xludf.DUMMYFUNCTION("IMPORTRANGE(""https://docs.google.com/spreadsheets/d/1tdoBKaGub7dwA3U6UFTqxio9LNnvDCQjHKmttSEBsFQ/edit?usp=sharing"",""จัดที่ดิน!AS85"")"),0)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IFERROR(__xludf.DUMMYFUNCTION("IMPORTRANGE(""https://docs.google.com/spreadsheets/d/1eHaY18a8A9IcSdp1K8H6x8fbOy06t2VsZHhMHf-1x7Y/edit?usp=sharing"",""แผน!LJ85"")"),0)</f>
        <v>0</v>
      </c>
      <c r="J707" s="152">
        <f ca="1">IFERROR(__xludf.DUMMYFUNCTION("IMPORTRANGE(""https://docs.google.com/spreadsheets/d/1tdoBKaGub7dwA3U6UFTqxio9LNnvDCQjHKmttSEBsFQ/edit?usp=sharing"",""จัดที่ดิน!BN85"")"),0)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IFERROR(__xludf.DUMMYFUNCTION("IMPORTRANGE(""https://docs.google.com/spreadsheets/d/1tdoBKaGub7dwA3U6UFTqxio9LNnvDCQjHKmttSEBsFQ/edit?usp=sharing"",""จัดที่ดิน!BO85"")"),0)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IFERROR(__xludf.DUMMYFUNCTION("IMPORTRANGE(""https://docs.google.com/spreadsheets/d/1eHaY18a8A9IcSdp1K8H6x8fbOy06t2VsZHhMHf-1x7Y/edit?usp=sharing"",""แผน!LK85"")"),3)</f>
        <v>3</v>
      </c>
      <c r="J709" s="152">
        <f ca="1">IFERROR(__xludf.DUMMYFUNCTION("IMPORTRANGE(""https://docs.google.com/spreadsheets/d/1tdoBKaGub7dwA3U6UFTqxio9LNnvDCQjHKmttSEBsFQ/edit?usp=sharing"",""จัดที่ดิน!BP85"")"),6)</f>
        <v>6</v>
      </c>
      <c r="K709" s="47">
        <f ca="1">IF(I709&gt;0,J709*100/I709,0)</f>
        <v>200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IFERROR(__xludf.DUMMYFUNCTION("IMPORTRANGE(""https://docs.google.com/spreadsheets/d/1tdoBKaGub7dwA3U6UFTqxio9LNnvDCQjHKmttSEBsFQ/edit?usp=sharing"",""จัดที่ดิน!BQ85"")"),0)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56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56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56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IFERROR(__xludf.DUMMYFUNCTION("IMPORTRANGE(""https://docs.google.com/spreadsheets/d/1eHaY18a8A9IcSdp1K8H6x8fbOy06t2VsZHhMHf-1x7Y/edit?usp=sharing"",""แผน!GA85"")"),51)</f>
        <v>51</v>
      </c>
      <c r="J726" s="483">
        <f>J742+J746+J749</f>
        <v>50</v>
      </c>
      <c r="K726" s="484">
        <f ca="1">IF(I726&gt;0,J726*100/I726,0)</f>
        <v>98.039215686274517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IFERROR(__xludf.DUMMYFUNCTION("IMPORTRANGE(""https://docs.google.com/spreadsheets/d/1eHaY18a8A9IcSdp1K8H6x8fbOy06t2VsZHhMHf-1x7Y/edit?usp=sharing"",""แผน!FZ85"")"),500)</f>
        <v>500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188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379090</v>
      </c>
      <c r="R728" s="132">
        <f ca="1">R729+R730</f>
        <v>379090</v>
      </c>
      <c r="S728" s="132">
        <f ca="1">S729+S730</f>
        <v>37680.01</v>
      </c>
      <c r="T728" s="132">
        <f ca="1">IF(Q728&gt;0,S728*100/Q728,0)</f>
        <v>9.9395948191722283</v>
      </c>
      <c r="U728" s="132">
        <f ca="1">IF(R728&gt;0,S728*100/R728,0)</f>
        <v>9.9395948191722283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379090</v>
      </c>
      <c r="R730" s="47">
        <f ca="1">R733+R736</f>
        <v>379090</v>
      </c>
      <c r="S730" s="47">
        <f ca="1">S733+S736</f>
        <v>37680.01</v>
      </c>
      <c r="T730" s="47">
        <f ca="1">IF(Q730&gt;0,S730*100/Q730,0)</f>
        <v>9.9395948191722283</v>
      </c>
      <c r="U730" s="47">
        <f ca="1">IF(R730&gt;0,S730*100/R730,0)</f>
        <v>9.9395948191722283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379090</v>
      </c>
      <c r="R731" s="47">
        <f ca="1">R732+R733</f>
        <v>379090</v>
      </c>
      <c r="S731" s="47">
        <f ca="1">S732+S733</f>
        <v>37680.01</v>
      </c>
      <c r="T731" s="47">
        <f ca="1">IF(Q731&gt;0,S731*100/Q731,0)</f>
        <v>9.9395948191722283</v>
      </c>
      <c r="U731" s="47">
        <f ca="1">IF(R731&gt;0,S731*100/R731,0)</f>
        <v>9.9395948191722283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IFERROR(__xludf.DUMMYFUNCTION("IMPORTRANGE(""https://docs.google.com/spreadsheets/d/1ItG2mGa2ceCfYo0BwxsXqNm01IGEUdYcSSLTEv9YCik/edit?usp=sharing"",""เบิกจ่ายกองทุน!O85"")"),379090)</f>
        <v>379090</v>
      </c>
      <c r="R733" s="47">
        <f ca="1">IFERROR(__xludf.DUMMYFUNCTION("IMPORTRANGE(""https://docs.google.com/spreadsheets/d/1ItG2mGa2ceCfYo0BwxsXqNm01IGEUdYcSSLTEv9YCik/edit?usp=sharing"",""เบิกจ่ายกองทุน!P85"")"),379090)</f>
        <v>379090</v>
      </c>
      <c r="S733" s="47">
        <f ca="1">IFERROR(__xludf.DUMMYFUNCTION("IMPORTRANGE(""https://docs.google.com/spreadsheets/d/1ItG2mGa2ceCfYo0BwxsXqNm01IGEUdYcSSLTEv9YCik/edit?usp=sharing"",""เบิกจ่ายกองทุน!Q85"")"),37680.01)</f>
        <v>37680.01</v>
      </c>
      <c r="T733" s="47">
        <f ca="1">IF(Q733&gt;0,S733*100/Q733,0)</f>
        <v>9.9395948191722283</v>
      </c>
      <c r="U733" s="47">
        <f ca="1">IF(R733&gt;0,S733*100/R733,0)</f>
        <v>9.9395948191722283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432"/>
      <c r="B739" s="433"/>
      <c r="C739" s="433"/>
      <c r="D739" s="433"/>
      <c r="E739" s="438" t="s">
        <v>273</v>
      </c>
      <c r="F739" s="433"/>
      <c r="G739" s="439"/>
      <c r="H739" s="328"/>
      <c r="I739" s="420"/>
      <c r="J739" s="420"/>
      <c r="K739" s="332"/>
      <c r="L739" s="553"/>
      <c r="M739" s="332"/>
      <c r="N739" s="332"/>
      <c r="O739" s="332"/>
      <c r="P739" s="332"/>
      <c r="Q739" s="332"/>
      <c r="R739" s="332"/>
      <c r="S739" s="332"/>
      <c r="T739" s="332"/>
      <c r="U739" s="332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IFERROR(__xludf.DUMMYFUNCTION("IMPORTRANGE(""https://docs.google.com/spreadsheets/d/1eHaY18a8A9IcSdp1K8H6x8fbOy06t2VsZHhMHf-1x7Y/edit?usp=sharing"",""แผน!GB85"")"),400)</f>
        <v>400</v>
      </c>
      <c r="J740" s="554">
        <v>455</v>
      </c>
      <c r="K740" s="331">
        <f ca="1">IF(I740&gt;0,J740*100/I740,0)</f>
        <v>113.75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40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IFERROR(__xludf.DUMMYFUNCTION("IMPORTRANGE(""https://docs.google.com/spreadsheets/d/1eHaY18a8A9IcSdp1K8H6x8fbOy06t2VsZHhMHf-1x7Y/edit?usp=sharing"",""แผน!GC85"")"),40)</f>
        <v>40</v>
      </c>
      <c r="J742" s="554">
        <v>40</v>
      </c>
      <c r="K742" s="331">
        <f ca="1">IF(I742&gt;0,J742*100/I742,0)</f>
        <v>100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IFERROR(__xludf.DUMMYFUNCTION("IMPORTRANGE(""https://docs.google.com/spreadsheets/d/1eHaY18a8A9IcSdp1K8H6x8fbOy06t2VsZHhMHf-1x7Y/edit?usp=sharing"",""แผน!GD85"")"),100)</f>
        <v>100</v>
      </c>
      <c r="J744" s="554">
        <v>115</v>
      </c>
      <c r="K744" s="331">
        <f ca="1">IF(I744&gt;0,J744*100/I744,0)</f>
        <v>115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10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IFERROR(__xludf.DUMMYFUNCTION("IMPORTRANGE(""https://docs.google.com/spreadsheets/d/1eHaY18a8A9IcSdp1K8H6x8fbOy06t2VsZHhMHf-1x7Y/edit?usp=sharing"",""แผน!GE85"")"),10)</f>
        <v>10</v>
      </c>
      <c r="J746" s="554">
        <v>10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IFERROR(__xludf.DUMMYFUNCTION("IMPORTRANGE(""https://docs.google.com/spreadsheets/d/1eHaY18a8A9IcSdp1K8H6x8fbOy06t2VsZHhMHf-1x7Y/edit?usp=sharing"",""แผน!GF85"")"),1)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IFERROR(__xludf.DUMMYFUNCTION("IMPORTRANGE(""https://docs.google.com/spreadsheets/d/1eHaY18a8A9IcSdp1K8H6x8fbOy06t2VsZHhMHf-1x7Y/edit?usp=sharing"",""แผน!GB85"")"),400)</f>
        <v>400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IFERROR(__xludf.DUMMYFUNCTION("IMPORTRANGE(""https://docs.google.com/spreadsheets/d/1eHaY18a8A9IcSdp1K8H6x8fbOy06t2VsZHhMHf-1x7Y/edit?usp=sharing"",""แผน!GD85"")"),100)</f>
        <v>100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9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56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20</v>
      </c>
      <c r="J758" s="483">
        <f>J772</f>
        <v>20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20</v>
      </c>
      <c r="J759" s="483">
        <f>J774</f>
        <v>20</v>
      </c>
      <c r="K759" s="484">
        <f ca="1">IF(I759&gt;0,J759*100/I759,0)</f>
        <v>100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109660</v>
      </c>
      <c r="R760" s="132">
        <f ca="1">R761+R762</f>
        <v>109660</v>
      </c>
      <c r="S760" s="132">
        <f ca="1">S761+S762</f>
        <v>62860</v>
      </c>
      <c r="T760" s="132">
        <f ca="1">IF(Q760&gt;0,S760*100/Q760,0)</f>
        <v>57.322633594747401</v>
      </c>
      <c r="U760" s="132">
        <f ca="1">IF(R760&gt;0,S760*100/R760,0)</f>
        <v>57.322633594747401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109660</v>
      </c>
      <c r="R762" s="47">
        <f ca="1">R765+R768</f>
        <v>109660</v>
      </c>
      <c r="S762" s="47">
        <f ca="1">S765+S768</f>
        <v>62860</v>
      </c>
      <c r="T762" s="47">
        <f ca="1">IF(Q762&gt;0,S762*100/Q762,0)</f>
        <v>57.322633594747401</v>
      </c>
      <c r="U762" s="47">
        <f ca="1">IF(R762&gt;0,S762*100/R762,0)</f>
        <v>57.322633594747401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109660</v>
      </c>
      <c r="R763" s="47">
        <f ca="1">R764+R765</f>
        <v>109660</v>
      </c>
      <c r="S763" s="47">
        <f ca="1">S764+S765</f>
        <v>62860</v>
      </c>
      <c r="T763" s="47">
        <f ca="1">IF(Q763&gt;0,S763*100/Q763,0)</f>
        <v>57.322633594747401</v>
      </c>
      <c r="U763" s="47">
        <f ca="1">IF(R763&gt;0,S763*100/R763,0)</f>
        <v>57.322633594747401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IFERROR(__xludf.DUMMYFUNCTION("IMPORTRANGE(""https://docs.google.com/spreadsheets/d/1ItG2mGa2ceCfYo0BwxsXqNm01IGEUdYcSSLTEv9YCik/edit?usp=sharing"",""เบิกจ่ายกองทุน!AA85"")"),109660)</f>
        <v>109660</v>
      </c>
      <c r="R765" s="47">
        <f ca="1">IFERROR(__xludf.DUMMYFUNCTION("IMPORTRANGE(""https://docs.google.com/spreadsheets/d/1ItG2mGa2ceCfYo0BwxsXqNm01IGEUdYcSSLTEv9YCik/edit?usp=sharing"",""เบิกจ่ายกองทุน!AB85"")"),109660)</f>
        <v>109660</v>
      </c>
      <c r="S765" s="47">
        <f ca="1">IFERROR(__xludf.DUMMYFUNCTION("IMPORTRANGE(""https://docs.google.com/spreadsheets/d/1ItG2mGa2ceCfYo0BwxsXqNm01IGEUdYcSSLTEv9YCik/edit?usp=sharing"",""เบิกจ่ายกองทุน!AC85"")"),62860)</f>
        <v>62860</v>
      </c>
      <c r="T765" s="47">
        <f ca="1">IF(Q765&gt;0,S765*100/Q765,0)</f>
        <v>57.322633594747401</v>
      </c>
      <c r="U765" s="47">
        <f ca="1">IF(R765&gt;0,S765*100/R765,0)</f>
        <v>57.322633594747401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IFERROR(__xludf.DUMMYFUNCTION("IMPORTRANGE(""https://docs.google.com/spreadsheets/d/1eHaY18a8A9IcSdp1K8H6x8fbOy06t2VsZHhMHf-1x7Y/edit?usp=sharing"",""แผน!FI85"")"),0)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IFERROR(__xludf.DUMMYFUNCTION("IMPORTRANGE(""https://docs.google.com/spreadsheets/d/1eHaY18a8A9IcSdp1K8H6x8fbOy06t2VsZHhMHf-1x7Y/edit?usp=sharing"",""แผน!FQ85"")"),20)</f>
        <v>20</v>
      </c>
      <c r="J772" s="167">
        <v>20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IFERROR(__xludf.DUMMYFUNCTION("IMPORTRANGE(""https://docs.google.com/spreadsheets/d/1eHaY18a8A9IcSdp1K8H6x8fbOy06t2VsZHhMHf-1x7Y/edit?usp=sharing"",""แผน!FR85"")"),20)</f>
        <v>20</v>
      </c>
      <c r="J774" s="167">
        <v>20</v>
      </c>
      <c r="K774" s="47">
        <f ca="1">IF(I774&gt;0,J774*100/I774,0)</f>
        <v>100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IFERROR(__xludf.DUMMYFUNCTION("IMPORTRANGE(""https://docs.google.com/spreadsheets/d/1eHaY18a8A9IcSdp1K8H6x8fbOy06t2VsZHhMHf-1x7Y/edit?usp=sharing"",""แผน!FS85"")"),20)</f>
        <v>20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IFERROR(__xludf.DUMMYFUNCTION("IMPORTRANGE(""https://docs.google.com/spreadsheets/d/1eHaY18a8A9IcSdp1K8H6x8fbOy06t2VsZHhMHf-1x7Y/edit?usp=sharing"",""แผน!FT85"")"),20)</f>
        <v>20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IFERROR(__xludf.DUMMYFUNCTION("IMPORTRANGE(""https://docs.google.com/spreadsheets/d/10OvvATaaLtwErnr3qtWFcTmtbfpFEt5Bsqel9sXx0uE/edit?usp=sharing"",""งานกองทุน!D85"")"),1451596.33)</f>
        <v>1451596.33</v>
      </c>
      <c r="J778" s="152">
        <f ca="1">IFERROR(__xludf.DUMMYFUNCTION("IMPORTRANGE(""https://docs.google.com/spreadsheets/d/10OvvATaaLtwErnr3qtWFcTmtbfpFEt5Bsqel9sXx0uE/edit?usp=sharing"",""งานกองทุน!F85"")"),895655.05)</f>
        <v>895655.05</v>
      </c>
      <c r="K778" s="47">
        <f ca="1">IF(I778&gt;0,J778*100/I778,0)</f>
        <v>61.701385673798164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IFERROR(__xludf.DUMMYFUNCTION("IMPORTRANGE(""https://docs.google.com/spreadsheets/d/10OvvATaaLtwErnr3qtWFcTmtbfpFEt5Bsqel9sXx0uE/edit?usp=sharing"",""งานกองทุน!C85"")"),152)</f>
        <v>152</v>
      </c>
      <c r="J779" s="152">
        <f ca="1">IFERROR(__xludf.DUMMYFUNCTION("IMPORTRANGE(""https://docs.google.com/spreadsheets/d/10OvvATaaLtwErnr3qtWFcTmtbfpFEt5Bsqel9sXx0uE/edit?usp=sharing"",""งานกองทุน!E85"")"),98)</f>
        <v>98</v>
      </c>
      <c r="K779" s="47">
        <f ca="1">IF(I779&gt;0,J779*100/I779,0)</f>
        <v>64.473684210526315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IFERROR(__xludf.DUMMYFUNCTION("IMPORTRANGE(""https://docs.google.com/spreadsheets/d/10OvvATaaLtwErnr3qtWFcTmtbfpFEt5Bsqel9sXx0uE/edit?usp=sharing"",""งานกองทุน!I85"")"),1576971.94)</f>
        <v>1576971.94</v>
      </c>
      <c r="J780" s="152">
        <f ca="1">IFERROR(__xludf.DUMMYFUNCTION("IMPORTRANGE(""https://docs.google.com/spreadsheets/d/10OvvATaaLtwErnr3qtWFcTmtbfpFEt5Bsqel9sXx0uE/edit?usp=sharing"",""งานกองทุน!K85"")"),142407.83)</f>
        <v>142407.82999999999</v>
      </c>
      <c r="K780" s="47">
        <f ca="1">IF(I780&gt;0,J780*100/I780,0)</f>
        <v>9.0304606180881049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IFERROR(__xludf.DUMMYFUNCTION("IMPORTRANGE(""https://docs.google.com/spreadsheets/d/10OvvATaaLtwErnr3qtWFcTmtbfpFEt5Bsqel9sXx0uE/edit?usp=sharing"",""งานกองทุน!H85"")"),99)</f>
        <v>99</v>
      </c>
      <c r="J781" s="152">
        <f ca="1">IFERROR(__xludf.DUMMYFUNCTION("IMPORTRANGE(""https://docs.google.com/spreadsheets/d/10OvvATaaLtwErnr3qtWFcTmtbfpFEt5Bsqel9sXx0uE/edit?usp=sharing"",""งานกองทุน!J85"")"),16)</f>
        <v>16</v>
      </c>
      <c r="K781" s="47">
        <f ca="1">IF(I781&gt;0,J781*100/I781,0)</f>
        <v>16.161616161616163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IFERROR(__xludf.DUMMYFUNCTION("IMPORTRANGE(""https://docs.google.com/spreadsheets/d/10OvvATaaLtwErnr3qtWFcTmtbfpFEt5Bsqel9sXx0uE/edit?usp=sharing"",""งานกองทุน!N85"")"),0)</f>
        <v>0</v>
      </c>
      <c r="J782" s="152">
        <f ca="1">IFERROR(__xludf.DUMMYFUNCTION("IMPORTRANGE(""https://docs.google.com/spreadsheets/d/10OvvATaaLtwErnr3qtWFcTmtbfpFEt5Bsqel9sXx0uE/edit?usp=sharing"",""งานกองทุน!P85"")"),0)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IFERROR(__xludf.DUMMYFUNCTION("IMPORTRANGE(""https://docs.google.com/spreadsheets/d/10OvvATaaLtwErnr3qtWFcTmtbfpFEt5Bsqel9sXx0uE/edit?usp=sharing"",""งานกองทุน!M85"")"),0)</f>
        <v>0</v>
      </c>
      <c r="J783" s="152">
        <f ca="1">IFERROR(__xludf.DUMMYFUNCTION("IMPORTRANGE(""https://docs.google.com/spreadsheets/d/10OvvATaaLtwErnr3qtWFcTmtbfpFEt5Bsqel9sXx0uE/edit?usp=sharing"",""งานกองทุน!O85"")"),0)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IFERROR(__xludf.DUMMYFUNCTION("IMPORTRANGE(""https://docs.google.com/spreadsheets/d/10OvvATaaLtwErnr3qtWFcTmtbfpFEt5Bsqel9sXx0uE/edit?usp=sharing"",""งานกองทุน!S85"")"),1288000)</f>
        <v>1288000</v>
      </c>
      <c r="J784" s="152">
        <f ca="1">IFERROR(__xludf.DUMMYFUNCTION("IMPORTRANGE(""https://docs.google.com/spreadsheets/d/10OvvATaaLtwErnr3qtWFcTmtbfpFEt5Bsqel9sXx0uE/edit?usp=sharing"",""งานกองทุน!U85"")"),480000)</f>
        <v>480000</v>
      </c>
      <c r="K784" s="47">
        <f ca="1">IF(I784&gt;0,J784*100/I784,0)</f>
        <v>37.267080745341616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IFERROR(__xludf.DUMMYFUNCTION("IMPORTRANGE(""https://docs.google.com/spreadsheets/d/10OvvATaaLtwErnr3qtWFcTmtbfpFEt5Bsqel9sXx0uE/edit?usp=sharing"",""งานกองทุน!R85"")"),46)</f>
        <v>46</v>
      </c>
      <c r="J785" s="197">
        <f ca="1">IFERROR(__xludf.DUMMYFUNCTION("IMPORTRANGE(""https://docs.google.com/spreadsheets/d/10OvvATaaLtwErnr3qtWFcTmtbfpFEt5Bsqel9sXx0uE/edit?usp=sharing"",""งานกองทุน!T85"")"),15)</f>
        <v>15</v>
      </c>
      <c r="K785" s="111">
        <f ca="1">IF(I785&gt;0,J785*100/I785,0)</f>
        <v>32.608695652173914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4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3CC68-69C6-47E2-9988-25D35CAB156F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 x14ac:dyDescent="0.3">
      <c r="A1" s="817" t="s">
        <v>0</v>
      </c>
      <c r="B1" s="817"/>
      <c r="C1" s="817"/>
      <c r="D1" s="817"/>
      <c r="E1" s="817"/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7"/>
      <c r="R1" s="817"/>
      <c r="S1" s="817"/>
      <c r="T1" s="817"/>
      <c r="U1" s="817"/>
    </row>
    <row r="2" spans="1:21" s="897" customFormat="1" ht="19.5" x14ac:dyDescent="0.3">
      <c r="A2" s="817" t="s">
        <v>326</v>
      </c>
      <c r="B2" s="817"/>
      <c r="C2" s="817"/>
      <c r="D2" s="817"/>
      <c r="E2" s="817"/>
      <c r="F2" s="817"/>
      <c r="G2" s="817"/>
      <c r="H2" s="817"/>
      <c r="I2" s="817"/>
      <c r="J2" s="817"/>
      <c r="K2" s="817"/>
      <c r="L2" s="817"/>
      <c r="M2" s="817"/>
      <c r="N2" s="817"/>
      <c r="O2" s="817"/>
      <c r="P2" s="817"/>
      <c r="Q2" s="817"/>
      <c r="R2" s="817"/>
      <c r="S2" s="817"/>
      <c r="T2" s="817"/>
      <c r="U2" s="817"/>
    </row>
    <row r="3" spans="1:21" ht="19.5" x14ac:dyDescent="0.3">
      <c r="A3" s="817" t="s">
        <v>332</v>
      </c>
      <c r="B3" s="817"/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  <c r="S3" s="817"/>
      <c r="T3" s="817"/>
      <c r="U3" s="817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816"/>
      <c r="L4" s="815" t="s">
        <v>2</v>
      </c>
      <c r="M4" s="518"/>
      <c r="N4" s="518"/>
      <c r="O4" s="518"/>
      <c r="P4" s="519"/>
      <c r="Q4" s="814" t="s">
        <v>3</v>
      </c>
      <c r="R4" s="518"/>
      <c r="S4" s="518"/>
      <c r="T4" s="518"/>
      <c r="U4" s="519"/>
    </row>
    <row r="5" spans="1:21" ht="19.5" x14ac:dyDescent="0.3">
      <c r="A5" s="813" t="s">
        <v>4</v>
      </c>
      <c r="B5" s="522"/>
      <c r="C5" s="522"/>
      <c r="D5" s="522"/>
      <c r="E5" s="522"/>
      <c r="F5" s="522"/>
      <c r="G5" s="535"/>
      <c r="H5" s="812" t="s">
        <v>5</v>
      </c>
      <c r="I5" s="527" t="s">
        <v>6</v>
      </c>
      <c r="J5" s="518"/>
      <c r="K5" s="519"/>
      <c r="L5" s="811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0"/>
      <c r="I6" s="7" t="s">
        <v>9</v>
      </c>
      <c r="J6" s="8" t="s">
        <v>10</v>
      </c>
      <c r="K6" s="7" t="s">
        <v>11</v>
      </c>
      <c r="L6" s="809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2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1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1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1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1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1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1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1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1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08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7">
        <f ca="1">L19+L20</f>
        <v>3063000</v>
      </c>
      <c r="M18" s="35">
        <f ca="1">M19+M20</f>
        <v>3473409</v>
      </c>
      <c r="N18" s="35">
        <f ca="1">N19+N20</f>
        <v>2430105.41</v>
      </c>
      <c r="O18" s="35">
        <f ca="1">IF(L18&gt;0,N18*100/L18,0)</f>
        <v>79.33742768527587</v>
      </c>
      <c r="P18" s="35">
        <f ca="1">IF(M18&gt;0,N18*100/M18,0)</f>
        <v>69.963122972273055</v>
      </c>
      <c r="Q18" s="35">
        <f ca="1">Q19+Q20</f>
        <v>1915609.22</v>
      </c>
      <c r="R18" s="35">
        <f ca="1">R19+R20</f>
        <v>1915609</v>
      </c>
      <c r="S18" s="35">
        <f ca="1">S19+S20</f>
        <v>500553</v>
      </c>
      <c r="T18" s="35">
        <f ca="1">IF(Q18&gt;0,S18*100/Q18,0)</f>
        <v>26.130225036189792</v>
      </c>
      <c r="U18" s="35">
        <f ca="1">IF(R18&gt;0,S18*100/R18,0)</f>
        <v>26.13022803714119</v>
      </c>
    </row>
    <row r="19" spans="1:21" ht="18.75" hidden="1" x14ac:dyDescent="0.25">
      <c r="A19" s="27"/>
      <c r="B19" s="28"/>
      <c r="C19" s="28"/>
      <c r="D19" s="28"/>
      <c r="E19" s="806" t="s">
        <v>20</v>
      </c>
      <c r="F19" s="28"/>
      <c r="G19" s="31"/>
      <c r="H19" s="805" t="s">
        <v>14</v>
      </c>
      <c r="I19" s="33"/>
      <c r="J19" s="33"/>
      <c r="K19" s="34"/>
      <c r="L19" s="804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3">
        <f ca="1">L23+L26</f>
        <v>3063000</v>
      </c>
      <c r="M20" s="39">
        <f ca="1">M23+M26</f>
        <v>3473409</v>
      </c>
      <c r="N20" s="39">
        <f ca="1">N23+N26</f>
        <v>2430105.41</v>
      </c>
      <c r="O20" s="39">
        <f ca="1">IF(L20&gt;0,N20*100/L20,0)</f>
        <v>79.33742768527587</v>
      </c>
      <c r="P20" s="39">
        <f ca="1">IF(M20&gt;0,N20*100/M20,0)</f>
        <v>69.963122972273055</v>
      </c>
      <c r="Q20" s="39">
        <f ca="1">Q23+Q26</f>
        <v>1915609.22</v>
      </c>
      <c r="R20" s="39">
        <f ca="1">R23+R26</f>
        <v>1915609</v>
      </c>
      <c r="S20" s="39">
        <f ca="1">S23+S26</f>
        <v>500553</v>
      </c>
      <c r="T20" s="39">
        <f ca="1">IF(Q20&gt;0,S20*100/Q20,0)</f>
        <v>26.130225036189792</v>
      </c>
      <c r="U20" s="39">
        <f ca="1">IF(R20&gt;0,S20*100/R20,0)</f>
        <v>26.13022803714119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2885000</v>
      </c>
      <c r="M21" s="47">
        <f ca="1">M22+M23</f>
        <v>3295409</v>
      </c>
      <c r="N21" s="47">
        <f ca="1">N22+N23</f>
        <v>2252105.41</v>
      </c>
      <c r="O21" s="47">
        <f ca="1">IF(L21&gt;0,N21*100/L21,0)</f>
        <v>78.062579202772966</v>
      </c>
      <c r="P21" s="47">
        <f ca="1">IF(M21&gt;0,N21*100/M21,0)</f>
        <v>68.340694887948658</v>
      </c>
      <c r="Q21" s="47">
        <f ca="1">Q22+Q23</f>
        <v>1915609.22</v>
      </c>
      <c r="R21" s="47">
        <f ca="1">R22+R23</f>
        <v>1915609</v>
      </c>
      <c r="S21" s="47">
        <f ca="1">S22+S23</f>
        <v>500553</v>
      </c>
      <c r="T21" s="47">
        <f ca="1">IF(Q21&gt;0,S21*100/Q21,0)</f>
        <v>26.130225036189792</v>
      </c>
      <c r="U21" s="47">
        <f ca="1">IF(R21&gt;0,S21*100/R21,0)</f>
        <v>26.13022803714119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L49+L64+L77+L99+L130+L144+L162+L191+L178+L271+L287+L308+L325+L338+L361+L518</f>
        <v>2885000</v>
      </c>
      <c r="M23" s="47">
        <f ca="1">M49+M64+M77+M99+M130+M144+M162+M191+M178+M271+M287+M308+M325+M338+M361+M518</f>
        <v>3295409</v>
      </c>
      <c r="N23" s="47">
        <f ca="1">N49+N64+N77+N99+N130+N144+N162+N191+N178+N271+N287+N308+N325+N338+N361+N518</f>
        <v>2252105.41</v>
      </c>
      <c r="O23" s="47">
        <f ca="1">IF(L23&gt;0,N23*100/L23,0)</f>
        <v>78.062579202772966</v>
      </c>
      <c r="P23" s="47">
        <f ca="1">IF(M23&gt;0,N23*100/M23,0)</f>
        <v>68.340694887948658</v>
      </c>
      <c r="Q23" s="47">
        <f ca="1">Q77+Q99+Q122+Q144+Q162+Q178+Q191+Q271+Q287+Q308+Q338+Q380+Q397+Q418+Q498+Q604+Q621+Q647+Q695+Q719+Q733+Q765</f>
        <v>1915609.22</v>
      </c>
      <c r="R23" s="47">
        <f ca="1">R77+R99+R122+R144+R162+R178+R191+R271+R287+R308+R338+R380+R397+R418+R498+R604+R621+R647+R695+R719+R733+R765</f>
        <v>1915609</v>
      </c>
      <c r="S23" s="47">
        <f ca="1">S77+S99+S122+S144+S162+S178+S191+S271+S287+S308+S338+S380+S397+S418+S498+S604+S621+S647+S695+S719+S733+S765</f>
        <v>500553</v>
      </c>
      <c r="T23" s="47">
        <f ca="1">IF(Q23&gt;0,S23*100/Q23,0)</f>
        <v>26.130225036189792</v>
      </c>
      <c r="U23" s="47">
        <f ca="1">IF(R23&gt;0,S23*100/R23,0)</f>
        <v>26.13022803714119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178000</v>
      </c>
      <c r="M24" s="47">
        <f ca="1">M25+M26</f>
        <v>178000</v>
      </c>
      <c r="N24" s="47">
        <f ca="1">N25+N26</f>
        <v>178000</v>
      </c>
      <c r="O24" s="47">
        <f ca="1">IF(L24&gt;0,N24*100/L24,0)</f>
        <v>100</v>
      </c>
      <c r="P24" s="47">
        <f ca="1">IF(M24&gt;0,N24*100/M24,0)</f>
        <v>100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L52+L67+L80+L102+L133+L147+L165+L194+L181+L274+L290+L311+L328+L341+L364+L521</f>
        <v>178000</v>
      </c>
      <c r="M26" s="47">
        <f ca="1">M52+M67+M80+M102+M133+M147+M165+M194+M181+M274+M290+M311+M328+M341+M364+M521</f>
        <v>178000</v>
      </c>
      <c r="N26" s="47">
        <f ca="1">N52+N67+N80+N102+N133+N147+N165+N194+N181+N274+N290+N311+N328+N341+N364+N521</f>
        <v>178000</v>
      </c>
      <c r="O26" s="47">
        <f ca="1">IF(L26&gt;0,N26*100/L26,0)</f>
        <v>100</v>
      </c>
      <c r="P26" s="47">
        <f ca="1">IF(M26&gt;0,N26*100/M26,0)</f>
        <v>100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2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1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1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1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1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1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1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1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1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1">
        <f ca="1">L44+L59+L72+L94+L125+L139+L157+L173+L186+L266+L282+L303+L320+L333+L356</f>
        <v>3063000</v>
      </c>
      <c r="M40" s="800">
        <f ca="1">M44+M59+M72+M94+M125+M139+M157+M173+M186+M266+M282+M303+M320+M333+M356</f>
        <v>3473409</v>
      </c>
      <c r="N40" s="800">
        <f ca="1">N44+N59+N72+N94+N125+N139+N157+N173+N186+N266+N282+N303+N320+N333+N356</f>
        <v>2430105.41</v>
      </c>
      <c r="O40" s="800">
        <f ca="1">IF(L40&gt;0,N40*100/L40,0)</f>
        <v>79.33742768527587</v>
      </c>
      <c r="P40" s="800">
        <f ca="1">IF(M40&gt;0,N40*100/M40,0)</f>
        <v>69.963122972273055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99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1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600100</v>
      </c>
      <c r="M44" s="79">
        <f ca="1">M45+M46</f>
        <v>730849</v>
      </c>
      <c r="N44" s="79">
        <f ca="1">N45+N46</f>
        <v>521926</v>
      </c>
      <c r="O44" s="79">
        <f ca="1">IF(L44&gt;0,N44*100/L44,0)</f>
        <v>86.973171138143641</v>
      </c>
      <c r="P44" s="79">
        <f ca="1">IF(M44&gt;0,N44*100/M44,0)</f>
        <v>71.413657267096212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600100</v>
      </c>
      <c r="M46" s="83">
        <f ca="1">M49+M52</f>
        <v>730849</v>
      </c>
      <c r="N46" s="83">
        <f ca="1">N49+N52</f>
        <v>521926</v>
      </c>
      <c r="O46" s="83">
        <f ca="1">IF(L46&gt;0,N46*100/L46,0)</f>
        <v>86.973171138143641</v>
      </c>
      <c r="P46" s="83">
        <f ca="1">IF(M46&gt;0,N46*100/M46,0)</f>
        <v>71.413657267096212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600100</v>
      </c>
      <c r="M47" s="47">
        <f ca="1">M48+M49</f>
        <v>730849</v>
      </c>
      <c r="N47" s="47">
        <f ca="1">N48+N49</f>
        <v>521926</v>
      </c>
      <c r="O47" s="47">
        <f ca="1">IF(L47&gt;0,N47*100/L47,0)</f>
        <v>86.973171138143641</v>
      </c>
      <c r="P47" s="47">
        <f ca="1">IF(M47&gt;0,N47*100/M47,0)</f>
        <v>71.413657267096212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IFERROR(__xludf.DUMMYFUNCTION("IMPORTRANGE(""https://docs.google.com/spreadsheets/d/1-uDff_7J0KD5mKrp0Vvzr7lt3OU09vwQwhkpOPPYv2Y/edit?usp=sharing"",""งบพรบ!P86"")"),600100)</f>
        <v>600100</v>
      </c>
      <c r="M49" s="47">
        <f ca="1">IFERROR(__xludf.DUMMYFUNCTION("IMPORTRANGE(""https://docs.google.com/spreadsheets/d/1-uDff_7J0KD5mKrp0Vvzr7lt3OU09vwQwhkpOPPYv2Y/edit?usp=sharing"",""งบพรบ!V86"")"),730849)</f>
        <v>730849</v>
      </c>
      <c r="N49" s="47">
        <f ca="1">IFERROR(__xludf.DUMMYFUNCTION("IMPORTRANGE(""https://docs.google.com/spreadsheets/d/1-uDff_7J0KD5mKrp0Vvzr7lt3OU09vwQwhkpOPPYv2Y/edit?usp=sharing"",""งบพรบ!Y86"")"),521926)</f>
        <v>521926</v>
      </c>
      <c r="O49" s="47">
        <f ca="1">IF(L49&gt;0,N49*100/L49,0)</f>
        <v>86.973171138143641</v>
      </c>
      <c r="P49" s="47">
        <f ca="1">IF(M49&gt;0,N49*100/M49,0)</f>
        <v>71.413657267096212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IFERROR(__xludf.DUMMYFUNCTION("IMPORTRANGE(""https://docs.google.com/spreadsheets/d/1-uDff_7J0KD5mKrp0Vvzr7lt3OU09vwQwhkpOPPYv2Y/edit?usp=sharing"",""งบพรบ!S86"")"),0)</f>
        <v>0</v>
      </c>
      <c r="M52" s="47">
        <f ca="1">IFERROR(__xludf.DUMMYFUNCTION("IMPORTRANGE(""https://docs.google.com/spreadsheets/d/1-uDff_7J0KD5mKrp0Vvzr7lt3OU09vwQwhkpOPPYv2Y/edit?usp=sharing"",""งบพรบ!W86"")"),0)</f>
        <v>0</v>
      </c>
      <c r="N52" s="47">
        <f ca="1">IFERROR(__xludf.DUMMYFUNCTION("IMPORTRANGE(""https://docs.google.com/spreadsheets/d/1-uDff_7J0KD5mKrp0Vvzr7lt3OU09vwQwhkpOPPYv2Y/edit?usp=sharing"",""งบพรบ!Z86"")"),0)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863200</v>
      </c>
      <c r="M59" s="106">
        <f ca="1">M60+M61</f>
        <v>1096800</v>
      </c>
      <c r="N59" s="106">
        <f ca="1">N60+N61</f>
        <v>964529.75</v>
      </c>
      <c r="O59" s="106">
        <f ca="1">IF(L59&gt;0,N59*100/L59,0)</f>
        <v>111.73884962928638</v>
      </c>
      <c r="P59" s="106">
        <f ca="1">IF(M59&gt;0,N59*100/M59,0)</f>
        <v>87.940349197665938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863200</v>
      </c>
      <c r="M61" s="109">
        <f ca="1">M64+M67</f>
        <v>1096800</v>
      </c>
      <c r="N61" s="109">
        <f ca="1">N64+N67</f>
        <v>964529.75</v>
      </c>
      <c r="O61" s="109">
        <f ca="1">IF(L61&gt;0,N61*100/L61,0)</f>
        <v>111.73884962928638</v>
      </c>
      <c r="P61" s="109">
        <f ca="1">IF(M61&gt;0,N61*100/M61,0)</f>
        <v>87.940349197665938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685200</v>
      </c>
      <c r="M62" s="47">
        <f ca="1">M63+M64</f>
        <v>918800</v>
      </c>
      <c r="N62" s="47">
        <f ca="1">N63+N64</f>
        <v>786529.75</v>
      </c>
      <c r="O62" s="47">
        <f ca="1">IF(L62&gt;0,N62*100/L62,0)</f>
        <v>114.78834646818447</v>
      </c>
      <c r="P62" s="47">
        <f ca="1">IF(M62&gt;0,N62*100/M62,0)</f>
        <v>85.60402154984763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IFERROR(__xludf.DUMMYFUNCTION("IMPORTRANGE(""https://docs.google.com/spreadsheets/d/1-uDff_7J0KD5mKrp0Vvzr7lt3OU09vwQwhkpOPPYv2Y/edit?usp=sharing"",""งบพรบ!AC86"")"),685200)</f>
        <v>685200</v>
      </c>
      <c r="M64" s="47">
        <f ca="1">IFERROR(__xludf.DUMMYFUNCTION("IMPORTRANGE(""https://docs.google.com/spreadsheets/d/1-uDff_7J0KD5mKrp0Vvzr7lt3OU09vwQwhkpOPPYv2Y/edit?usp=sharing"",""งบพรบ!AH86"")"),918800)</f>
        <v>918800</v>
      </c>
      <c r="N64" s="47">
        <f ca="1">IFERROR(__xludf.DUMMYFUNCTION("IMPORTRANGE(""https://docs.google.com/spreadsheets/d/1-uDff_7J0KD5mKrp0Vvzr7lt3OU09vwQwhkpOPPYv2Y/edit?usp=sharing"",""งบพรบ!AJ86"")"),786529.75)</f>
        <v>786529.75</v>
      </c>
      <c r="O64" s="47">
        <f ca="1">IF(L64&gt;0,N64*100/L64,0)</f>
        <v>114.78834646818447</v>
      </c>
      <c r="P64" s="47">
        <f ca="1">IF(M64&gt;0,N64*100/M64,0)</f>
        <v>85.60402154984763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178000</v>
      </c>
      <c r="M65" s="47">
        <f ca="1">M66+M67</f>
        <v>178000</v>
      </c>
      <c r="N65" s="47">
        <f ca="1">N66+N67</f>
        <v>178000</v>
      </c>
      <c r="O65" s="47">
        <f ca="1">IF(L65&gt;0,N65*100/L65,0)</f>
        <v>100</v>
      </c>
      <c r="P65" s="47">
        <f ca="1">IF(M65&gt;0,N65*100/M65,0)</f>
        <v>100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IFERROR(__xludf.DUMMYFUNCTION("IMPORTRANGE(""https://docs.google.com/spreadsheets/d/1-uDff_7J0KD5mKrp0Vvzr7lt3OU09vwQwhkpOPPYv2Y/edit?usp=sharing"",""งบพรบ!AF86"")"),178000)</f>
        <v>178000</v>
      </c>
      <c r="M67" s="111">
        <f ca="1">IFERROR(__xludf.DUMMYFUNCTION("IMPORTRANGE(""https://docs.google.com/spreadsheets/d/1-uDff_7J0KD5mKrp0Vvzr7lt3OU09vwQwhkpOPPYv2Y/edit?usp=sharing"",""งบพรบ!AI86"")"),178000)</f>
        <v>178000</v>
      </c>
      <c r="N67" s="111">
        <f ca="1">IFERROR(__xludf.DUMMYFUNCTION("IMPORTRANGE(""https://docs.google.com/spreadsheets/d/1-uDff_7J0KD5mKrp0Vvzr7lt3OU09vwQwhkpOPPYv2Y/edit?usp=sharing"",""งบพรบ!AK86"")"),178000)</f>
        <v>178000</v>
      </c>
      <c r="O67" s="111">
        <f ca="1">IF(L67&gt;0,N67*100/L67,0)</f>
        <v>100</v>
      </c>
      <c r="P67" s="111">
        <f ca="1">IF(M67&gt;0,N67*100/M67,0)</f>
        <v>100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0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IFERROR(__xludf.DUMMYFUNCTION("IMPORTRANGE(""https://docs.google.com/spreadsheets/d/1-uDff_7J0KD5mKrp0Vvzr7lt3OU09vwQwhkpOPPYv2Y/edit?usp=sharing"",""งบพรบ!AM86"")"),0)</f>
        <v>0</v>
      </c>
      <c r="M77" s="47">
        <f ca="1">IFERROR(__xludf.DUMMYFUNCTION("IMPORTRANGE(""https://docs.google.com/spreadsheets/d/1-uDff_7J0KD5mKrp0Vvzr7lt3OU09vwQwhkpOPPYv2Y/edit?usp=sharing"",""งบพรบ!AR86"")"),0)</f>
        <v>0</v>
      </c>
      <c r="N77" s="47">
        <f ca="1">IFERROR(__xludf.DUMMYFUNCTION("IMPORTRANGE(""https://docs.google.com/spreadsheets/d/1-uDff_7J0KD5mKrp0Vvzr7lt3OU09vwQwhkpOPPYv2Y/edit?usp=sharing"",""งบพรบ!AT86"")"),0)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IFERROR(__xludf.DUMMYFUNCTION("IMPORTRANGE(""https://docs.google.com/spreadsheets/d/1ItG2mGa2ceCfYo0BwxsXqNm01IGEUdYcSSLTEv9YCik/edit?usp=sharing"",""เบิกจ่ายกองทุน!BH86"")"),0)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IFERROR(__xludf.DUMMYFUNCTION("IMPORTRANGE(""https://docs.google.com/spreadsheets/d/1ItG2mGa2ceCfYo0BwxsXqNm01IGEUdYcSSLTEv9YCik/edit?usp=sharing"",""เบิกจ่ายกองทุน!BI86"")"),0)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IFERROR(__xludf.DUMMYFUNCTION("IMPORTRANGE(""https://docs.google.com/spreadsheets/d/1ItG2mGa2ceCfYo0BwxsXqNm01IGEUdYcSSLTEv9YCik/edit?usp=sharing"",""เบิกจ่ายกองทุน!BJ86"")"),0)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IFERROR(__xludf.DUMMYFUNCTION("IMPORTRANGE(""https://docs.google.com/spreadsheets/d/1-uDff_7J0KD5mKrp0Vvzr7lt3OU09vwQwhkpOPPYv2Y/edit?usp=sharing"",""งบพรบ!AP86"")"),0)</f>
        <v>0</v>
      </c>
      <c r="M80" s="47">
        <f ca="1">IFERROR(__xludf.DUMMYFUNCTION("IMPORTRANGE(""https://docs.google.com/spreadsheets/d/1-uDff_7J0KD5mKrp0Vvzr7lt3OU09vwQwhkpOPPYv2Y/edit?usp=sharing"",""งบพรบ!AS86"")"),0)</f>
        <v>0</v>
      </c>
      <c r="N80" s="47">
        <f ca="1">IFERROR(__xludf.DUMMYFUNCTION("IMPORTRANGE(""https://docs.google.com/spreadsheets/d/1-uDff_7J0KD5mKrp0Vvzr7lt3OU09vwQwhkpOPPYv2Y/edit?usp=sharing"",""งบพรบ!AU86"")"),0)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IFERROR(__xludf.DUMMYFUNCTION("IMPORTRANGE(""https://docs.google.com/spreadsheets/d/1ItG2mGa2ceCfYo0BwxsXqNm01IGEUdYcSSLTEv9YCik/edit?usp=sharing"",""เบิกจ่ายกองทุน!BK86"")"),0)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IFERROR(__xludf.DUMMYFUNCTION("IMPORTRANGE(""https://docs.google.com/spreadsheets/d/1ItG2mGa2ceCfYo0BwxsXqNm01IGEUdYcSSLTEv9YCik/edit?usp=sharing"",""เบิกจ่ายกองทุน!BL86"")"),0)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IFERROR(__xludf.DUMMYFUNCTION("IMPORTRANGE(""https://docs.google.com/spreadsheets/d/1ItG2mGa2ceCfYo0BwxsXqNm01IGEUdYcSSLTEv9YCik/edit?usp=sharing"",""เบิกจ่ายกองทุน!BM86"")"),0)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IFERROR(__xludf.DUMMYFUNCTION("IMPORTRANGE(""https://docs.google.com/spreadsheets/d/1eHaY18a8A9IcSdp1K8H6x8fbOy06t2VsZHhMHf-1x7Y/edit?usp=sharing"",""แผน!H86"")"),0)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IFERROR(__xludf.DUMMYFUNCTION("IMPORTRANGE(""https://docs.google.com/spreadsheets/d/1eHaY18a8A9IcSdp1K8H6x8fbOy06t2VsZHhMHf-1x7Y/edit?usp=sharing"",""แผน!I86"")"),0)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IFERROR(__xludf.DUMMYFUNCTION("IMPORTRANGE(""https://docs.google.com/spreadsheets/d/1eHaY18a8A9IcSdp1K8H6x8fbOy06t2VsZHhMHf-1x7Y/edit?usp=sharing"",""แผน!F86"")"),0)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IFERROR(__xludf.DUMMYFUNCTION("IMPORTRANGE(""https://docs.google.com/spreadsheets/d/1eHaY18a8A9IcSdp1K8H6x8fbOy06t2VsZHhMHf-1x7Y/edit?usp=sharing"",""แผน!G86"")"),0)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IFERROR(__xludf.DUMMYFUNCTION("IMPORTRANGE(""https://docs.google.com/spreadsheets/d/1eHaY18a8A9IcSdp1K8H6x8fbOy06t2VsZHhMHf-1x7Y/edit?usp=sharing"",""แผน!D86"")"),0)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IFERROR(__xludf.DUMMYFUNCTION("IMPORTRANGE(""https://docs.google.com/spreadsheets/d/1eHaY18a8A9IcSdp1K8H6x8fbOy06t2VsZHhMHf-1x7Y/edit?usp=sharing"",""แผน!E86"")"),0)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IFERROR(__xludf.DUMMYFUNCTION("IMPORTRANGE(""https://docs.google.com/spreadsheets/d/1eHaY18a8A9IcSdp1K8H6x8fbOy06t2VsZHhMHf-1x7Y/edit?usp=sharing"",""แผน!J86"")"),0)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87</v>
      </c>
      <c r="J92" s="127">
        <f>J108</f>
        <v>87</v>
      </c>
      <c r="K92" s="35">
        <f ca="1">IF(I92&gt;0,J92*100/I92,0)</f>
        <v>100</v>
      </c>
      <c r="L92" s="58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29</v>
      </c>
      <c r="J93" s="127">
        <f>J109</f>
        <v>29</v>
      </c>
      <c r="K93" s="35">
        <f ca="1">IF(I93&gt;0,J93*100/I93,0)</f>
        <v>100</v>
      </c>
      <c r="L93" s="58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590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17400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244818</v>
      </c>
      <c r="R94" s="132">
        <f ca="1">R95+R96</f>
        <v>244818</v>
      </c>
      <c r="S94" s="132">
        <f ca="1">S95+S96</f>
        <v>16600</v>
      </c>
      <c r="T94" s="132">
        <f ca="1">IF(Q94&gt;0,S94*100/Q94,0)</f>
        <v>6.7805471819882523</v>
      </c>
      <c r="U94" s="132">
        <f ca="1">IF(R94&gt;0,S94*100/R94,0)</f>
        <v>6.7805471819882523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17400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244818</v>
      </c>
      <c r="R96" s="47">
        <f ca="1">R99+R102</f>
        <v>244818</v>
      </c>
      <c r="S96" s="47">
        <f ca="1">S99+S102</f>
        <v>16600</v>
      </c>
      <c r="T96" s="47">
        <f ca="1">IF(Q96&gt;0,S96*100/Q96,0)</f>
        <v>6.7805471819882523</v>
      </c>
      <c r="U96" s="47">
        <f ca="1">IF(R96&gt;0,S96*100/R96,0)</f>
        <v>6.7805471819882523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17400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244818</v>
      </c>
      <c r="R97" s="47">
        <f ca="1">R98+R99</f>
        <v>244818</v>
      </c>
      <c r="S97" s="47">
        <f ca="1">S98+S99</f>
        <v>16600</v>
      </c>
      <c r="T97" s="47">
        <f ca="1">IF(Q97&gt;0,S97*100/Q97,0)</f>
        <v>6.7805471819882523</v>
      </c>
      <c r="U97" s="47">
        <f ca="1">IF(R97&gt;0,S97*100/R97,0)</f>
        <v>6.7805471819882523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IFERROR(__xludf.DUMMYFUNCTION("IMPORTRANGE(""https://docs.google.com/spreadsheets/d/1-uDff_7J0KD5mKrp0Vvzr7lt3OU09vwQwhkpOPPYv2Y/edit?usp=sharing"",""งบพรบ!AW86"")"),0)</f>
        <v>0</v>
      </c>
      <c r="M99" s="47">
        <f ca="1">IFERROR(__xludf.DUMMYFUNCTION("IMPORTRANGE(""https://docs.google.com/spreadsheets/d/1-uDff_7J0KD5mKrp0Vvzr7lt3OU09vwQwhkpOPPYv2Y/edit?usp=sharing"",""งบพรบ!BB86"")"),17400)</f>
        <v>17400</v>
      </c>
      <c r="N99" s="47">
        <f ca="1">IFERROR(__xludf.DUMMYFUNCTION("IMPORTRANGE(""https://docs.google.com/spreadsheets/d/1-uDff_7J0KD5mKrp0Vvzr7lt3OU09vwQwhkpOPPYv2Y/edit?usp=sharing"",""งบพรบ!BD86"")"),0)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IFERROR(__xludf.DUMMYFUNCTION("IMPORTRANGE(""https://docs.google.com/spreadsheets/d/1ItG2mGa2ceCfYo0BwxsXqNm01IGEUdYcSSLTEv9YCik/edit?usp=sharing"",""เบิกจ่ายกองทุน!AJ86"")"),244818)</f>
        <v>244818</v>
      </c>
      <c r="R99" s="47">
        <f ca="1">IFERROR(__xludf.DUMMYFUNCTION("IMPORTRANGE(""https://docs.google.com/spreadsheets/d/1ItG2mGa2ceCfYo0BwxsXqNm01IGEUdYcSSLTEv9YCik/edit?usp=sharing"",""เบิกจ่ายกองทุน!AK86"")"),244818)</f>
        <v>244818</v>
      </c>
      <c r="S99" s="47">
        <f ca="1">IFERROR(__xludf.DUMMYFUNCTION("IMPORTRANGE(""https://docs.google.com/spreadsheets/d/1ItG2mGa2ceCfYo0BwxsXqNm01IGEUdYcSSLTEv9YCik/edit?usp=sharing"",""เบิกจ่ายกองทุน!AL86"")"),16600)</f>
        <v>16600</v>
      </c>
      <c r="T99" s="47">
        <f ca="1">IF(Q99&gt;0,S99*100/Q99,0)</f>
        <v>6.7805471819882523</v>
      </c>
      <c r="U99" s="47">
        <f ca="1">IF(R99&gt;0,S99*100/R99,0)</f>
        <v>6.7805471819882523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IFERROR(__xludf.DUMMYFUNCTION("IMPORTRANGE(""https://docs.google.com/spreadsheets/d/1-uDff_7J0KD5mKrp0Vvzr7lt3OU09vwQwhkpOPPYv2Y/edit?usp=sharing"",""งบพรบ!AZ86"")"),0)</f>
        <v>0</v>
      </c>
      <c r="M102" s="47">
        <f ca="1">IFERROR(__xludf.DUMMYFUNCTION("IMPORTRANGE(""https://docs.google.com/spreadsheets/d/1-uDff_7J0KD5mKrp0Vvzr7lt3OU09vwQwhkpOPPYv2Y/edit?usp=sharing"",""งบพรบ!BC86"")"),0)</f>
        <v>0</v>
      </c>
      <c r="N102" s="47">
        <f ca="1">IFERROR(__xludf.DUMMYFUNCTION("IMPORTRANGE(""https://docs.google.com/spreadsheets/d/1-uDff_7J0KD5mKrp0Vvzr7lt3OU09vwQwhkpOPPYv2Y/edit?usp=sharing"",""งบพรบ!BE86"")"),0)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1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1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1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IFERROR(__xludf.DUMMYFUNCTION("IMPORTRANGE(""https://docs.google.com/spreadsheets/d/1eHaY18a8A9IcSdp1K8H6x8fbOy06t2VsZHhMHf-1x7Y/edit?usp=sharing"",""แผน!N86"")"),87)</f>
        <v>87</v>
      </c>
      <c r="J108" s="167">
        <v>87</v>
      </c>
      <c r="K108" s="47">
        <f ca="1">IF(I108&gt;0,J108*100/I108,0)</f>
        <v>100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IFERROR(__xludf.DUMMYFUNCTION("IMPORTRANGE(""https://docs.google.com/spreadsheets/d/1eHaY18a8A9IcSdp1K8H6x8fbOy06t2VsZHhMHf-1x7Y/edit?usp=sharing"",""แผน!O86"")"),29)</f>
        <v>29</v>
      </c>
      <c r="J109" s="167">
        <v>29</v>
      </c>
      <c r="K109" s="47">
        <f ca="1">IF(I109&gt;0,J109*100/I109,0)</f>
        <v>100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1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1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1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IFERROR(__xludf.DUMMYFUNCTION("IMPORTRANGE(""https://docs.google.com/spreadsheets/d/1eHaY18a8A9IcSdp1K8H6x8fbOy06t2VsZHhMHf-1x7Y/edit?usp=sharing"",""แผน!N86"")"),87)</f>
        <v>87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IFERROR(__xludf.DUMMYFUNCTION("IMPORTRANGE(""https://docs.google.com/spreadsheets/d/1eHaY18a8A9IcSdp1K8H6x8fbOy06t2VsZHhMHf-1x7Y/edit?usp=sharing"",""แผน!O86"")"),29)</f>
        <v>29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20</v>
      </c>
      <c r="J116" s="127">
        <f>J127</f>
        <v>20</v>
      </c>
      <c r="K116" s="35">
        <f ca="1">IF(I116&gt;0,J116*100/I116,0)</f>
        <v>100</v>
      </c>
      <c r="L116" s="58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9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209360</v>
      </c>
      <c r="R117" s="132">
        <f ca="1">R118+R119</f>
        <v>209360</v>
      </c>
      <c r="S117" s="132">
        <f ca="1">S118+S119</f>
        <v>108100</v>
      </c>
      <c r="T117" s="132">
        <f ca="1">IF(Q117&gt;0,S117*100/Q117,0)</f>
        <v>51.633549866259074</v>
      </c>
      <c r="U117" s="132">
        <f ca="1">IF(R117&gt;0,S117*100/R117,0)</f>
        <v>51.633549866259074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209360</v>
      </c>
      <c r="R119" s="47">
        <f ca="1">R122+R125</f>
        <v>209360</v>
      </c>
      <c r="S119" s="47">
        <f ca="1">S122+S125</f>
        <v>108100</v>
      </c>
      <c r="T119" s="47">
        <f ca="1">IF(Q119&gt;0,S119*100/Q119,0)</f>
        <v>51.633549866259074</v>
      </c>
      <c r="U119" s="47">
        <f ca="1">IF(R119&gt;0,S119*100/R119,0)</f>
        <v>51.633549866259074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209360</v>
      </c>
      <c r="R120" s="47">
        <f ca="1">R121+R122</f>
        <v>209360</v>
      </c>
      <c r="S120" s="47">
        <f ca="1">S121+S122</f>
        <v>108100</v>
      </c>
      <c r="T120" s="47">
        <f ca="1">IF(Q120&gt;0,S120*100/Q120,0)</f>
        <v>51.633549866259074</v>
      </c>
      <c r="U120" s="47">
        <f ca="1">IF(R120&gt;0,S120*100/R120,0)</f>
        <v>51.633549866259074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IFERROR(__xludf.DUMMYFUNCTION("IMPORTRANGE(""https://docs.google.com/spreadsheets/d/1-uDff_7J0KD5mKrp0Vvzr7lt3OU09vwQwhkpOPPYv2Y/edit?usp=sharing"",""งบพรบ!BG86"")"),0)</f>
        <v>0</v>
      </c>
      <c r="M122" s="47">
        <f ca="1">IFERROR(__xludf.DUMMYFUNCTION("IMPORTRANGE(""https://docs.google.com/spreadsheets/d/1-uDff_7J0KD5mKrp0Vvzr7lt3OU09vwQwhkpOPPYv2Y/edit?usp=sharing"",""งบพรบ!BL86"")"),0)</f>
        <v>0</v>
      </c>
      <c r="N122" s="47">
        <f ca="1">IFERROR(__xludf.DUMMYFUNCTION("IMPORTRANGE(""https://docs.google.com/spreadsheets/d/1-uDff_7J0KD5mKrp0Vvzr7lt3OU09vwQwhkpOPPYv2Y/edit?usp=sharing"",""งบพรบ!BN86"")"),0)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IFERROR(__xludf.DUMMYFUNCTION("IMPORTRANGE(""https://docs.google.com/spreadsheets/d/1ItG2mGa2ceCfYo0BwxsXqNm01IGEUdYcSSLTEv9YCik/edit?usp=sharing"",""เบิกจ่ายกองทุน!U86"")"),209360)</f>
        <v>209360</v>
      </c>
      <c r="R122" s="47">
        <f ca="1">IFERROR(__xludf.DUMMYFUNCTION("IMPORTRANGE(""https://docs.google.com/spreadsheets/d/1ItG2mGa2ceCfYo0BwxsXqNm01IGEUdYcSSLTEv9YCik/edit?usp=sharing"",""เบิกจ่ายกองทุน!V86"")"),209360)</f>
        <v>209360</v>
      </c>
      <c r="S122" s="47">
        <f ca="1">IFERROR(__xludf.DUMMYFUNCTION("IMPORTRANGE(""https://docs.google.com/spreadsheets/d/1ItG2mGa2ceCfYo0BwxsXqNm01IGEUdYcSSLTEv9YCik/edit?usp=sharing"",""เบิกจ่ายกองทุน!W86"")"),108100)</f>
        <v>108100</v>
      </c>
      <c r="T122" s="47">
        <f ca="1">IF(Q122&gt;0,S122*100/Q122,0)</f>
        <v>51.633549866259074</v>
      </c>
      <c r="U122" s="47">
        <f ca="1">IF(R122&gt;0,S122*100/R122,0)</f>
        <v>51.633549866259074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IFERROR(__xludf.DUMMYFUNCTION("IMPORTRANGE(""https://docs.google.com/spreadsheets/d/1-uDff_7J0KD5mKrp0Vvzr7lt3OU09vwQwhkpOPPYv2Y/edit?usp=sharing"",""งบพรบ!BJ86"")"),0)</f>
        <v>0</v>
      </c>
      <c r="M125" s="47">
        <f ca="1">IFERROR(__xludf.DUMMYFUNCTION("IMPORTRANGE(""https://docs.google.com/spreadsheets/d/1-uDff_7J0KD5mKrp0Vvzr7lt3OU09vwQwhkpOPPYv2Y/edit?usp=sharing"",""งบพรบ!BM86"")"),0)</f>
        <v>0</v>
      </c>
      <c r="N125" s="47">
        <f ca="1">IFERROR(__xludf.DUMMYFUNCTION("IMPORTRANGE(""https://docs.google.com/spreadsheets/d/1-uDff_7J0KD5mKrp0Vvzr7lt3OU09vwQwhkpOPPYv2Y/edit?usp=sharing"",""งบพรบ!BO86"")"),0)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IFERROR(__xludf.DUMMYFUNCTION("IMPORTRANGE(""https://docs.google.com/spreadsheets/d/1ItG2mGa2ceCfYo0BwxsXqNm01IGEUdYcSSLTEv9YCik/edit?usp=sharing"",""เบิกจ่ายกองทุน!X86"")"),0)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IFERROR(__xludf.DUMMYFUNCTION("IMPORTRANGE(""https://docs.google.com/spreadsheets/d/1ItG2mGa2ceCfYo0BwxsXqNm01IGEUdYcSSLTEv9YCik/edit?usp=sharing"",""เบิกจ่ายกองทุน!Y86"")"),0)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IFERROR(__xludf.DUMMYFUNCTION("IMPORTRANGE(""https://docs.google.com/spreadsheets/d/1ItG2mGa2ceCfYo0BwxsXqNm01IGEUdYcSSLTEv9YCik/edit?usp=sharing"",""เบิกจ่ายกองทุน!Z86"")"),0)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IFERROR(__xludf.DUMMYFUNCTION("IMPORTRANGE(""https://docs.google.com/spreadsheets/d/1eHaY18a8A9IcSdp1K8H6x8fbOy06t2VsZHhMHf-1x7Y/edit?usp=sharing"",""แผน!FF86"")"),20)</f>
        <v>20</v>
      </c>
      <c r="J127" s="167">
        <v>20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IFERROR(__xludf.DUMMYFUNCTION("IMPORTRANGE(""https://docs.google.com/spreadsheets/d/1eHaY18a8A9IcSdp1K8H6x8fbOy06t2VsZHhMHf-1x7Y/edit?usp=sharing"",""แผน!FG86"")"),0)</f>
        <v>0</v>
      </c>
      <c r="J128" s="167">
        <v>1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IFERROR(__xludf.DUMMYFUNCTION("IMPORTRANGE(""https://docs.google.com/spreadsheets/d/1eHaY18a8A9IcSdp1K8H6x8fbOy06t2VsZHhMHf-1x7Y/edit?usp=sharing"",""แผน!FH86"")"),20)</f>
        <v>20</v>
      </c>
      <c r="J129" s="167">
        <v>20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IFERROR(__xludf.DUMMYFUNCTION("IMPORTRANGE(""https://docs.google.com/spreadsheets/d/1eHaY18a8A9IcSdp1K8H6x8fbOy06t2VsZHhMHf-1x7Y/edit?usp=sharing"",""แผน!FI86"")"),0)</f>
        <v>0</v>
      </c>
      <c r="J130" s="167">
        <v>1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1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10</v>
      </c>
      <c r="J137" s="127">
        <f>J152</f>
        <v>0</v>
      </c>
      <c r="K137" s="35">
        <f ca="1">IF(I137&gt;0,J137*100/I137,0)</f>
        <v>0</v>
      </c>
      <c r="L137" s="58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1</v>
      </c>
      <c r="J138" s="127">
        <f>J153</f>
        <v>0</v>
      </c>
      <c r="K138" s="35">
        <f ca="1">IF(I138&gt;0,J138*100/I138,0)</f>
        <v>0</v>
      </c>
      <c r="L138" s="58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59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23300</v>
      </c>
      <c r="M139" s="132">
        <f ca="1">M140+M141</f>
        <v>18300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39860</v>
      </c>
      <c r="R139" s="132">
        <f ca="1">R140+R141</f>
        <v>39860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23300</v>
      </c>
      <c r="M141" s="47">
        <f ca="1">M144+M147</f>
        <v>18300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39860</v>
      </c>
      <c r="R141" s="47">
        <f ca="1">R144+R147</f>
        <v>39860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23300</v>
      </c>
      <c r="M142" s="47">
        <f ca="1">M143+M144</f>
        <v>18300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39860</v>
      </c>
      <c r="R142" s="47">
        <f ca="1">R143+R144</f>
        <v>39860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IFERROR(__xludf.DUMMYFUNCTION("IMPORTRANGE(""https://docs.google.com/spreadsheets/d/1-uDff_7J0KD5mKrp0Vvzr7lt3OU09vwQwhkpOPPYv2Y/edit?usp=sharing"",""งบพรบ!BQ86"")"),23300)</f>
        <v>23300</v>
      </c>
      <c r="M144" s="47">
        <f ca="1">IFERROR(__xludf.DUMMYFUNCTION("IMPORTRANGE(""https://docs.google.com/spreadsheets/d/1-uDff_7J0KD5mKrp0Vvzr7lt3OU09vwQwhkpOPPYv2Y/edit?usp=sharing"",""งบพรบ!BV86"")"),18300)</f>
        <v>18300</v>
      </c>
      <c r="N144" s="47">
        <f ca="1">IFERROR(__xludf.DUMMYFUNCTION("IMPORTRANGE(""https://docs.google.com/spreadsheets/d/1-uDff_7J0KD5mKrp0Vvzr7lt3OU09vwQwhkpOPPYv2Y/edit?usp=sharing"",""งบพรบ!BX86"")"),0)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IFERROR(__xludf.DUMMYFUNCTION("IMPORTRANGE(""https://docs.google.com/spreadsheets/d/1ItG2mGa2ceCfYo0BwxsXqNm01IGEUdYcSSLTEv9YCik/edit?usp=sharing"",""เบิกจ่ายกองทุน!CF86"")"),39860)</f>
        <v>39860</v>
      </c>
      <c r="R144" s="47">
        <f ca="1">IFERROR(__xludf.DUMMYFUNCTION("IMPORTRANGE(""https://docs.google.com/spreadsheets/d/1ItG2mGa2ceCfYo0BwxsXqNm01IGEUdYcSSLTEv9YCik/edit?usp=sharing"",""เบิกจ่ายกองทุน!CG86"")"),39860)</f>
        <v>39860</v>
      </c>
      <c r="S144" s="47">
        <f ca="1">IFERROR(__xludf.DUMMYFUNCTION("IMPORTRANGE(""https://docs.google.com/spreadsheets/d/1ItG2mGa2ceCfYo0BwxsXqNm01IGEUdYcSSLTEv9YCik/edit?usp=sharing"",""เบิกจ่ายกองทุน!CH86"")"),0)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IFERROR(__xludf.DUMMYFUNCTION("IMPORTRANGE(""https://docs.google.com/spreadsheets/d/1-uDff_7J0KD5mKrp0Vvzr7lt3OU09vwQwhkpOPPYv2Y/edit?usp=sharing"",""งบพรบ!BT86"")"),0)</f>
        <v>0</v>
      </c>
      <c r="M147" s="47">
        <f ca="1">IFERROR(__xludf.DUMMYFUNCTION("IMPORTRANGE(""https://docs.google.com/spreadsheets/d/1-uDff_7J0KD5mKrp0Vvzr7lt3OU09vwQwhkpOPPYv2Y/edit?usp=sharing"",""งบพรบ!BW86"")"),0)</f>
        <v>0</v>
      </c>
      <c r="N147" s="47">
        <f ca="1">IFERROR(__xludf.DUMMYFUNCTION("IMPORTRANGE(""https://docs.google.com/spreadsheets/d/1-uDff_7J0KD5mKrp0Vvzr7lt3OU09vwQwhkpOPPYv2Y/edit?usp=sharing"",""งบพรบ!BY86"")"),0)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IFERROR(__xludf.DUMMYFUNCTION("IMPORTRANGE(""https://docs.google.com/spreadsheets/d/1ItG2mGa2ceCfYo0BwxsXqNm01IGEUdYcSSLTEv9YCik/edit?usp=sharing"",""เบิกจ่ายกองทุน!CI86"")"),0)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IFERROR(__xludf.DUMMYFUNCTION("IMPORTRANGE(""https://docs.google.com/spreadsheets/d/1ItG2mGa2ceCfYo0BwxsXqNm01IGEUdYcSSLTEv9YCik/edit?usp=sharing"",""เบิกจ่ายกองทุน!CJ86"")"),0)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IFERROR(__xludf.DUMMYFUNCTION("IMPORTRANGE(""https://docs.google.com/spreadsheets/d/1ItG2mGa2ceCfYo0BwxsXqNm01IGEUdYcSSLTEv9YCik/edit?usp=sharing"",""เบิกจ่ายกองทุน!CK86"")"),0)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IFERROR(__xludf.DUMMYFUNCTION("IMPORTRANGE(""https://docs.google.com/spreadsheets/d/1eHaY18a8A9IcSdp1K8H6x8fbOy06t2VsZHhMHf-1x7Y/edit?usp=sharing"",""แผน!U86"")"),0)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IFERROR(__xludf.DUMMYFUNCTION("IMPORTRANGE(""https://docs.google.com/spreadsheets/d/1eHaY18a8A9IcSdp1K8H6x8fbOy06t2VsZHhMHf-1x7Y/edit?usp=sharing"",""แผน!V86"")"),0)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IFERROR(__xludf.DUMMYFUNCTION("IMPORTRANGE(""https://docs.google.com/spreadsheets/d/1eHaY18a8A9IcSdp1K8H6x8fbOy06t2VsZHhMHf-1x7Y/edit?usp=sharing"",""แผน!W86"")"),10)</f>
        <v>10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IFERROR(__xludf.DUMMYFUNCTION("IMPORTRANGE(""https://docs.google.com/spreadsheets/d/1eHaY18a8A9IcSdp1K8H6x8fbOy06t2VsZHhMHf-1x7Y/edit?usp=sharing"",""แผน!X86"")"),1)</f>
        <v>1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IFERROR(__xludf.DUMMYFUNCTION("IMPORTRANGE(""https://docs.google.com/spreadsheets/d/1eHaY18a8A9IcSdp1K8H6x8fbOy06t2VsZHhMHf-1x7Y/edit?usp=sharing"",""แผน!Y86"")"),0)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59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IFERROR(__xludf.DUMMYFUNCTION("IMPORTRANGE(""https://docs.google.com/spreadsheets/d/1-uDff_7J0KD5mKrp0Vvzr7lt3OU09vwQwhkpOPPYv2Y/edit?usp=sharing"",""งบพรบ!CA86"")"),0)</f>
        <v>0</v>
      </c>
      <c r="M162" s="47">
        <f ca="1">IFERROR(__xludf.DUMMYFUNCTION("IMPORTRANGE(""https://docs.google.com/spreadsheets/d/1-uDff_7J0KD5mKrp0Vvzr7lt3OU09vwQwhkpOPPYv2Y/edit?usp=sharing"",""งบพรบ!CF86"")"),0)</f>
        <v>0</v>
      </c>
      <c r="N162" s="47">
        <f ca="1">IFERROR(__xludf.DUMMYFUNCTION("IMPORTRANGE(""https://docs.google.com/spreadsheets/d/1-uDff_7J0KD5mKrp0Vvzr7lt3OU09vwQwhkpOPPYv2Y/edit?usp=sharing"",""งบพรบ!CH86"")"),0)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IFERROR(__xludf.DUMMYFUNCTION("IMPORTRANGE(""https://docs.google.com/spreadsheets/d/1ItG2mGa2ceCfYo0BwxsXqNm01IGEUdYcSSLTEv9YCik/edit?usp=sharing"",""เบิกจ่ายกองทุน!AM86"")"),0)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IFERROR(__xludf.DUMMYFUNCTION("IMPORTRANGE(""https://docs.google.com/spreadsheets/d/1ItG2mGa2ceCfYo0BwxsXqNm01IGEUdYcSSLTEv9YCik/edit?usp=sharing"",""เบิกจ่ายกองทุน!AN86"")"),0)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IFERROR(__xludf.DUMMYFUNCTION("IMPORTRANGE(""https://docs.google.com/spreadsheets/d/1ItG2mGa2ceCfYo0BwxsXqNm01IGEUdYcSSLTEv9YCik/edit?usp=sharing"",""เบิกจ่ายกองทุน!AO86"")"),0)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IFERROR(__xludf.DUMMYFUNCTION("IMPORTRANGE(""https://docs.google.com/spreadsheets/d/1-uDff_7J0KD5mKrp0Vvzr7lt3OU09vwQwhkpOPPYv2Y/edit?usp=sharing"",""งบพรบ!CD86"")"),0)</f>
        <v>0</v>
      </c>
      <c r="M165" s="47">
        <f ca="1">IFERROR(__xludf.DUMMYFUNCTION("IMPORTRANGE(""https://docs.google.com/spreadsheets/d/1-uDff_7J0KD5mKrp0Vvzr7lt3OU09vwQwhkpOPPYv2Y/edit?usp=sharing"",""งบพรบ!CG86"")"),0)</f>
        <v>0</v>
      </c>
      <c r="N165" s="47">
        <f ca="1">IFERROR(__xludf.DUMMYFUNCTION("IMPORTRANGE(""https://docs.google.com/spreadsheets/d/1-uDff_7J0KD5mKrp0Vvzr7lt3OU09vwQwhkpOPPYv2Y/edit?usp=sharing"",""งบพรบ!CI86"")"),0)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IFERROR(__xludf.DUMMYFUNCTION("IMPORTRANGE(""https://docs.google.com/spreadsheets/d/1eHaY18a8A9IcSdp1K8H6x8fbOy06t2VsZHhMHf-1x7Y/edit?usp=sharing"",""แผน!Z86"")"),0)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IFERROR(__xludf.DUMMYFUNCTION("IMPORTRANGE(""https://docs.google.com/spreadsheets/d/1eHaY18a8A9IcSdp1K8H6x8fbOy06t2VsZHhMHf-1x7Y/edit?usp=sharing"",""แผน!Z86"")"),0)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IFERROR(__xludf.DUMMYFUNCTION("IMPORTRANGE(""https://docs.google.com/spreadsheets/d/1eHaY18a8A9IcSdp1K8H6x8fbOy06t2VsZHhMHf-1x7Y/edit?usp=sharing"",""แผน!Z86"")"),0)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9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40150</v>
      </c>
      <c r="N173" s="132">
        <f ca="1">N174+N175</f>
        <v>39550</v>
      </c>
      <c r="O173" s="132">
        <f ca="1">IF(L173&gt;0,N173*100/L173,0)</f>
        <v>201.88871873404798</v>
      </c>
      <c r="P173" s="132">
        <f ca="1">IF(M173&gt;0,N173*100/M173,0)</f>
        <v>98.505603985056041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40150</v>
      </c>
      <c r="N175" s="47">
        <f ca="1">N178+N181</f>
        <v>39550</v>
      </c>
      <c r="O175" s="47">
        <f ca="1">IF(L175&gt;0,N175*100/L175,0)</f>
        <v>201.88871873404798</v>
      </c>
      <c r="P175" s="47">
        <f ca="1">IF(M175&gt;0,N175*100/M175,0)</f>
        <v>98.505603985056041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40150</v>
      </c>
      <c r="N176" s="47">
        <f ca="1">N177+N178</f>
        <v>39550</v>
      </c>
      <c r="O176" s="47">
        <f ca="1">IF(L176&gt;0,N176*100/L176,0)</f>
        <v>201.88871873404798</v>
      </c>
      <c r="P176" s="47">
        <f ca="1">IF(M176&gt;0,N176*100/M176,0)</f>
        <v>98.505603985056041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IFERROR(__xludf.DUMMYFUNCTION("IMPORTRANGE(""https://docs.google.com/spreadsheets/d/1-uDff_7J0KD5mKrp0Vvzr7lt3OU09vwQwhkpOPPYv2Y/edit?usp=sharing"",""งบพรบ!CK86"")"),19590)</f>
        <v>19590</v>
      </c>
      <c r="M178" s="47">
        <f ca="1">IFERROR(__xludf.DUMMYFUNCTION("IMPORTRANGE(""https://docs.google.com/spreadsheets/d/1-uDff_7J0KD5mKrp0Vvzr7lt3OU09vwQwhkpOPPYv2Y/edit?usp=sharing"",""งบพรบ!CP86"")"),40150)</f>
        <v>40150</v>
      </c>
      <c r="N178" s="47">
        <f ca="1">IFERROR(__xludf.DUMMYFUNCTION("IMPORTRANGE(""https://docs.google.com/spreadsheets/d/1-uDff_7J0KD5mKrp0Vvzr7lt3OU09vwQwhkpOPPYv2Y/edit?usp=sharing"",""งบพรบ!CR86"")"),39550)</f>
        <v>39550</v>
      </c>
      <c r="O178" s="47">
        <f ca="1">IF(L178&gt;0,N178*100/L178,0)</f>
        <v>201.88871873404798</v>
      </c>
      <c r="P178" s="47">
        <f ca="1">IF(M178&gt;0,N178*100/M178,0)</f>
        <v>98.505603985056041</v>
      </c>
      <c r="Q178" s="47">
        <f ca="1">IFERROR(__xludf.DUMMYFUNCTION("IMPORTRANGE(""https://docs.google.com/spreadsheets/d/1ItG2mGa2ceCfYo0BwxsXqNm01IGEUdYcSSLTEv9YCik/edit?usp=sharing"",""เบิกจ่ายกองทุน!DG86"")"),0)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IFERROR(__xludf.DUMMYFUNCTION("IMPORTRANGE(""https://docs.google.com/spreadsheets/d/1ItG2mGa2ceCfYo0BwxsXqNm01IGEUdYcSSLTEv9YCik/edit?usp=sharing"",""เบิกจ่ายกองทุน!DH86"")"),0)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IFERROR(__xludf.DUMMYFUNCTION("IMPORTRANGE(""https://docs.google.com/spreadsheets/d/1ItG2mGa2ceCfYo0BwxsXqNm01IGEUdYcSSLTEv9YCik/edit?usp=sharing"",""เบิกจ่ายกองทุน!DI86"")"),0)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IFERROR(__xludf.DUMMYFUNCTION("IMPORTRANGE(""https://docs.google.com/spreadsheets/d/1-uDff_7J0KD5mKrp0Vvzr7lt3OU09vwQwhkpOPPYv2Y/edit?usp=sharing"",""งบพรบ!CN86"")"),0)</f>
        <v>0</v>
      </c>
      <c r="M181" s="47">
        <f ca="1">IFERROR(__xludf.DUMMYFUNCTION("IMPORTRANGE(""https://docs.google.com/spreadsheets/d/1-uDff_7J0KD5mKrp0Vvzr7lt3OU09vwQwhkpOPPYv2Y/edit?usp=sharing"",""งบพรบ!CQ86"")"),0)</f>
        <v>0</v>
      </c>
      <c r="N181" s="47">
        <f ca="1">IFERROR(__xludf.DUMMYFUNCTION("IMPORTRANGE(""https://docs.google.com/spreadsheets/d/1-uDff_7J0KD5mKrp0Vvzr7lt3OU09vwQwhkpOPPYv2Y/edit?usp=sharing"",""งบพรบ!CS86"")"),0)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IFERROR(__xludf.DUMMYFUNCTION("IMPORTRANGE(""https://docs.google.com/spreadsheets/d/1eHaY18a8A9IcSdp1K8H6x8fbOy06t2VsZHhMHf-1x7Y/edit?usp=sharing"",""แผน!AA86"")"),7)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9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327800</v>
      </c>
      <c r="M186" s="132">
        <f ca="1">M187+M188</f>
        <v>337500</v>
      </c>
      <c r="N186" s="132">
        <f ca="1">N187+N188</f>
        <v>189425.33</v>
      </c>
      <c r="O186" s="132">
        <f ca="1">IF(L186&gt;0,N186*100/L186,0)</f>
        <v>57.786860890787068</v>
      </c>
      <c r="P186" s="132">
        <f ca="1">IF(M186&gt;0,N186*100/M186,0)</f>
        <v>56.126023703703702</v>
      </c>
      <c r="Q186" s="132">
        <f ca="1">Q187+Q188</f>
        <v>417900</v>
      </c>
      <c r="R186" s="132">
        <f ca="1">R187+R188</f>
        <v>417900</v>
      </c>
      <c r="S186" s="132">
        <f ca="1">S187+S188</f>
        <v>70000</v>
      </c>
      <c r="T186" s="132">
        <f ca="1">IF(Q186&gt;0,S186*100/Q186,0)</f>
        <v>16.75041876046901</v>
      </c>
      <c r="U186" s="132">
        <f ca="1">IF(R186&gt;0,S186*100/R186,0)</f>
        <v>16.75041876046901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327800</v>
      </c>
      <c r="M188" s="47">
        <f ca="1">M191+M194</f>
        <v>337500</v>
      </c>
      <c r="N188" s="47">
        <f ca="1">N191+N194</f>
        <v>189425.33</v>
      </c>
      <c r="O188" s="47">
        <f ca="1">IF(L188&gt;0,N188*100/L188,0)</f>
        <v>57.786860890787068</v>
      </c>
      <c r="P188" s="47">
        <f ca="1">IF(M188&gt;0,N188*100/M188,0)</f>
        <v>56.126023703703702</v>
      </c>
      <c r="Q188" s="47">
        <f ca="1">Q191+Q194</f>
        <v>417900</v>
      </c>
      <c r="R188" s="47">
        <f ca="1">R191+R194</f>
        <v>417900</v>
      </c>
      <c r="S188" s="47">
        <f ca="1">S191+S194</f>
        <v>70000</v>
      </c>
      <c r="T188" s="47">
        <f ca="1">IF(Q188&gt;0,S188*100/Q188,0)</f>
        <v>16.75041876046901</v>
      </c>
      <c r="U188" s="47">
        <f ca="1">IF(R188&gt;0,S188*100/R188,0)</f>
        <v>16.75041876046901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327800</v>
      </c>
      <c r="M189" s="47">
        <f ca="1">M190+M191</f>
        <v>337500</v>
      </c>
      <c r="N189" s="47">
        <f ca="1">N190+N191</f>
        <v>189425.33</v>
      </c>
      <c r="O189" s="47">
        <f ca="1">IF(L189&gt;0,N189*100/L189,0)</f>
        <v>57.786860890787068</v>
      </c>
      <c r="P189" s="47">
        <f ca="1">IF(M189&gt;0,N189*100/M189,0)</f>
        <v>56.126023703703702</v>
      </c>
      <c r="Q189" s="47">
        <f ca="1">Q190+Q191</f>
        <v>417900</v>
      </c>
      <c r="R189" s="47">
        <f ca="1">R190+R191</f>
        <v>417900</v>
      </c>
      <c r="S189" s="47">
        <f ca="1">S190+S191</f>
        <v>70000</v>
      </c>
      <c r="T189" s="47">
        <f ca="1">IF(Q189&gt;0,S189*100/Q189,0)</f>
        <v>16.75041876046901</v>
      </c>
      <c r="U189" s="47">
        <f ca="1">IF(R189&gt;0,S189*100/R189,0)</f>
        <v>16.75041876046901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IFERROR(__xludf.DUMMYFUNCTION("IMPORTRANGE(""https://docs.google.com/spreadsheets/d/1-uDff_7J0KD5mKrp0Vvzr7lt3OU09vwQwhkpOPPYv2Y/edit?usp=sharing"",""งบพรบ!CU86"")"),327800)</f>
        <v>327800</v>
      </c>
      <c r="M191" s="47">
        <f ca="1">IFERROR(__xludf.DUMMYFUNCTION("IMPORTRANGE(""https://docs.google.com/spreadsheets/d/1-uDff_7J0KD5mKrp0Vvzr7lt3OU09vwQwhkpOPPYv2Y/edit?usp=sharing"",""งบพรบ!CZ86"")"),337500)</f>
        <v>337500</v>
      </c>
      <c r="N191" s="47">
        <f ca="1">IFERROR(__xludf.DUMMYFUNCTION("IMPORTRANGE(""https://docs.google.com/spreadsheets/d/1-uDff_7J0KD5mKrp0Vvzr7lt3OU09vwQwhkpOPPYv2Y/edit?usp=sharing"",""งบพรบ!DB86"")"),189425.33)</f>
        <v>189425.33</v>
      </c>
      <c r="O191" s="47">
        <f ca="1">IF(L191&gt;0,N191*100/L191,0)</f>
        <v>57.786860890787068</v>
      </c>
      <c r="P191" s="47">
        <f ca="1">IF(M191&gt;0,N191*100/M191,0)</f>
        <v>56.126023703703702</v>
      </c>
      <c r="Q191" s="47">
        <f ca="1">IFERROR(__xludf.DUMMYFUNCTION("IMPORTRANGE(""https://docs.google.com/spreadsheets/d/1ItG2mGa2ceCfYo0BwxsXqNm01IGEUdYcSSLTEv9YCik/edit?usp=sharing"",""เบิกจ่ายกองทุน!BQ86"")"),417900)</f>
        <v>417900</v>
      </c>
      <c r="R191" s="47">
        <f ca="1">IFERROR(__xludf.DUMMYFUNCTION("IMPORTRANGE(""https://docs.google.com/spreadsheets/d/1ItG2mGa2ceCfYo0BwxsXqNm01IGEUdYcSSLTEv9YCik/edit?usp=sharing"",""เบิกจ่ายกองทุน!BR86"")"),417900)</f>
        <v>417900</v>
      </c>
      <c r="S191" s="47">
        <f ca="1">IFERROR(__xludf.DUMMYFUNCTION("IMPORTRANGE(""https://docs.google.com/spreadsheets/d/1ItG2mGa2ceCfYo0BwxsXqNm01IGEUdYcSSLTEv9YCik/edit?usp=sharing"",""เบิกจ่ายกองทุน!BS86"")"),70000)</f>
        <v>70000</v>
      </c>
      <c r="T191" s="47">
        <f ca="1">IF(Q191&gt;0,S191*100/Q191,0)</f>
        <v>16.75041876046901</v>
      </c>
      <c r="U191" s="47">
        <f ca="1">IF(R191&gt;0,S191*100/R191,0)</f>
        <v>16.75041876046901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IFERROR(__xludf.DUMMYFUNCTION("IMPORTRANGE(""https://docs.google.com/spreadsheets/d/1-uDff_7J0KD5mKrp0Vvzr7lt3OU09vwQwhkpOPPYv2Y/edit?usp=sharing"",""งบพรบ!CX86"")"),0)</f>
        <v>0</v>
      </c>
      <c r="M194" s="47">
        <f ca="1">IFERROR(__xludf.DUMMYFUNCTION("IMPORTRANGE(""https://docs.google.com/spreadsheets/d/1-uDff_7J0KD5mKrp0Vvzr7lt3OU09vwQwhkpOPPYv2Y/edit?usp=sharing"",""งบพรบ!DA86"")"),0)</f>
        <v>0</v>
      </c>
      <c r="N194" s="47">
        <f ca="1">IFERROR(__xludf.DUMMYFUNCTION("IMPORTRANGE(""https://docs.google.com/spreadsheets/d/1-uDff_7J0KD5mKrp0Vvzr7lt3OU09vwQwhkpOPPYv2Y/edit?usp=sharing"",""งบพรบ!DC86"")"),0)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IFERROR(__xludf.DUMMYFUNCTION("IMPORTRANGE(""https://docs.google.com/spreadsheets/d/1ItG2mGa2ceCfYo0BwxsXqNm01IGEUdYcSSLTEv9YCik/edit?usp=sharing"",""เบิกจ่ายกองทุน!BT86"")"),0)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IFERROR(__xludf.DUMMYFUNCTION("IMPORTRANGE(""https://docs.google.com/spreadsheets/d/1ItG2mGa2ceCfYo0BwxsXqNm01IGEUdYcSSLTEv9YCik/edit?usp=sharing"",""เบิกจ่ายกองทุน!BU86"")"),0)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IFERROR(__xludf.DUMMYFUNCTION("IMPORTRANGE(""https://docs.google.com/spreadsheets/d/1ItG2mGa2ceCfYo0BwxsXqNm01IGEUdYcSSLTEv9YCik/edit?usp=sharing"",""เบิกจ่ายกองทุน!BV86"")"),0)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7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IFERROR(__xludf.DUMMYFUNCTION("IMPORTRANGE(""https://docs.google.com/spreadsheets/d/1eHaY18a8A9IcSdp1K8H6x8fbOy06t2VsZHhMHf-1x7Y/edit?usp=sharing"",""แผน!AB86"")"),6000)</f>
        <v>6000</v>
      </c>
      <c r="M196" s="46"/>
      <c r="N196" s="769">
        <v>1500</v>
      </c>
      <c r="O196" s="132">
        <f ca="1">IF(L196&gt;0,N196*100/L196,0)</f>
        <v>25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IFERROR(__xludf.DUMMYFUNCTION("IMPORTRANGE(""https://docs.google.com/spreadsheets/d/1eHaY18a8A9IcSdp1K8H6x8fbOy06t2VsZHhMHf-1x7Y/edit?usp=sharing"",""แผน!AE86"")"),4)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122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122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5</v>
      </c>
      <c r="J202" s="228">
        <f>J209</f>
        <v>0</v>
      </c>
      <c r="K202" s="229">
        <f ca="1">IF(I202&gt;0,J202*100/I202,0)</f>
        <v>0</v>
      </c>
      <c r="L202" s="687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 t="e">
        <f ca="1">L204+L205+L206+L207</f>
        <v>#VALUE!</v>
      </c>
      <c r="M203" s="46"/>
      <c r="N203" s="132">
        <f>N204+N205+N206+N207</f>
        <v>20000</v>
      </c>
      <c r="O203" s="132" t="e">
        <f ca="1">IF(L203&gt;0,N203*100/L203,0)</f>
        <v>#VALUE!</v>
      </c>
      <c r="P203" s="132">
        <f>IF(M203&gt;0,N203*100/M203,0)</f>
        <v>0</v>
      </c>
      <c r="Q203" s="768">
        <f ca="1">Q204+Q205+Q206+Q207</f>
        <v>70000</v>
      </c>
      <c r="R203" s="177"/>
      <c r="S203" s="767">
        <f>S204+S205+S206+S207</f>
        <v>70000</v>
      </c>
      <c r="T203" s="767">
        <f ca="1">IF(Q203&gt;0,S203*100/Q203,0)</f>
        <v>100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86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IFERROR(__xludf.DUMMYFUNCTION("IMPORTRANGE(""https://docs.google.com/spreadsheets/d/1eHaY18a8A9IcSdp1K8H6x8fbOy06t2VsZHhMHf-1x7Y/edit?usp=sharing"",""แผน!AG86"")"),5000)</f>
        <v>5000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IFERROR(__xludf.DUMMYFUNCTION("IMPORTRANGE(""https://docs.google.com/spreadsheets/d/1eHaY18a8A9IcSdp1K8H6x8fbOy06t2VsZHhMHf-1x7Y/edit?usp=sharing"",""แผน!AH86"")"),0)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 t="str">
        <f ca="1">IFERROR(__xludf.DUMMYFUNCTION("IMPORTRANGE(""https://docs.google.com/spreadsheets/d/1eHaY18a8A9IcSdp1K8H6x8fbOy06t2VsZHhMHf-1x7Y/edit?usp=sharing"",""แผน!AI86"")"),"")</f>
        <v/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IFERROR(__xludf.DUMMYFUNCTION("IMPORTRANGE(""https://docs.google.com/spreadsheets/d/1eHaY18a8A9IcSdp1K8H6x8fbOy06t2VsZHhMHf-1x7Y/edit?usp=sharing"",""แผน!LV86"")"),70000)</f>
        <v>70000</v>
      </c>
      <c r="R206" s="46"/>
      <c r="S206" s="743">
        <v>70000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IFERROR(__xludf.DUMMYFUNCTION("IMPORTRANGE(""https://docs.google.com/spreadsheets/d/1eHaY18a8A9IcSdp1K8H6x8fbOy06t2VsZHhMHf-1x7Y/edit?usp=sharing"",""แผน!AJ86"")"),20000)</f>
        <v>20000</v>
      </c>
      <c r="M207" s="46"/>
      <c r="N207" s="743">
        <v>20000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IFERROR(__xludf.DUMMYFUNCTION("IMPORTRANGE(""https://docs.google.com/spreadsheets/d/1eHaY18a8A9IcSdp1K8H6x8fbOy06t2VsZHhMHf-1x7Y/edit?usp=sharing"",""แผน!AK86"")"),5)</f>
        <v>5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IFERROR(__xludf.DUMMYFUNCTION("IMPORTRANGE(""https://docs.google.com/spreadsheets/d/1eHaY18a8A9IcSdp1K8H6x8fbOy06t2VsZHhMHf-1x7Y/edit?usp=sharing"",""แผน!JX86"")"),5)</f>
        <v>5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IFERROR(__xludf.DUMMYFUNCTION("IMPORTRANGE(""https://docs.google.com/spreadsheets/d/1eHaY18a8A9IcSdp1K8H6x8fbOy06t2VsZHhMHf-1x7Y/edit?usp=sharing"",""แผน!JY86"")"),0)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7</v>
      </c>
      <c r="J213" s="228">
        <f>J220</f>
        <v>0</v>
      </c>
      <c r="K213" s="229">
        <f ca="1">IF(I213&gt;0,J213*100/I213,0)</f>
        <v>0</v>
      </c>
      <c r="L213" s="687"/>
      <c r="M213" s="230"/>
      <c r="N213" s="230"/>
      <c r="O213" s="230"/>
      <c r="P213" s="230"/>
      <c r="Q213" s="687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42000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347900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IFERROR(__xludf.DUMMYFUNCTION("IMPORTRANGE(""https://docs.google.com/spreadsheets/d/1eHaY18a8A9IcSdp1K8H6x8fbOy06t2VsZHhMHf-1x7Y/edit?usp=sharing"",""แผน!AM86"")"),7000)</f>
        <v>7000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IFERROR(__xludf.DUMMYFUNCTION("IMPORTRANGE(""https://docs.google.com/spreadsheets/d/1eHaY18a8A9IcSdp1K8H6x8fbOy06t2VsZHhMHf-1x7Y/edit?usp=sharing"",""แผน!AN86"")"),35000)</f>
        <v>35000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IFERROR(__xludf.DUMMYFUNCTION("IMPORTRANGE(""https://docs.google.com/spreadsheets/d/1eHaY18a8A9IcSdp1K8H6x8fbOy06t2VsZHhMHf-1x7Y/edit?usp=sharing"",""แผน!AO86"")"),0)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IFERROR(__xludf.DUMMYFUNCTION("IMPORTRANGE(""https://docs.google.com/spreadsheets/d/1eHaY18a8A9IcSdp1K8H6x8fbOy06t2VsZHhMHf-1x7Y/edit?usp=sharing"",""แผน!LY86"")"),347900)</f>
        <v>347900</v>
      </c>
      <c r="R217" s="46"/>
      <c r="S217" s="743">
        <v>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IFERROR(__xludf.DUMMYFUNCTION("IMPORTRANGE(""https://docs.google.com/spreadsheets/d/1eHaY18a8A9IcSdp1K8H6x8fbOy06t2VsZHhMHf-1x7Y/edit?usp=sharing"",""แผน!AP86"")"),7)</f>
        <v>7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IFERROR(__xludf.DUMMYFUNCTION("IMPORTRANGE(""https://docs.google.com/spreadsheets/d/1eHaY18a8A9IcSdp1K8H6x8fbOy06t2VsZHhMHf-1x7Y/edit?usp=sharing"",""แผน!AP86"")"),7)</f>
        <v>7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15000</v>
      </c>
      <c r="J221" s="228">
        <f>J229</f>
        <v>0</v>
      </c>
      <c r="K221" s="229">
        <f ca="1">IF(I221&gt;0,J221*100/I221,0)</f>
        <v>0</v>
      </c>
      <c r="L221" s="687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IFERROR(__xludf.DUMMYFUNCTION("IMPORTRANGE(""https://docs.google.com/spreadsheets/d/1eHaY18a8A9IcSdp1K8H6x8fbOy06t2VsZHhMHf-1x7Y/edit?usp=sharing"",""แผน!AR86"")"),3000)</f>
        <v>3000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IFERROR(__xludf.DUMMYFUNCTION("IMPORTRANGE(""https://docs.google.com/spreadsheets/d/1eHaY18a8A9IcSdp1K8H6x8fbOy06t2VsZHhMHf-1x7Y/edit?usp=sharing"",""แผน!AS86"")"),1500)</f>
        <v>1500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IFERROR(__xludf.DUMMYFUNCTION("IMPORTRANGE(""https://docs.google.com/spreadsheets/d/1eHaY18a8A9IcSdp1K8H6x8fbOy06t2VsZHhMHf-1x7Y/edit?usp=sharing"",""แผน!AT86"")"),0)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IFERROR(__xludf.DUMMYFUNCTION("IMPORTRANGE(""https://docs.google.com/spreadsheets/d/1eHaY18a8A9IcSdp1K8H6x8fbOy06t2VsZHhMHf-1x7Y/edit?usp=sharing"",""แผน!AV86"")"),15000)</f>
        <v>15000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IFERROR(__xludf.DUMMYFUNCTION("IMPORTRANGE(""https://docs.google.com/spreadsheets/d/1eHaY18a8A9IcSdp1K8H6x8fbOy06t2VsZHhMHf-1x7Y/edit?usp=sharing"",""แผน!AV86"")"),15000)</f>
        <v>15000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IFERROR(__xludf.DUMMYFUNCTION("IMPORTRANGE(""https://docs.google.com/spreadsheets/d/1eHaY18a8A9IcSdp1K8H6x8fbOy06t2VsZHhMHf-1x7Y/edit?usp=sharing"",""แผน!AU86"")"),0)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7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1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7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IFERROR(__xludf.DUMMYFUNCTION("IMPORTRANGE(""https://docs.google.com/spreadsheets/d/1eHaY18a8A9IcSdp1K8H6x8fbOy06t2VsZHhMHf-1x7Y/edit?usp=sharing"",""แผน!AX86"")"),0)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IFERROR(__xludf.DUMMYFUNCTION("IMPORTRANGE(""https://docs.google.com/spreadsheets/d/1eHaY18a8A9IcSdp1K8H6x8fbOy06t2VsZHhMHf-1x7Y/edit?usp=sharing"",""แผน!AY86"")"),0)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IFERROR(__xludf.DUMMYFUNCTION("IMPORTRANGE(""https://docs.google.com/spreadsheets/d/1eHaY18a8A9IcSdp1K8H6x8fbOy06t2VsZHhMHf-1x7Y/edit?usp=sharing"",""แผน!AZ86"")"),0)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IFERROR(__xludf.DUMMYFUNCTION("IMPORTRANGE(""https://docs.google.com/spreadsheets/d/1eHaY18a8A9IcSdp1K8H6x8fbOy06t2VsZHhMHf-1x7Y/edit?usp=sharing"",""แผน!BA86"")"),0)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1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IFERROR(__xludf.DUMMYFUNCTION("IMPORTRANGE(""https://docs.google.com/spreadsheets/d/1eHaY18a8A9IcSdp1K8H6x8fbOy06t2VsZHhMHf-1x7Y/edit?usp=sharing"",""แผน!BG86"")"),0)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7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IFERROR(__xludf.DUMMYFUNCTION("IMPORTRANGE(""https://docs.google.com/spreadsheets/d/1eHaY18a8A9IcSdp1K8H6x8fbOy06t2VsZHhMHf-1x7Y/edit?usp=sharing"",""แผน!BB86"")"),0)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IFERROR(__xludf.DUMMYFUNCTION("IMPORTRANGE(""https://docs.google.com/spreadsheets/d/1eHaY18a8A9IcSdp1K8H6x8fbOy06t2VsZHhMHf-1x7Y/edit?usp=sharing"",""แผน!BC86"")"),0)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IFERROR(__xludf.DUMMYFUNCTION("IMPORTRANGE(""https://docs.google.com/spreadsheets/d/1eHaY18a8A9IcSdp1K8H6x8fbOy06t2VsZHhMHf-1x7Y/edit?usp=sharing"",""แผน!BD86"")"),0)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IFERROR(__xludf.DUMMYFUNCTION("IMPORTRANGE(""https://docs.google.com/spreadsheets/d/1eHaY18a8A9IcSdp1K8H6x8fbOy06t2VsZHhMHf-1x7Y/edit?usp=sharing"",""แผน!BE86"")"),0)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1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IFERROR(__xludf.DUMMYFUNCTION("IMPORTRANGE(""https://docs.google.com/spreadsheets/d/1eHaY18a8A9IcSdp1K8H6x8fbOy06t2VsZHhMHf-1x7Y/edit?usp=sharing"",""แผน!BH86"")"),0)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0</v>
      </c>
      <c r="K265" s="725">
        <f ca="1">IF(I265&gt;0,J265*100/I265,0)</f>
        <v>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618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0</v>
      </c>
      <c r="O266" s="421">
        <f ca="1">IF(L266&gt;0,N266*100/L266,0)</f>
        <v>0</v>
      </c>
      <c r="P266" s="421">
        <f ca="1">IF(M266&gt;0,N266*100/M266,0)</f>
        <v>0</v>
      </c>
      <c r="Q266" s="421">
        <f ca="1">Q267+Q268</f>
        <v>50660</v>
      </c>
      <c r="R266" s="421">
        <f ca="1">R267+R268</f>
        <v>50660</v>
      </c>
      <c r="S266" s="421">
        <f ca="1">S267+S268</f>
        <v>34240</v>
      </c>
      <c r="T266" s="421">
        <f ca="1">IF(Q266&gt;0,S266*100/Q266,0)</f>
        <v>67.587840505329652</v>
      </c>
      <c r="U266" s="421">
        <f ca="1">IF(R266&gt;0,S266*100/R266,0)</f>
        <v>67.587840505329652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0</v>
      </c>
      <c r="O268" s="331">
        <f ca="1">IF(L268&gt;0,N268*100/L268,0)</f>
        <v>0</v>
      </c>
      <c r="P268" s="331">
        <f ca="1">IF(M268&gt;0,N268*100/M268,0)</f>
        <v>0</v>
      </c>
      <c r="Q268" s="331">
        <f ca="1">Q271+Q274</f>
        <v>50660</v>
      </c>
      <c r="R268" s="331">
        <f ca="1">R271+R274</f>
        <v>50660</v>
      </c>
      <c r="S268" s="331">
        <f ca="1">S271+S274</f>
        <v>34240</v>
      </c>
      <c r="T268" s="331">
        <f ca="1">IF(Q268&gt;0,S268*100/Q268,0)</f>
        <v>67.587840505329652</v>
      </c>
      <c r="U268" s="331">
        <f ca="1">IF(R268&gt;0,S268*100/R268,0)</f>
        <v>67.587840505329652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0</v>
      </c>
      <c r="O269" s="331">
        <f ca="1">IF(L269&gt;0,N269*100/L269,0)</f>
        <v>0</v>
      </c>
      <c r="P269" s="331">
        <f ca="1">IF(M269&gt;0,N269*100/M269,0)</f>
        <v>0</v>
      </c>
      <c r="Q269" s="331">
        <f ca="1">Q270+Q271</f>
        <v>50660</v>
      </c>
      <c r="R269" s="331">
        <f ca="1">R270+R271</f>
        <v>50660</v>
      </c>
      <c r="S269" s="331">
        <f ca="1">S270+S271</f>
        <v>34240</v>
      </c>
      <c r="T269" s="331">
        <f ca="1">IF(Q269&gt;0,S269*100/Q269,0)</f>
        <v>67.587840505329652</v>
      </c>
      <c r="U269" s="331">
        <f ca="1">IF(R269&gt;0,S269*100/R269,0)</f>
        <v>67.587840505329652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IFERROR(__xludf.DUMMYFUNCTION("IMPORTRANGE(""https://docs.google.com/spreadsheets/d/1-uDff_7J0KD5mKrp0Vvzr7lt3OU09vwQwhkpOPPYv2Y/edit?usp=sharing"",""งบพรบ!DE86"")"),5000)</f>
        <v>5000</v>
      </c>
      <c r="M271" s="331">
        <f ca="1">IFERROR(__xludf.DUMMYFUNCTION("IMPORTRANGE(""https://docs.google.com/spreadsheets/d/1-uDff_7J0KD5mKrp0Vvzr7lt3OU09vwQwhkpOPPYv2Y/edit?usp=sharing"",""งบพรบ!DJ86"")"),5000)</f>
        <v>5000</v>
      </c>
      <c r="N271" s="331">
        <f ca="1">IFERROR(__xludf.DUMMYFUNCTION("IMPORTRANGE(""https://docs.google.com/spreadsheets/d/1-uDff_7J0KD5mKrp0Vvzr7lt3OU09vwQwhkpOPPYv2Y/edit?usp=sharing"",""งบพรบ!DL86"")"),0)</f>
        <v>0</v>
      </c>
      <c r="O271" s="331">
        <f ca="1">IF(L271&gt;0,N271*100/L271,0)</f>
        <v>0</v>
      </c>
      <c r="P271" s="331">
        <f ca="1">IF(M271&gt;0,N271*100/M271,0)</f>
        <v>0</v>
      </c>
      <c r="Q271" s="331">
        <f ca="1">IFERROR(__xludf.DUMMYFUNCTION("IMPORTRANGE(""https://docs.google.com/spreadsheets/d/1ItG2mGa2ceCfYo0BwxsXqNm01IGEUdYcSSLTEv9YCik/edit?usp=sharing"",""เบิกจ่ายกองทุน!AP86"")"),50660)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IFERROR(__xludf.DUMMYFUNCTION("IMPORTRANGE(""https://docs.google.com/spreadsheets/d/1ItG2mGa2ceCfYo0BwxsXqNm01IGEUdYcSSLTEv9YCik/edit?usp=sharing"",""เบิกจ่ายกองทุน!AQ86"")"),50660)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IFERROR(__xludf.DUMMYFUNCTION("IMPORTRANGE(""https://docs.google.com/spreadsheets/d/1ItG2mGa2ceCfYo0BwxsXqNm01IGEUdYcSSLTEv9YCik/edit?usp=sharing"",""เบิกจ่ายกองทุน!AR86"")"),34240)</f>
        <v>34240</v>
      </c>
      <c r="T271" s="331">
        <f ca="1">IF(Q271&gt;0,S271*100/Q271,0)</f>
        <v>67.587840505329652</v>
      </c>
      <c r="U271" s="331">
        <f ca="1">IF(R271&gt;0,S271*100/R271,0)</f>
        <v>67.587840505329652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IFERROR(__xludf.DUMMYFUNCTION("IMPORTRANGE(""https://docs.google.com/spreadsheets/d/1-uDff_7J0KD5mKrp0Vvzr7lt3OU09vwQwhkpOPPYv2Y/edit?usp=sharing"",""งบพรบ!DH86"")"),0)</f>
        <v>0</v>
      </c>
      <c r="M274" s="331">
        <f ca="1">IFERROR(__xludf.DUMMYFUNCTION("IMPORTRANGE(""https://docs.google.com/spreadsheets/d/1-uDff_7J0KD5mKrp0Vvzr7lt3OU09vwQwhkpOPPYv2Y/edit?usp=sharing"",""งบพรบ!DK86"")"),0)</f>
        <v>0</v>
      </c>
      <c r="N274" s="331">
        <f ca="1">IFERROR(__xludf.DUMMYFUNCTION("IMPORTRANGE(""https://docs.google.com/spreadsheets/d/1-uDff_7J0KD5mKrp0Vvzr7lt3OU09vwQwhkpOPPYv2Y/edit?usp=sharing"",""งบพรบ!DM86"")"),0)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423" t="s">
        <v>18</v>
      </c>
      <c r="D275" s="617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IFERROR(__xludf.DUMMYFUNCTION("IMPORTRANGE(""https://docs.google.com/spreadsheets/d/1eHaY18a8A9IcSdp1K8H6x8fbOy06t2VsZHhMHf-1x7Y/edit?usp=sharing"",""แผน!EC86"")"),22)</f>
        <v>22</v>
      </c>
      <c r="J276" s="175">
        <v>0</v>
      </c>
      <c r="K276" s="176">
        <f ca="1">IF(I276&gt;0,J276*100/I276,0)</f>
        <v>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IFERROR(__xludf.DUMMYFUNCTION("IMPORTRANGE(""https://docs.google.com/spreadsheets/d/1-uDff_7J0KD5mKrp0Vvzr7lt3OU09vwQwhkpOPPYv2Y/edit?usp=sharing"",""งบพรบ!DO86"")"),0)</f>
        <v>0</v>
      </c>
      <c r="M287" s="47">
        <f ca="1">IFERROR(__xludf.DUMMYFUNCTION("IMPORTRANGE(""https://docs.google.com/spreadsheets/d/1-uDff_7J0KD5mKrp0Vvzr7lt3OU09vwQwhkpOPPYv2Y/edit?usp=sharing"",""งบพรบ!DT86"")"),0)</f>
        <v>0</v>
      </c>
      <c r="N287" s="47">
        <f ca="1">IFERROR(__xludf.DUMMYFUNCTION("IMPORTRANGE(""https://docs.google.com/spreadsheets/d/1-uDff_7J0KD5mKrp0Vvzr7lt3OU09vwQwhkpOPPYv2Y/edit?usp=sharing"",""งบพรบ!DV86"")"),0)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IFERROR(__xludf.DUMMYFUNCTION("IMPORTRANGE(""https://docs.google.com/spreadsheets/d/1-uDff_7J0KD5mKrp0Vvzr7lt3OU09vwQwhkpOPPYv2Y/edit?usp=sharing"",""งบพรบ!DR86"")"),0)</f>
        <v>0</v>
      </c>
      <c r="M290" s="47">
        <f ca="1">IFERROR(__xludf.DUMMYFUNCTION("IMPORTRANGE(""https://docs.google.com/spreadsheets/d/1-uDff_7J0KD5mKrp0Vvzr7lt3OU09vwQwhkpOPPYv2Y/edit?usp=sharing"",""งบพรบ!DU86"")"),0)</f>
        <v>0</v>
      </c>
      <c r="N290" s="47">
        <f ca="1">IFERROR(__xludf.DUMMYFUNCTION("IMPORTRANGE(""https://docs.google.com/spreadsheets/d/1-uDff_7J0KD5mKrp0Vvzr7lt3OU09vwQwhkpOPPYv2Y/edit?usp=sharing"",""งบพรบ!DW86"")"),0)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IFERROR(__xludf.DUMMYFUNCTION("IMPORTRANGE(""https://docs.google.com/spreadsheets/d/1eHaY18a8A9IcSdp1K8H6x8fbOy06t2VsZHhMHf-1x7Y/edit?usp=sharing"",""แผน!EE86"")"),0)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IFERROR(__xludf.DUMMYFUNCTION("IMPORTRANGE(""https://docs.google.com/spreadsheets/d/1eHaY18a8A9IcSdp1K8H6x8fbOy06t2VsZHhMHf-1x7Y/edit?usp=sharing"",""แผน!ED86"")"),0)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IFERROR(__xludf.DUMMYFUNCTION("IMPORTRANGE(""https://docs.google.com/spreadsheets/d/1eHaY18a8A9IcSdp1K8H6x8fbOy06t2VsZHhMHf-1x7Y/edit?usp=sharing"",""แผน!ED86"")"),0)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IFERROR(__xludf.DUMMYFUNCTION("IMPORTRANGE(""https://docs.google.com/spreadsheets/d/1eHaY18a8A9IcSdp1K8H6x8fbOy06t2VsZHhMHf-1x7Y/edit?usp=sharing"",""แผน!ED86"")"),0)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1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1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700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9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226234.22</v>
      </c>
      <c r="R303" s="132">
        <f ca="1">R304+R305</f>
        <v>226234</v>
      </c>
      <c r="S303" s="132">
        <f ca="1">S304+S305</f>
        <v>31871</v>
      </c>
      <c r="T303" s="132">
        <f ca="1">IF(Q303&gt;0,S303*100/Q303,0)</f>
        <v>14.087612386844041</v>
      </c>
      <c r="U303" s="132">
        <f ca="1">IF(R303&gt;0,S303*100/R303,0)</f>
        <v>14.087626086264663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226234.22</v>
      </c>
      <c r="R305" s="47">
        <f ca="1">R308+R311</f>
        <v>226234</v>
      </c>
      <c r="S305" s="47">
        <f ca="1">S308+S311</f>
        <v>31871</v>
      </c>
      <c r="T305" s="47">
        <f ca="1">IF(Q305&gt;0,S305*100/Q305,0)</f>
        <v>14.087612386844041</v>
      </c>
      <c r="U305" s="47">
        <f ca="1">IF(R305&gt;0,S305*100/R305,0)</f>
        <v>14.087626086264663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226234.22</v>
      </c>
      <c r="R306" s="47">
        <f ca="1">R307+R308</f>
        <v>226234</v>
      </c>
      <c r="S306" s="47">
        <f ca="1">S307+S308</f>
        <v>31871</v>
      </c>
      <c r="T306" s="47">
        <f ca="1">IF(Q306&gt;0,S306*100/Q306,0)</f>
        <v>14.087612386844041</v>
      </c>
      <c r="U306" s="47">
        <f ca="1">IF(R306&gt;0,S306*100/R306,0)</f>
        <v>14.087626086264663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IFERROR(__xludf.DUMMYFUNCTION("IMPORTRANGE(""https://docs.google.com/spreadsheets/d/1-uDff_7J0KD5mKrp0Vvzr7lt3OU09vwQwhkpOPPYv2Y/edit?usp=sharing"",""งบพรบ!DY86"")"),0)</f>
        <v>0</v>
      </c>
      <c r="M308" s="47">
        <f ca="1">IFERROR(__xludf.DUMMYFUNCTION("IMPORTRANGE(""https://docs.google.com/spreadsheets/d/1-uDff_7J0KD5mKrp0Vvzr7lt3OU09vwQwhkpOPPYv2Y/edit?usp=sharing"",""งบพรบ!ED86"")"),0)</f>
        <v>0</v>
      </c>
      <c r="N308" s="47">
        <f ca="1">IFERROR(__xludf.DUMMYFUNCTION("IMPORTRANGE(""https://docs.google.com/spreadsheets/d/1-uDff_7J0KD5mKrp0Vvzr7lt3OU09vwQwhkpOPPYv2Y/edit?usp=sharing"",""งบพรบ!EF86"")"),0)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IFERROR(__xludf.DUMMYFUNCTION("IMPORTRANGE(""https://docs.google.com/spreadsheets/d/1ItG2mGa2ceCfYo0BwxsXqNm01IGEUdYcSSLTEv9YCik/edit?usp=sharing"",""เบิกจ่ายกองทุน!BB86"")"),226234.22)</f>
        <v>226234.22</v>
      </c>
      <c r="R308" s="47">
        <f ca="1">IFERROR(__xludf.DUMMYFUNCTION("IMPORTRANGE(""https://docs.google.com/spreadsheets/d/1ItG2mGa2ceCfYo0BwxsXqNm01IGEUdYcSSLTEv9YCik/edit?usp=sharing"",""เบิกจ่ายกองทุน!BC86"")"),226234)</f>
        <v>226234</v>
      </c>
      <c r="S308" s="47">
        <f ca="1">IFERROR(__xludf.DUMMYFUNCTION("IMPORTRANGE(""https://docs.google.com/spreadsheets/d/1ItG2mGa2ceCfYo0BwxsXqNm01IGEUdYcSSLTEv9YCik/edit?usp=sharing"",""เบิกจ่ายกองทุน!BD86"")"),31871)</f>
        <v>31871</v>
      </c>
      <c r="T308" s="47">
        <f ca="1">IF(Q308&gt;0,S308*100/Q308,0)</f>
        <v>14.087612386844041</v>
      </c>
      <c r="U308" s="47">
        <f ca="1">IF(R308&gt;0,S308*100/R308,0)</f>
        <v>14.087626086264663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IFERROR(__xludf.DUMMYFUNCTION("IMPORTRANGE(""https://docs.google.com/spreadsheets/d/1-uDff_7J0KD5mKrp0Vvzr7lt3OU09vwQwhkpOPPYv2Y/edit?usp=sharing"",""งบพรบ!EB86"")"),0)</f>
        <v>0</v>
      </c>
      <c r="M311" s="47">
        <f ca="1">IFERROR(__xludf.DUMMYFUNCTION("IMPORTRANGE(""https://docs.google.com/spreadsheets/d/1-uDff_7J0KD5mKrp0Vvzr7lt3OU09vwQwhkpOPPYv2Y/edit?usp=sharing"",""งบพรบ!EE86"")"),0)</f>
        <v>0</v>
      </c>
      <c r="N311" s="47">
        <f ca="1">IFERROR(__xludf.DUMMYFUNCTION("IMPORTRANGE(""https://docs.google.com/spreadsheets/d/1-uDff_7J0KD5mKrp0Vvzr7lt3OU09vwQwhkpOPPYv2Y/edit?usp=sharing"",""งบพรบ!EG86"")"),0)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9"/>
      <c r="E313" s="19"/>
      <c r="F313" s="19"/>
      <c r="G313" s="20"/>
      <c r="H313" s="20"/>
      <c r="I313" s="21"/>
      <c r="J313" s="707"/>
      <c r="K313" s="22"/>
      <c r="L313" s="701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IFERROR(__xludf.DUMMYFUNCTION("IMPORTRANGE(""https://docs.google.com/spreadsheets/d/1eHaY18a8A9IcSdp1K8H6x8fbOy06t2VsZHhMHf-1x7Y/edit?usp=sharing"",""แผน!EF86"")"),25)</f>
        <v>25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9"/>
      <c r="E315" s="19"/>
      <c r="F315" s="19"/>
      <c r="G315" s="20"/>
      <c r="H315" s="708"/>
      <c r="I315" s="707"/>
      <c r="J315" s="707"/>
      <c r="K315" s="706"/>
      <c r="L315" s="701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9"/>
      <c r="E316" s="19"/>
      <c r="F316" s="19"/>
      <c r="G316" s="20"/>
      <c r="H316" s="708"/>
      <c r="I316" s="707"/>
      <c r="J316" s="707"/>
      <c r="K316" s="706"/>
      <c r="L316" s="701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5"/>
      <c r="E317" s="19"/>
      <c r="F317" s="19"/>
      <c r="G317" s="20"/>
      <c r="H317" s="704"/>
      <c r="I317" s="703"/>
      <c r="J317" s="703"/>
      <c r="K317" s="702"/>
      <c r="L317" s="701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700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1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59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125000</v>
      </c>
      <c r="M320" s="132">
        <f ca="1">M321+M322</f>
        <v>125000</v>
      </c>
      <c r="N320" s="132">
        <f ca="1">N321+N322</f>
        <v>12907</v>
      </c>
      <c r="O320" s="132">
        <f ca="1">IF(L320&gt;0,N320*100/L320,0)</f>
        <v>10.3256</v>
      </c>
      <c r="P320" s="132">
        <f ca="1">IF(M320&gt;0,N320*100/M320,0)</f>
        <v>10.3256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125000</v>
      </c>
      <c r="M322" s="47">
        <f ca="1">M325+M328</f>
        <v>125000</v>
      </c>
      <c r="N322" s="47">
        <f ca="1">N325+N328</f>
        <v>12907</v>
      </c>
      <c r="O322" s="47">
        <f ca="1">IF(L322&gt;0,N322*100/L322,0)</f>
        <v>10.3256</v>
      </c>
      <c r="P322" s="47">
        <f ca="1">IF(M322&gt;0,N322*100/M322,0)</f>
        <v>10.3256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125000</v>
      </c>
      <c r="M323" s="47">
        <f ca="1">M324+M325</f>
        <v>125000</v>
      </c>
      <c r="N323" s="47">
        <f ca="1">N324+N325</f>
        <v>12907</v>
      </c>
      <c r="O323" s="47">
        <f ca="1">IF(L323&gt;0,N323*100/L323,0)</f>
        <v>10.3256</v>
      </c>
      <c r="P323" s="47">
        <f ca="1">IF(M323&gt;0,N323*100/M323,0)</f>
        <v>10.3256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IFERROR(__xludf.DUMMYFUNCTION("IMPORTRANGE(""https://docs.google.com/spreadsheets/d/1-uDff_7J0KD5mKrp0Vvzr7lt3OU09vwQwhkpOPPYv2Y/edit?usp=sharing"",""งบพรบ!EI86"")"),125000)</f>
        <v>125000</v>
      </c>
      <c r="M325" s="47">
        <f ca="1">IFERROR(__xludf.DUMMYFUNCTION("IMPORTRANGE(""https://docs.google.com/spreadsheets/d/1-uDff_7J0KD5mKrp0Vvzr7lt3OU09vwQwhkpOPPYv2Y/edit?usp=sharing"",""งบพรบ!EN86"")"),125000)</f>
        <v>125000</v>
      </c>
      <c r="N325" s="47">
        <f ca="1">IFERROR(__xludf.DUMMYFUNCTION("IMPORTRANGE(""https://docs.google.com/spreadsheets/d/1-uDff_7J0KD5mKrp0Vvzr7lt3OU09vwQwhkpOPPYv2Y/edit?usp=sharing"",""งบพรบ!EP86"")"),12907)</f>
        <v>12907</v>
      </c>
      <c r="O325" s="47">
        <f ca="1">IF(L325&gt;0,N325*100/L325,0)</f>
        <v>10.3256</v>
      </c>
      <c r="P325" s="47">
        <f ca="1">IF(M325&gt;0,N325*100/M325,0)</f>
        <v>10.3256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IFERROR(__xludf.DUMMYFUNCTION("IMPORTRANGE(""https://docs.google.com/spreadsheets/d/1-uDff_7J0KD5mKrp0Vvzr7lt3OU09vwQwhkpOPPYv2Y/edit?usp=sharing"",""งบพรบ!EL86"")"),0)</f>
        <v>0</v>
      </c>
      <c r="M328" s="47">
        <f ca="1">IFERROR(__xludf.DUMMYFUNCTION("IMPORTRANGE(""https://docs.google.com/spreadsheets/d/1-uDff_7J0KD5mKrp0Vvzr7lt3OU09vwQwhkpOPPYv2Y/edit?usp=sharing"",""งบพรบ!EO86"")"),0)</f>
        <v>0</v>
      </c>
      <c r="N328" s="47">
        <f ca="1">IFERROR(__xludf.DUMMYFUNCTION("IMPORTRANGE(""https://docs.google.com/spreadsheets/d/1-uDff_7J0KD5mKrp0Vvzr7lt3OU09vwQwhkpOPPYv2Y/edit?usp=sharing"",""งบพรบ!EQ86"")"),0)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IFERROR(__xludf.DUMMYFUNCTION("IMPORTRANGE(""https://docs.google.com/spreadsheets/d/1eHaY18a8A9IcSdp1K8H6x8fbOy06t2VsZHhMHf-1x7Y/edit?usp=sharing"",""แผน!EJ86"")"),1)</f>
        <v>1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700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9">
        <f ca="1">I344</f>
        <v>860</v>
      </c>
      <c r="J332" s="698">
        <f ca="1">J344+J347+J348+J349+J353</f>
        <v>2906</v>
      </c>
      <c r="K332" s="697">
        <f ca="1">IF(I332&gt;0,J332*100/I332,0)</f>
        <v>337.90697674418607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9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183000</v>
      </c>
      <c r="M333" s="132">
        <f ca="1">M334+M335</f>
        <v>183000</v>
      </c>
      <c r="N333" s="132">
        <f ca="1">N334+N335</f>
        <v>107954</v>
      </c>
      <c r="O333" s="132">
        <f ca="1">IF(L333&gt;0,N333*100/L333,0)</f>
        <v>58.991256830601095</v>
      </c>
      <c r="P333" s="132">
        <f ca="1">IF(M333&gt;0,N333*100/M333,0)</f>
        <v>58.991256830601095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183000</v>
      </c>
      <c r="M335" s="47">
        <f ca="1">M338+M341</f>
        <v>183000</v>
      </c>
      <c r="N335" s="47">
        <f ca="1">N338+N341</f>
        <v>107954</v>
      </c>
      <c r="O335" s="47">
        <f ca="1">IF(L335&gt;0,N335*100/L335,0)</f>
        <v>58.991256830601095</v>
      </c>
      <c r="P335" s="47">
        <f ca="1">IF(M335&gt;0,N335*100/M335,0)</f>
        <v>58.991256830601095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183000</v>
      </c>
      <c r="M336" s="47">
        <f ca="1">M337+M338</f>
        <v>183000</v>
      </c>
      <c r="N336" s="47">
        <f ca="1">N337+N338</f>
        <v>107954</v>
      </c>
      <c r="O336" s="47">
        <f ca="1">IF(L336&gt;0,N336*100/L336,0)</f>
        <v>58.991256830601095</v>
      </c>
      <c r="P336" s="47">
        <f ca="1">IF(M336&gt;0,N336*100/M336,0)</f>
        <v>58.991256830601095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IFERROR(__xludf.DUMMYFUNCTION("IMPORTRANGE(""https://docs.google.com/spreadsheets/d/1-uDff_7J0KD5mKrp0Vvzr7lt3OU09vwQwhkpOPPYv2Y/edit?usp=sharing"",""งบพรบ!ES86"")"),183000)</f>
        <v>183000</v>
      </c>
      <c r="M338" s="47">
        <f ca="1">IFERROR(__xludf.DUMMYFUNCTION("IMPORTRANGE(""https://docs.google.com/spreadsheets/d/1-uDff_7J0KD5mKrp0Vvzr7lt3OU09vwQwhkpOPPYv2Y/edit?usp=sharing"",""งบพรบ!EX86"")"),183000)</f>
        <v>183000</v>
      </c>
      <c r="N338" s="47">
        <f ca="1">IFERROR(__xludf.DUMMYFUNCTION("IMPORTRANGE(""https://docs.google.com/spreadsheets/d/1-uDff_7J0KD5mKrp0Vvzr7lt3OU09vwQwhkpOPPYv2Y/edit?usp=sharing"",""งบพรบ!EZ86"")"),107954)</f>
        <v>107954</v>
      </c>
      <c r="O338" s="47">
        <f ca="1">IF(L338&gt;0,N338*100/L338,0)</f>
        <v>58.991256830601095</v>
      </c>
      <c r="P338" s="47">
        <f ca="1">IF(M338&gt;0,N338*100/M338,0)</f>
        <v>58.991256830601095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IFERROR(__xludf.DUMMYFUNCTION("IMPORTRANGE(""https://docs.google.com/spreadsheets/d/1-uDff_7J0KD5mKrp0Vvzr7lt3OU09vwQwhkpOPPYv2Y/edit?usp=sharing"",""งบพรบ!EV86"")"),0)</f>
        <v>0</v>
      </c>
      <c r="M341" s="47">
        <f ca="1">IFERROR(__xludf.DUMMYFUNCTION("IMPORTRANGE(""https://docs.google.com/spreadsheets/d/1-uDff_7J0KD5mKrp0Vvzr7lt3OU09vwQwhkpOPPYv2Y/edit?usp=sharing"",""งบพรบ!EY86"")"),0)</f>
        <v>0</v>
      </c>
      <c r="N341" s="47">
        <f ca="1">IFERROR(__xludf.DUMMYFUNCTION("IMPORTRANGE(""https://docs.google.com/spreadsheets/d/1-uDff_7J0KD5mKrp0Vvzr7lt3OU09vwQwhkpOPPYv2Y/edit?usp=sharing"",""งบพรบ!FA86"")"),0)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6"/>
      <c r="B343" s="693"/>
      <c r="C343" s="695"/>
      <c r="D343" s="693"/>
      <c r="E343" s="694" t="s">
        <v>137</v>
      </c>
      <c r="F343" s="693"/>
      <c r="G343" s="692"/>
      <c r="H343" s="691" t="s">
        <v>35</v>
      </c>
      <c r="I343" s="690">
        <v>0</v>
      </c>
      <c r="J343" s="690">
        <f ca="1">J344+J347+J348+J349</f>
        <v>408</v>
      </c>
      <c r="K343" s="689">
        <v>0</v>
      </c>
      <c r="L343" s="687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IFERROR(__xludf.DUMMYFUNCTION("IMPORTRANGE(""https://docs.google.com/spreadsheets/d/1eHaY18a8A9IcSdp1K8H6x8fbOy06t2VsZHhMHf-1x7Y/edit?usp=sharing"",""แผน!EK86"")"),860)</f>
        <v>860</v>
      </c>
      <c r="J344" s="152">
        <f ca="1">IFERROR(__xludf.DUMMYFUNCTION("IMPORTRANGE(""https://docs.google.com/spreadsheets/d/1awYsYK3VOup2i3Pq_Yjnu8DRu_mYwSBnCR2QPthd0rU/edit?usp=sharing"",""ศูนย์ยกเว้นโฉนด!D86"")"),402)</f>
        <v>402</v>
      </c>
      <c r="K344" s="47">
        <f ca="1">IF(I344&gt;0,J344*100/I344,0)</f>
        <v>46.744186046511629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IFERROR(__xludf.DUMMYFUNCTION("IMPORTRANGE(""https://docs.google.com/spreadsheets/d/1eHaY18a8A9IcSdp1K8H6x8fbOy06t2VsZHhMHf-1x7Y/edit?usp=sharing"",""แผน!EL86"")"),3)</f>
        <v>3</v>
      </c>
      <c r="J346" s="152">
        <f ca="1">IFERROR(__xludf.DUMMYFUNCTION("IMPORTRANGE(""https://docs.google.com/spreadsheets/d/1awYsYK3VOup2i3Pq_Yjnu8DRu_mYwSBnCR2QPthd0rU/edit?usp=sharing"",""ศูนย์รวม!E86"")"),3)</f>
        <v>3</v>
      </c>
      <c r="K346" s="47">
        <f ca="1">IF(I346&gt;0,J346*100/I346,0)</f>
        <v>100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IFERROR(__xludf.DUMMYFUNCTION("IMPORTRANGE(""https://docs.google.com/spreadsheets/d/1awYsYK3VOup2i3Pq_Yjnu8DRu_mYwSBnCR2QPthd0rU/edit?usp=sharing"",""ศูนย์ยกเว้นโฉนด!F86"")"),5)</f>
        <v>5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IFERROR(__xludf.DUMMYFUNCTION("IMPORTRANGE(""https://docs.google.com/spreadsheets/d/1awYsYK3VOup2i3Pq_Yjnu8DRu_mYwSBnCR2QPthd0rU/edit?usp=sharing"",""ศูนย์ยกเว้นโฉนด!G86"")"),1)</f>
        <v>1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IFERROR(__xludf.DUMMYFUNCTION("IMPORTRANGE(""https://docs.google.com/spreadsheets/d/1awYsYK3VOup2i3Pq_Yjnu8DRu_mYwSBnCR2QPthd0rU/edit?usp=sharing"",""ศูนย์ยกเว้นโฉนด!H86"")"),0)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8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2634</v>
      </c>
      <c r="K351" s="229">
        <v>0</v>
      </c>
      <c r="L351" s="687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IFERROR(__xludf.DUMMYFUNCTION("IMPORTRANGE(""https://docs.google.com/spreadsheets/d/1awYsYK3VOup2i3Pq_Yjnu8DRu_mYwSBnCR2QPthd0rU/edit?usp=sharing"",""โฉนดM3!G86"")"),136)</f>
        <v>136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IFERROR(__xludf.DUMMYFUNCTION("IMPORTRANGE(""https://docs.google.com/spreadsheets/d/1awYsYK3VOup2i3Pq_Yjnu8DRu_mYwSBnCR2QPthd0rU/edit?usp=sharing"",""โฉนดM3!H86"")"),2498)</f>
        <v>2498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9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916010</v>
      </c>
      <c r="M356" s="132">
        <f ca="1">M357+M358</f>
        <v>919410</v>
      </c>
      <c r="N356" s="132">
        <f ca="1">N357+N358</f>
        <v>593813.32999999996</v>
      </c>
      <c r="O356" s="132">
        <f ca="1">IF(L356&gt;0,N356*100/L356,0)</f>
        <v>64.826075042848871</v>
      </c>
      <c r="P356" s="132">
        <f ca="1">IF(M356&gt;0,N356*100/M356,0)</f>
        <v>64.586346678848386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916010</v>
      </c>
      <c r="M358" s="47">
        <f ca="1">M361+M364</f>
        <v>919410</v>
      </c>
      <c r="N358" s="47">
        <f ca="1">N361+N364</f>
        <v>593813.32999999996</v>
      </c>
      <c r="O358" s="47">
        <f ca="1">IF(L358&gt;0,N358*100/L358,0)</f>
        <v>64.826075042848871</v>
      </c>
      <c r="P358" s="47">
        <f ca="1">IF(M358&gt;0,N358*100/M358,0)</f>
        <v>64.586346678848386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916010</v>
      </c>
      <c r="M359" s="47">
        <f ca="1">M360+M361</f>
        <v>919410</v>
      </c>
      <c r="N359" s="47">
        <f ca="1">N360+N361</f>
        <v>593813.32999999996</v>
      </c>
      <c r="O359" s="47">
        <f ca="1">IF(L359&gt;0,N359*100/L359,0)</f>
        <v>64.826075042848871</v>
      </c>
      <c r="P359" s="47">
        <f ca="1">IF(M359&gt;0,N359*100/M359,0)</f>
        <v>64.586346678848386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IFERROR(__xludf.DUMMYFUNCTION("IMPORTRANGE(""https://docs.google.com/spreadsheets/d/1-uDff_7J0KD5mKrp0Vvzr7lt3OU09vwQwhkpOPPYv2Y/edit?usp=sharing"",""งบพรบ!FC86"")"),916010)</f>
        <v>916010</v>
      </c>
      <c r="M361" s="47">
        <f ca="1">IFERROR(__xludf.DUMMYFUNCTION("IMPORTRANGE(""https://docs.google.com/spreadsheets/d/1-uDff_7J0KD5mKrp0Vvzr7lt3OU09vwQwhkpOPPYv2Y/edit?usp=sharing"",""งบพรบ!FH86"")"),919410)</f>
        <v>919410</v>
      </c>
      <c r="N361" s="47">
        <f ca="1">IFERROR(__xludf.DUMMYFUNCTION("IMPORTRANGE(""https://docs.google.com/spreadsheets/d/1-uDff_7J0KD5mKrp0Vvzr7lt3OU09vwQwhkpOPPYv2Y/edit?usp=sharing"",""งบพรบ!FJ86"")"),593813.33)</f>
        <v>593813.32999999996</v>
      </c>
      <c r="O361" s="47">
        <f ca="1">IF(L361&gt;0,N361*100/L361,0)</f>
        <v>64.826075042848871</v>
      </c>
      <c r="P361" s="47">
        <f ca="1">IF(M361&gt;0,N361*100/M361,0)</f>
        <v>64.586346678848386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IFERROR(__xludf.DUMMYFUNCTION("IMPORTRANGE(""https://docs.google.com/spreadsheets/d/1-uDff_7J0KD5mKrp0Vvzr7lt3OU09vwQwhkpOPPYv2Y/edit?usp=sharing"",""งบพรบ!FF86"")"),0)</f>
        <v>0</v>
      </c>
      <c r="M364" s="47">
        <f ca="1">IFERROR(__xludf.DUMMYFUNCTION("IMPORTRANGE(""https://docs.google.com/spreadsheets/d/1-uDff_7J0KD5mKrp0Vvzr7lt3OU09vwQwhkpOPPYv2Y/edit?usp=sharing"",""งบพรบ!FI86"")"),0)</f>
        <v>0</v>
      </c>
      <c r="N364" s="47">
        <f ca="1">IFERROR(__xludf.DUMMYFUNCTION("IMPORTRANGE(""https://docs.google.com/spreadsheets/d/1-uDff_7J0KD5mKrp0Vvzr7lt3OU09vwQwhkpOPPYv2Y/edit?usp=sharing"",""งบพรบ!FK86"")"),0)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8" t="s">
        <v>149</v>
      </c>
      <c r="E365" s="225"/>
      <c r="F365" s="225"/>
      <c r="G365" s="226"/>
      <c r="H365" s="234" t="s">
        <v>35</v>
      </c>
      <c r="I365" s="228">
        <f ca="1">I371</f>
        <v>245</v>
      </c>
      <c r="J365" s="228">
        <f ca="1">J371</f>
        <v>162</v>
      </c>
      <c r="K365" s="229">
        <f ca="1">IF(I365&gt;0,J365*100/I365,0)</f>
        <v>66.122448979591837</v>
      </c>
      <c r="L365" s="687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IFERROR(__xludf.DUMMYFUNCTION("IMPORTRANGE(""https://docs.google.com/spreadsheets/d/1tdoBKaGub7dwA3U6UFTqxio9LNnvDCQjHKmttSEBsFQ/edit?usp=sharing"",""จัดที่ดิน!AB86"")"),167)</f>
        <v>167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IFERROR(__xludf.DUMMYFUNCTION("IMPORTRANGE(""https://docs.google.com/spreadsheets/d/1eHaY18a8A9IcSdp1K8H6x8fbOy06t2VsZHhMHf-1x7Y/edit?usp=sharing"",""แผน!EW86"")"),1390)</f>
        <v>1390</v>
      </c>
      <c r="J368" s="686">
        <f ca="1">IFERROR(__xludf.DUMMYFUNCTION("IMPORTRANGE(""https://docs.google.com/spreadsheets/d/1tdoBKaGub7dwA3U6UFTqxio9LNnvDCQjHKmttSEBsFQ/edit?usp=sharing"",""จัดที่ดิน!AC86"")"),1286.22)</f>
        <v>1286.22</v>
      </c>
      <c r="K368" s="47">
        <f ca="1">IF(I368&gt;0,J368*100/I368,0)</f>
        <v>92.533812949640293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IFERROR(__xludf.DUMMYFUNCTION("IMPORTRANGE(""https://docs.google.com/spreadsheets/d/1eHaY18a8A9IcSdp1K8H6x8fbOy06t2VsZHhMHf-1x7Y/edit?usp=sharing"",""แผน!EX86"")"),245)</f>
        <v>245</v>
      </c>
      <c r="J369" s="152">
        <f ca="1">IFERROR(__xludf.DUMMYFUNCTION("IMPORTRANGE(""https://docs.google.com/spreadsheets/d/1tdoBKaGub7dwA3U6UFTqxio9LNnvDCQjHKmttSEBsFQ/edit?usp=sharing"",""จัดที่ดิน!AD86"")"),187)</f>
        <v>187</v>
      </c>
      <c r="K369" s="47">
        <f ca="1">IF(I369&gt;0,J369*100/I369,0)</f>
        <v>76.326530612244895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6">
        <f ca="1">IFERROR(__xludf.DUMMYFUNCTION("IMPORTRANGE(""https://docs.google.com/spreadsheets/d/1tdoBKaGub7dwA3U6UFTqxio9LNnvDCQjHKmttSEBsFQ/edit?usp=sharing"",""จัดที่ดิน!AE86"")"),1980.51)</f>
        <v>1980.51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IFERROR(__xludf.DUMMYFUNCTION("IMPORTRANGE(""https://docs.google.com/spreadsheets/d/1eHaY18a8A9IcSdp1K8H6x8fbOy06t2VsZHhMHf-1x7Y/edit?usp=sharing"",""แผน!EY86"")"),245)</f>
        <v>245</v>
      </c>
      <c r="J371" s="152">
        <f ca="1">IFERROR(__xludf.DUMMYFUNCTION("IMPORTRANGE(""https://docs.google.com/spreadsheets/d/1tdoBKaGub7dwA3U6UFTqxio9LNnvDCQjHKmttSEBsFQ/edit?usp=sharing"",""จัดที่ดิน!AF86"")"),162)</f>
        <v>162</v>
      </c>
      <c r="K371" s="47">
        <f ca="1">IF(I371&gt;0,J371*100/I371,0)</f>
        <v>66.122448979591837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6">
        <f ca="1">IFERROR(__xludf.DUMMYFUNCTION("IMPORTRANGE(""https://docs.google.com/spreadsheets/d/1tdoBKaGub7dwA3U6UFTqxio9LNnvDCQjHKmttSEBsFQ/edit?usp=sharing"",""จัดที่ดิน!AG86"")"),1732.34)</f>
        <v>1732.34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5"/>
      <c r="B374" s="684" t="s">
        <v>153</v>
      </c>
      <c r="C374" s="683"/>
      <c r="D374" s="682"/>
      <c r="E374" s="681"/>
      <c r="F374" s="681"/>
      <c r="G374" s="680"/>
      <c r="H374" s="679" t="s">
        <v>46</v>
      </c>
      <c r="I374" s="678">
        <f ca="1">I386+I388</f>
        <v>1000</v>
      </c>
      <c r="J374" s="678">
        <f ca="1">J386+J388</f>
        <v>0</v>
      </c>
      <c r="K374" s="677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7800</v>
      </c>
      <c r="T375" s="132">
        <f ca="1">IF(Q375&gt;0,S375*100/Q375,0)</f>
        <v>12.48</v>
      </c>
      <c r="U375" s="132">
        <f ca="1">IF(R375&gt;0,S375*100/R375,0)</f>
        <v>12.48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62500</v>
      </c>
      <c r="S377" s="47">
        <f ca="1">S380+S383</f>
        <v>7800</v>
      </c>
      <c r="T377" s="47">
        <f ca="1">IF(Q377&gt;0,S377*100/Q377,0)</f>
        <v>12.48</v>
      </c>
      <c r="U377" s="47">
        <f ca="1">IF(R377&gt;0,S377*100/R377,0)</f>
        <v>12.48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62500</v>
      </c>
      <c r="S378" s="47">
        <f ca="1">S379+S380</f>
        <v>7800</v>
      </c>
      <c r="T378" s="47">
        <f ca="1">IF(Q378&gt;0,S378*100/Q378,0)</f>
        <v>12.48</v>
      </c>
      <c r="U378" s="47">
        <f ca="1">IF(R378&gt;0,S378*100/R378,0)</f>
        <v>12.48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IFERROR(__xludf.DUMMYFUNCTION("IMPORTRANGE(""https://docs.google.com/spreadsheets/d/1-uDff_7J0KD5mKrp0Vvzr7lt3OU09vwQwhkpOPPYv2Y/edit?usp=sharing"",""งบพรบ!IE86"")"),0)</f>
        <v>0</v>
      </c>
      <c r="M380" s="47">
        <f ca="1">IFERROR(__xludf.DUMMYFUNCTION("IMPORTRANGE(""https://docs.google.com/spreadsheets/d/1-uDff_7J0KD5mKrp0Vvzr7lt3OU09vwQwhkpOPPYv2Y/edit?usp=sharing"",""งบพรบ!IJ86"")"),0)</f>
        <v>0</v>
      </c>
      <c r="N380" s="47">
        <f ca="1">IFERROR(__xludf.DUMMYFUNCTION("IMPORTRANGE(""https://docs.google.com/spreadsheets/d/1-uDff_7J0KD5mKrp0Vvzr7lt3OU09vwQwhkpOPPYv2Y/edit?usp=sharing"",""งบพรบ!IL86"")"),0)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IFERROR(__xludf.DUMMYFUNCTION("IMPORTRANGE(""https://docs.google.com/spreadsheets/d/1ItG2mGa2ceCfYo0BwxsXqNm01IGEUdYcSSLTEv9YCik/edit?usp=sharing"",""เบิกจ่ายกองทุน!BW86"")"),62500)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IFERROR(__xludf.DUMMYFUNCTION("IMPORTRANGE(""https://docs.google.com/spreadsheets/d/1ItG2mGa2ceCfYo0BwxsXqNm01IGEUdYcSSLTEv9YCik/edit?usp=sharing"",""เบิกจ่ายกองทุน!BX86"")"),62500)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IFERROR(__xludf.DUMMYFUNCTION("IMPORTRANGE(""https://docs.google.com/spreadsheets/d/1ItG2mGa2ceCfYo0BwxsXqNm01IGEUdYcSSLTEv9YCik/edit?usp=sharing"",""เบิกจ่ายกองทุน!BY86"")"),7800)</f>
        <v>7800</v>
      </c>
      <c r="T380" s="47">
        <f ca="1">IF(Q380&gt;0,S380*100/Q380,0)</f>
        <v>12.48</v>
      </c>
      <c r="U380" s="47">
        <f ca="1">IF(R380&gt;0,S380*100/R380,0)</f>
        <v>12.48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IFERROR(__xludf.DUMMYFUNCTION("IMPORTRANGE(""https://docs.google.com/spreadsheets/d/1-uDff_7J0KD5mKrp0Vvzr7lt3OU09vwQwhkpOPPYv2Y/edit?usp=sharing"",""งบพรบ!IH86"")"),0)</f>
        <v>0</v>
      </c>
      <c r="M383" s="47">
        <f ca="1">IFERROR(__xludf.DUMMYFUNCTION("IMPORTRANGE(""https://docs.google.com/spreadsheets/d/1-uDff_7J0KD5mKrp0Vvzr7lt3OU09vwQwhkpOPPYv2Y/edit?usp=sharing"",""งบพรบ!IK86"")"),0)</f>
        <v>0</v>
      </c>
      <c r="N383" s="47">
        <f ca="1">IFERROR(__xludf.DUMMYFUNCTION("IMPORTRANGE(""https://docs.google.com/spreadsheets/d/1-uDff_7J0KD5mKrp0Vvzr7lt3OU09vwQwhkpOPPYv2Y/edit?usp=sharing"",""งบพรบ!IM86"")"),0)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IFERROR(__xludf.DUMMYFUNCTION("IMPORTRANGE(""https://docs.google.com/spreadsheets/d/1w5rwWK1o49a35cNtocGL0gxDwhFSTZUQu90BiH9_zqM/edit?usp=sharing"",""RTK!H86"")"),0)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IFERROR(__xludf.DUMMYFUNCTION("IMPORTRANGE(""https://docs.google.com/spreadsheets/d/1w5rwWK1o49a35cNtocGL0gxDwhFSTZUQu90BiH9_zqM/edit?usp=sharing"",""RTK!G86"")"),1000)</f>
        <v>1000</v>
      </c>
      <c r="J386" s="152">
        <f ca="1">IFERROR(__xludf.DUMMYFUNCTION("IMPORTRANGE(""https://docs.google.com/spreadsheets/d/1w5rwWK1o49a35cNtocGL0gxDwhFSTZUQu90BiH9_zqM/edit?usp=sharing"",""RTK!I86"")"),0)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326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IFERROR(__xludf.DUMMYFUNCTION("IMPORTRANGE(""https://docs.google.com/spreadsheets/d/1w5rwWK1o49a35cNtocGL0gxDwhFSTZUQu90BiH9_zqM/edit?usp=sharing"",""RTK!L86"")"),0)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326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IFERROR(__xludf.DUMMYFUNCTION("IMPORTRANGE(""https://docs.google.com/spreadsheets/d/1w5rwWK1o49a35cNtocGL0gxDwhFSTZUQu90BiH9_zqM/edit?usp=sharing"",""RTK!K86"")"),0)</f>
        <v>0</v>
      </c>
      <c r="J388" s="330">
        <f ca="1">IFERROR(__xludf.DUMMYFUNCTION("IMPORTRANGE(""https://docs.google.com/spreadsheets/d/1w5rwWK1o49a35cNtocGL0gxDwhFSTZUQu90BiH9_zqM/edit?usp=sharing"",""RTK!M86"")"),0)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89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33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IFERROR(__xludf.DUMMYFUNCTION("IMPORTRANGE(""https://docs.google.com/spreadsheets/d/1ItG2mGa2ceCfYo0BwxsXqNm01IGEUdYcSSLTEv9YCik/edit?usp=sharing"",""เบิกจ่ายกองทุน!CL86"")"),0)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IFERROR(__xludf.DUMMYFUNCTION("IMPORTRANGE(""https://docs.google.com/spreadsheets/d/1ItG2mGa2ceCfYo0BwxsXqNm01IGEUdYcSSLTEv9YCik/edit?usp=sharing"",""เบิกจ่ายกองทุน!CM86"")"),0)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IFERROR(__xludf.DUMMYFUNCTION("IMPORTRANGE(""https://docs.google.com/spreadsheets/d/1ItG2mGa2ceCfYo0BwxsXqNm01IGEUdYcSSLTEv9YCik/edit?usp=sharing"",""เบิกจ่ายกองทุน!CN86"")"),0)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89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89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89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89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89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89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89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89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89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33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40" t="s">
        <v>18</v>
      </c>
      <c r="D413" s="676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38980</v>
      </c>
      <c r="M413" s="132">
        <f ca="1">M414+M415</f>
        <v>38980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15770</v>
      </c>
      <c r="R413" s="132">
        <f ca="1">R414+R415</f>
        <v>15770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38980</v>
      </c>
      <c r="M415" s="47">
        <f ca="1">M418+M421</f>
        <v>38980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15770</v>
      </c>
      <c r="R415" s="47">
        <f ca="1">R418+R421</f>
        <v>15770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38980</v>
      </c>
      <c r="M416" s="47">
        <f ca="1">M417+M418</f>
        <v>38980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15770</v>
      </c>
      <c r="R416" s="47">
        <f ca="1">R417+R418</f>
        <v>15770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IFERROR(__xludf.DUMMYFUNCTION("IMPORTRANGE(""https://docs.google.com/spreadsheets/d/1-uDff_7J0KD5mKrp0Vvzr7lt3OU09vwQwhkpOPPYv2Y/edit?usp=sharing"",""งบพรบ!IO86"")"),38980)</f>
        <v>38980</v>
      </c>
      <c r="M418" s="47">
        <f ca="1">IFERROR(__xludf.DUMMYFUNCTION("IMPORTRANGE(""https://docs.google.com/spreadsheets/d/1-uDff_7J0KD5mKrp0Vvzr7lt3OU09vwQwhkpOPPYv2Y/edit?usp=sharing"",""งบพรบ!IT86"")"),38980)</f>
        <v>38980</v>
      </c>
      <c r="N418" s="47">
        <f ca="1">IFERROR(__xludf.DUMMYFUNCTION("IMPORTRANGE(""https://docs.google.com/spreadsheets/d/1-uDff_7J0KD5mKrp0Vvzr7lt3OU09vwQwhkpOPPYv2Y/edit?usp=sharing"",""งบพรบ!IV86"")"),0)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IFERROR(__xludf.DUMMYFUNCTION("IMPORTRANGE(""https://docs.google.com/spreadsheets/d/1ItG2mGa2ceCfYo0BwxsXqNm01IGEUdYcSSLTEv9YCik/edit?usp=sharing"",""เบิกจ่ายกองทุน!BZ86"")"),15770)</f>
        <v>15770</v>
      </c>
      <c r="R418" s="47">
        <f ca="1">IFERROR(__xludf.DUMMYFUNCTION("IMPORTRANGE(""https://docs.google.com/spreadsheets/d/1ItG2mGa2ceCfYo0BwxsXqNm01IGEUdYcSSLTEv9YCik/edit?usp=sharing"",""เบิกจ่ายกองทุน!CA86"")"),15770)</f>
        <v>15770</v>
      </c>
      <c r="S418" s="47">
        <f ca="1">IFERROR(__xludf.DUMMYFUNCTION("IMPORTRANGE(""https://docs.google.com/spreadsheets/d/1ItG2mGa2ceCfYo0BwxsXqNm01IGEUdYcSSLTEv9YCik/edit?usp=sharing"",""เบิกจ่ายกองทุน!CB86"")"),0)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IFERROR(__xludf.DUMMYFUNCTION("IMPORTRANGE(""https://docs.google.com/spreadsheets/d/1-uDff_7J0KD5mKrp0Vvzr7lt3OU09vwQwhkpOPPYv2Y/edit?usp=sharing"",""งบพรบ!IR86"")"),0)</f>
        <v>0</v>
      </c>
      <c r="M421" s="47">
        <f ca="1">IFERROR(__xludf.DUMMYFUNCTION("IMPORTRANGE(""https://docs.google.com/spreadsheets/d/1-uDff_7J0KD5mKrp0Vvzr7lt3OU09vwQwhkpOPPYv2Y/edit?usp=sharing"",""งบพรบ!IU86"")"),0)</f>
        <v>0</v>
      </c>
      <c r="N421" s="47">
        <f ca="1">IFERROR(__xludf.DUMMYFUNCTION("IMPORTRANGE(""https://docs.google.com/spreadsheets/d/1-uDff_7J0KD5mKrp0Vvzr7lt3OU09vwQwhkpOPPYv2Y/edit?usp=sharing"",""งบพรบ!IW86"")"),0)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40" t="s">
        <v>18</v>
      </c>
      <c r="D422" s="674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669"/>
      <c r="B423" s="464" t="s">
        <v>160</v>
      </c>
      <c r="C423" s="463"/>
      <c r="D423" s="463"/>
      <c r="E423" s="463"/>
      <c r="F423" s="463"/>
      <c r="G423" s="474"/>
      <c r="H423" s="671" t="s">
        <v>46</v>
      </c>
      <c r="I423" s="468">
        <f ca="1">I440</f>
        <v>0</v>
      </c>
      <c r="J423" s="673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IFERROR(__xludf.DUMMYFUNCTION("IMPORTRANGE(""https://docs.google.com/spreadsheets/d/1eHaY18a8A9IcSdp1K8H6x8fbOy06t2VsZHhMHf-1x7Y/edit?usp=sharing"",""แผน!HJ86"")"),0)</f>
        <v>0</v>
      </c>
      <c r="J424" s="670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IFERROR(__xludf.DUMMYFUNCTION("IMPORTRANGE(""https://docs.google.com/spreadsheets/d/1eHaY18a8A9IcSdp1K8H6x8fbOy06t2VsZHhMHf-1x7Y/edit?usp=sharing"",""แผน!HK86"")"),0)</f>
        <v>0</v>
      </c>
      <c r="J425" s="670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IFERROR(__xludf.DUMMYFUNCTION("IMPORTRANGE(""https://docs.google.com/spreadsheets/d/1eHaY18a8A9IcSdp1K8H6x8fbOy06t2VsZHhMHf-1x7Y/edit?usp=sharing"",""แผน!HJ86"")"),0)</f>
        <v>0</v>
      </c>
      <c r="J432" s="670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IFERROR(__xludf.DUMMYFUNCTION("IMPORTRANGE(""https://docs.google.com/spreadsheets/d/1eHaY18a8A9IcSdp1K8H6x8fbOy06t2VsZHhMHf-1x7Y/edit?usp=sharing"",""แผน!HK86"")"),0)</f>
        <v>0</v>
      </c>
      <c r="J433" s="670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IFERROR(__xludf.DUMMYFUNCTION("IMPORTRANGE(""https://docs.google.com/spreadsheets/d/1eHaY18a8A9IcSdp1K8H6x8fbOy06t2VsZHhMHf-1x7Y/edit?usp=sharing"",""แผน!HJ86"")"),0)</f>
        <v>0</v>
      </c>
      <c r="J440" s="670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IFERROR(__xludf.DUMMYFUNCTION("IMPORTRANGE(""https://docs.google.com/spreadsheets/d/1eHaY18a8A9IcSdp1K8H6x8fbOy06t2VsZHhMHf-1x7Y/edit?usp=sharing"",""แผน!HK86"")"),0)</f>
        <v>0</v>
      </c>
      <c r="J441" s="670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70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70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2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669"/>
      <c r="B456" s="464" t="s">
        <v>177</v>
      </c>
      <c r="C456" s="463"/>
      <c r="D456" s="463"/>
      <c r="E456" s="463"/>
      <c r="F456" s="463"/>
      <c r="G456" s="474"/>
      <c r="H456" s="671" t="s">
        <v>46</v>
      </c>
      <c r="I456" s="468">
        <f ca="1">I457</f>
        <v>108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IFERROR(__xludf.DUMMYFUNCTION("IMPORTRANGE(""https://docs.google.com/spreadsheets/d/1eHaY18a8A9IcSdp1K8H6x8fbOy06t2VsZHhMHf-1x7Y/edit?usp=sharing"",""แผน!HL86"")"),108)</f>
        <v>108</v>
      </c>
      <c r="J457" s="670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IFERROR(__xludf.DUMMYFUNCTION("IMPORTRANGE(""https://docs.google.com/spreadsheets/d/1eHaY18a8A9IcSdp1K8H6x8fbOy06t2VsZHhMHf-1x7Y/edit?usp=sharing"",""แผน!HM86"")"),0)</f>
        <v>0</v>
      </c>
      <c r="J458" s="670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669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30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650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24100</v>
      </c>
      <c r="M493" s="132">
        <f ca="1">M494+M495</f>
        <v>24100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460185</v>
      </c>
      <c r="R493" s="132">
        <f ca="1">R494+R495</f>
        <v>460185</v>
      </c>
      <c r="S493" s="132">
        <f ca="1">S494+S495</f>
        <v>188920</v>
      </c>
      <c r="T493" s="132">
        <f ca="1">IF(Q493&gt;0,S493*100/Q493,0)</f>
        <v>41.053054749720218</v>
      </c>
      <c r="U493" s="132">
        <f ca="1">IF(R493&gt;0,S493*100/R493,0)</f>
        <v>41.053054749720218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24100</v>
      </c>
      <c r="M495" s="47">
        <f ca="1">M498+M501</f>
        <v>24100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460185</v>
      </c>
      <c r="R495" s="47">
        <f ca="1">R498+R501</f>
        <v>460185</v>
      </c>
      <c r="S495" s="47">
        <f ca="1">S498+S501</f>
        <v>188920</v>
      </c>
      <c r="T495" s="47">
        <f ca="1">IF(Q495&gt;0,S495*100/Q495,0)</f>
        <v>41.053054749720218</v>
      </c>
      <c r="U495" s="47">
        <f ca="1">IF(R495&gt;0,S495*100/R495,0)</f>
        <v>41.053054749720218</v>
      </c>
    </row>
    <row r="496" spans="1:21" ht="18.75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24100</v>
      </c>
      <c r="M496" s="47">
        <f ca="1">M497+M498</f>
        <v>24100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460185</v>
      </c>
      <c r="R496" s="47">
        <f ca="1">R497+R498</f>
        <v>460185</v>
      </c>
      <c r="S496" s="47">
        <f ca="1">S497+S498</f>
        <v>188920</v>
      </c>
      <c r="T496" s="47">
        <f ca="1">IF(Q496&gt;0,S496*100/Q496,0)</f>
        <v>41.053054749720218</v>
      </c>
      <c r="U496" s="47">
        <f ca="1">IF(R496&gt;0,S496*100/R496,0)</f>
        <v>41.053054749720218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IFERROR(__xludf.DUMMYFUNCTION("IMPORTRANGE(""https://docs.google.com/spreadsheets/d/1-uDff_7J0KD5mKrp0Vvzr7lt3OU09vwQwhkpOPPYv2Y/edit?usp=sharing"",""งบพรบ!HU86"")"),24100)</f>
        <v>24100</v>
      </c>
      <c r="M498" s="47">
        <f ca="1">IFERROR(__xludf.DUMMYFUNCTION("IMPORTRANGE(""https://docs.google.com/spreadsheets/d/1-uDff_7J0KD5mKrp0Vvzr7lt3OU09vwQwhkpOPPYv2Y/edit?usp=sharing"",""งบพรบ!HZ86"")"),24100)</f>
        <v>24100</v>
      </c>
      <c r="N498" s="47">
        <f ca="1">IFERROR(__xludf.DUMMYFUNCTION("IMPORTRANGE(""https://docs.google.com/spreadsheets/d/1-uDff_7J0KD5mKrp0Vvzr7lt3OU09vwQwhkpOPPYv2Y/edit?usp=sharing"",""งบพรบ!IB86"")"),0)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IFERROR(__xludf.DUMMYFUNCTION("IMPORTRANGE(""https://docs.google.com/spreadsheets/d/1ItG2mGa2ceCfYo0BwxsXqNm01IGEUdYcSSLTEv9YCik/edit?usp=sharing"",""เบิกจ่ายกองทุน!AD86"")"),460185)</f>
        <v>460185</v>
      </c>
      <c r="R498" s="47">
        <f ca="1">IFERROR(__xludf.DUMMYFUNCTION("IMPORTRANGE(""https://docs.google.com/spreadsheets/d/1ItG2mGa2ceCfYo0BwxsXqNm01IGEUdYcSSLTEv9YCik/edit?usp=sharing"",""เบิกจ่ายกองทุน!AE86"")"),460185)</f>
        <v>460185</v>
      </c>
      <c r="S498" s="47">
        <f ca="1">IFERROR(__xludf.DUMMYFUNCTION("IMPORTRANGE(""https://docs.google.com/spreadsheets/d/1ItG2mGa2ceCfYo0BwxsXqNm01IGEUdYcSSLTEv9YCik/edit?usp=sharing"",""เบิกจ่ายกองทุน!AF86"")"),188920)</f>
        <v>188920</v>
      </c>
      <c r="T498" s="47">
        <f ca="1">IF(Q498&gt;0,S498*100/Q498,0)</f>
        <v>41.053054749720218</v>
      </c>
      <c r="U498" s="47">
        <f ca="1">IF(R498&gt;0,S498*100/R498,0)</f>
        <v>41.053054749720218</v>
      </c>
    </row>
    <row r="499" spans="1:21" ht="18.75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IFERROR(__xludf.DUMMYFUNCTION("IMPORTRANGE(""https://docs.google.com/spreadsheets/d/1-uDff_7J0KD5mKrp0Vvzr7lt3OU09vwQwhkpOPPYv2Y/edit?usp=sharing"",""งบพรบ!HX86"")"),0)</f>
        <v>0</v>
      </c>
      <c r="M501" s="47">
        <f ca="1">IFERROR(__xludf.DUMMYFUNCTION("IMPORTRANGE(""https://docs.google.com/spreadsheets/d/1-uDff_7J0KD5mKrp0Vvzr7lt3OU09vwQwhkpOPPYv2Y/edit?usp=sharing"",""งบพรบ!IA86"")"),0)</f>
        <v>0</v>
      </c>
      <c r="N501" s="47">
        <f ca="1">IFERROR(__xludf.DUMMYFUNCTION("IMPORTRANGE(""https://docs.google.com/spreadsheets/d/1-uDff_7J0KD5mKrp0Vvzr7lt3OU09vwQwhkpOPPYv2Y/edit?usp=sharing"",""งบพรบ!IC86"")"),0)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IFERROR(__xludf.DUMMYFUNCTION("IMPORTRANGE(""https://docs.google.com/spreadsheets/d/1eHaY18a8A9IcSdp1K8H6x8fbOy06t2VsZHhMHf-1x7Y/edit?usp=sharing"",""แผน!GX86"")"),30)</f>
        <v>30</v>
      </c>
      <c r="J503" s="147">
        <f ca="1">IF(AND(J504=I503,J505=I503,J506=I503,J507=I503),I503,0)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IFERROR(__xludf.DUMMYFUNCTION("IMPORTRANGE(""https://docs.google.com/spreadsheets/d/1eHaY18a8A9IcSdp1K8H6x8fbOy06t2VsZHhMHf-1x7Y/edit?usp=sharing"",""แผน!GY86"")"),0)</f>
        <v>0</v>
      </c>
      <c r="J504" s="167">
        <v>30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IFERROR(__xludf.DUMMYFUNCTION("IMPORTRANGE(""https://docs.google.com/spreadsheets/d/1eHaY18a8A9IcSdp1K8H6x8fbOy06t2VsZHhMHf-1x7Y/edit?usp=sharing"",""แผน!GZ86"")"),0)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IFERROR(__xludf.DUMMYFUNCTION("IMPORTRANGE(""https://docs.google.com/spreadsheets/d/1eHaY18a8A9IcSdp1K8H6x8fbOy06t2VsZHhMHf-1x7Y/edit?usp=sharing"",""แผน!HA86"")"),0)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IFERROR(__xludf.DUMMYFUNCTION("IMPORTRANGE(""https://docs.google.com/spreadsheets/d/1eHaY18a8A9IcSdp1K8H6x8fbOy06t2VsZHhMHf-1x7Y/edit?usp=sharing"",""แผน!HB86"")"),0)</f>
        <v>0</v>
      </c>
      <c r="J507" s="167">
        <v>10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IFERROR(__xludf.DUMMYFUNCTION("IMPORTRANGE(""https://docs.google.com/spreadsheets/d/1eHaY18a8A9IcSdp1K8H6x8fbOy06t2VsZHhMHf-1x7Y/edit?usp=sharing"",""แผน!HC86"")"),0)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29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26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25" t="s">
        <v>207</v>
      </c>
      <c r="C512" s="372"/>
      <c r="D512" s="373"/>
      <c r="E512" s="373"/>
      <c r="F512" s="373"/>
      <c r="G512" s="374"/>
      <c r="H512" s="824" t="s">
        <v>61</v>
      </c>
      <c r="I512" s="823">
        <f>I524</f>
        <v>0</v>
      </c>
      <c r="J512" s="823">
        <f>J524</f>
        <v>0</v>
      </c>
      <c r="K512" s="822">
        <f>IF(I512&gt;0,J512*100/I512,0)</f>
        <v>0</v>
      </c>
      <c r="L512" s="591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21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0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IFERROR(__xludf.DUMMYFUNCTION("IMPORTRANGE(""https://docs.google.com/spreadsheets/d/1-uDff_7J0KD5mKrp0Vvzr7lt3OU09vwQwhkpOPPYv2Y/edit?usp=sharing"",""งบพรบ!FM86"")"),0)</f>
        <v>0</v>
      </c>
      <c r="M518" s="47">
        <f ca="1">IFERROR(__xludf.DUMMYFUNCTION("IMPORTRANGE(""https://docs.google.com/spreadsheets/d/1-uDff_7J0KD5mKrp0Vvzr7lt3OU09vwQwhkpOPPYv2Y/edit?usp=sharing"",""งบพรบ!FR86"")"),0)</f>
        <v>0</v>
      </c>
      <c r="N518" s="47">
        <f ca="1">IFERROR(__xludf.DUMMYFUNCTION("IMPORTRANGE(""https://docs.google.com/spreadsheets/d/1-uDff_7J0KD5mKrp0Vvzr7lt3OU09vwQwhkpOPPYv2Y/edit?usp=sharing"",""งบพรบ!FT86"")"),0)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0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IFERROR(__xludf.DUMMYFUNCTION("IMPORTRANGE(""https://docs.google.com/spreadsheets/d/1-uDff_7J0KD5mKrp0Vvzr7lt3OU09vwQwhkpOPPYv2Y/edit?usp=sharing"",""งบพรบ!FP86"")"),0)</f>
        <v>0</v>
      </c>
      <c r="M521" s="47">
        <f ca="1">IFERROR(__xludf.DUMMYFUNCTION("IMPORTRANGE(""https://docs.google.com/spreadsheets/d/1-uDff_7J0KD5mKrp0Vvzr7lt3OU09vwQwhkpOPPYv2Y/edit?usp=sharing"",""งบพรบ!FS86"")"),0)</f>
        <v>0</v>
      </c>
      <c r="N521" s="47">
        <f ca="1">IFERROR(__xludf.DUMMYFUNCTION("IMPORTRANGE(""https://docs.google.com/spreadsheets/d/1-uDff_7J0KD5mKrp0Vvzr7lt3OU09vwQwhkpOPPYv2Y/edit?usp=sharing"",""งบพรบ!FU86"")"),0)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1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19" t="s">
        <v>209</v>
      </c>
      <c r="E524" s="264"/>
      <c r="F524" s="1"/>
      <c r="G524" s="53"/>
      <c r="H524" s="818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4"/>
      <c r="B525" s="613"/>
      <c r="C525" s="613"/>
      <c r="D525" s="612"/>
      <c r="E525" s="612"/>
      <c r="F525" s="612"/>
      <c r="G525" s="611"/>
      <c r="H525" s="610"/>
      <c r="I525" s="609"/>
      <c r="J525" s="609"/>
      <c r="K525" s="608"/>
      <c r="L525" s="589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89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89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89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89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89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89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2">
        <f>I545</f>
        <v>0</v>
      </c>
      <c r="J533" s="592">
        <f>J545</f>
        <v>0</v>
      </c>
      <c r="K533" s="377">
        <f>IF(I533&gt;0,J533*100/I533,0)</f>
        <v>0</v>
      </c>
      <c r="L533" s="591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IFERROR(__xludf.DUMMYFUNCTION("IMPORTRANGE(""https://docs.google.com/spreadsheets/d/1-uDff_7J0KD5mKrp0Vvzr7lt3OU09vwQwhkpOPPYv2Y/edit?usp=sharing"",""งบพรบ!FW86"")"),0)</f>
        <v>0</v>
      </c>
      <c r="M539" s="47">
        <f ca="1">IFERROR(__xludf.DUMMYFUNCTION("IMPORTRANGE(""https://docs.google.com/spreadsheets/d/1-uDff_7J0KD5mKrp0Vvzr7lt3OU09vwQwhkpOPPYv2Y/edit?usp=sharing"",""งบพรบ!GB86"")"),0)</f>
        <v>0</v>
      </c>
      <c r="N539" s="47">
        <f ca="1">IFERROR(__xludf.DUMMYFUNCTION("IMPORTRANGE(""https://docs.google.com/spreadsheets/d/1-uDff_7J0KD5mKrp0Vvzr7lt3OU09vwQwhkpOPPYv2Y/edit?usp=sharing"",""งบพรบ!GD86"")"),0)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IFERROR(__xludf.DUMMYFUNCTION("IMPORTRANGE(""https://docs.google.com/spreadsheets/d/1-uDff_7J0KD5mKrp0Vvzr7lt3OU09vwQwhkpOPPYv2Y/edit?usp=sharing"",""งบพรบ!FZ86"")"),0)</f>
        <v>0</v>
      </c>
      <c r="M542" s="47">
        <f ca="1">IFERROR(__xludf.DUMMYFUNCTION("IMPORTRANGE(""https://docs.google.com/spreadsheets/d/1-uDff_7J0KD5mKrp0Vvzr7lt3OU09vwQwhkpOPPYv2Y/edit?usp=sharing"",""งบพรบ!GC86"")"),0)</f>
        <v>0</v>
      </c>
      <c r="N542" s="47">
        <f ca="1">IFERROR(__xludf.DUMMYFUNCTION("IMPORTRANGE(""https://docs.google.com/spreadsheets/d/1-uDff_7J0KD5mKrp0Vvzr7lt3OU09vwQwhkpOPPYv2Y/edit?usp=sharing"",""งบพรบ!GE86"")"),0)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89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89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89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89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89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89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89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89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89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2">
        <f>I566</f>
        <v>0</v>
      </c>
      <c r="J554" s="592">
        <f>J566</f>
        <v>0</v>
      </c>
      <c r="K554" s="377">
        <f>IF(I554&gt;0,J554*100/I554,0)</f>
        <v>0</v>
      </c>
      <c r="L554" s="591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IFERROR(__xludf.DUMMYFUNCTION("IMPORTRANGE(""https://docs.google.com/spreadsheets/d/1-uDff_7J0KD5mKrp0Vvzr7lt3OU09vwQwhkpOPPYv2Y/edit?usp=sharing"",""งบพรบ!GG86"")"),0)</f>
        <v>0</v>
      </c>
      <c r="M560" s="47">
        <f ca="1">IFERROR(__xludf.DUMMYFUNCTION("IMPORTRANGE(""https://docs.google.com/spreadsheets/d/1-uDff_7J0KD5mKrp0Vvzr7lt3OU09vwQwhkpOPPYv2Y/edit?usp=sharing"",""งบพรบ!GL86"")"),0)</f>
        <v>0</v>
      </c>
      <c r="N560" s="47">
        <f ca="1">IFERROR(__xludf.DUMMYFUNCTION("IMPORTRANGE(""https://docs.google.com/spreadsheets/d/1-uDff_7J0KD5mKrp0Vvzr7lt3OU09vwQwhkpOPPYv2Y/edit?usp=sharing"",""งบพรบ!GN86"")"),0)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IFERROR(__xludf.DUMMYFUNCTION("IMPORTRANGE(""https://docs.google.com/spreadsheets/d/1-uDff_7J0KD5mKrp0Vvzr7lt3OU09vwQwhkpOPPYv2Y/edit?usp=sharing"",""งบพรบ!GJ86"")"),0)</f>
        <v>0</v>
      </c>
      <c r="M563" s="47">
        <f ca="1">IFERROR(__xludf.DUMMYFUNCTION("IMPORTRANGE(""https://docs.google.com/spreadsheets/d/1-uDff_7J0KD5mKrp0Vvzr7lt3OU09vwQwhkpOPPYv2Y/edit?usp=sharing"",""งบพรบ!GM86"")"),0)</f>
        <v>0</v>
      </c>
      <c r="N563" s="47">
        <f ca="1">IFERROR(__xludf.DUMMYFUNCTION("IMPORTRANGE(""https://docs.google.com/spreadsheets/d/1-uDff_7J0KD5mKrp0Vvzr7lt3OU09vwQwhkpOPPYv2Y/edit?usp=sharing"",""งบพรบ!GO86"")"),0)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89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89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89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89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89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89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89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89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89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2">
        <f>I587</f>
        <v>0</v>
      </c>
      <c r="J575" s="592">
        <f>J587</f>
        <v>0</v>
      </c>
      <c r="K575" s="377">
        <f>IF(I575&gt;0,J575*100/I575,0)</f>
        <v>0</v>
      </c>
      <c r="L575" s="591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IFERROR(__xludf.DUMMYFUNCTION("IMPORTRANGE(""https://docs.google.com/spreadsheets/d/1-uDff_7J0KD5mKrp0Vvzr7lt3OU09vwQwhkpOPPYv2Y/edit?usp=sharing"",""งบพรบ!GQ86"")"),0)</f>
        <v>0</v>
      </c>
      <c r="M581" s="47">
        <f ca="1">IFERROR(__xludf.DUMMYFUNCTION("IMPORTRANGE(""https://docs.google.com/spreadsheets/d/1-uDff_7J0KD5mKrp0Vvzr7lt3OU09vwQwhkpOPPYv2Y/edit?usp=sharing"",""งบพรบ!GV86"")"),0)</f>
        <v>0</v>
      </c>
      <c r="N581" s="47">
        <f ca="1">IFERROR(__xludf.DUMMYFUNCTION("IMPORTRANGE(""https://docs.google.com/spreadsheets/d/1-uDff_7J0KD5mKrp0Vvzr7lt3OU09vwQwhkpOPPYv2Y/edit?usp=sharing"",""งบพรบ!GX86"")"),0)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IFERROR(__xludf.DUMMYFUNCTION("IMPORTRANGE(""https://docs.google.com/spreadsheets/d/1-uDff_7J0KD5mKrp0Vvzr7lt3OU09vwQwhkpOPPYv2Y/edit?usp=sharing"",""งบพรบ!GT86"")"),0)</f>
        <v>0</v>
      </c>
      <c r="M584" s="47">
        <f ca="1">IFERROR(__xludf.DUMMYFUNCTION("IMPORTRANGE(""https://docs.google.com/spreadsheets/d/1-uDff_7J0KD5mKrp0Vvzr7lt3OU09vwQwhkpOPPYv2Y/edit?usp=sharing"",""งบพรบ!GW86"")"),0)</f>
        <v>0</v>
      </c>
      <c r="N584" s="47">
        <f ca="1">IFERROR(__xludf.DUMMYFUNCTION("IMPORTRANGE(""https://docs.google.com/spreadsheets/d/1-uDff_7J0KD5mKrp0Vvzr7lt3OU09vwQwhkpOPPYv2Y/edit?usp=sharing"",""งบพรบ!GY86"")"),0)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89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89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89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89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89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89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89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89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89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35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35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417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2">
        <f ca="1">L600+L601</f>
        <v>14770</v>
      </c>
      <c r="M599" s="421">
        <f ca="1">M600+M601</f>
        <v>14770</v>
      </c>
      <c r="N599" s="421">
        <f ca="1">N600+N601</f>
        <v>0</v>
      </c>
      <c r="O599" s="421">
        <f ca="1">IF(L599&gt;0,N599*100/L599,0)</f>
        <v>0</v>
      </c>
      <c r="P599" s="421">
        <f ca="1">IF(M599&gt;0,N599*100/M599,0)</f>
        <v>0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1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1">
        <f ca="1">L604+L607</f>
        <v>14770</v>
      </c>
      <c r="M601" s="331">
        <f ca="1">M604+M607</f>
        <v>14770</v>
      </c>
      <c r="N601" s="331">
        <f ca="1">N604+N607</f>
        <v>0</v>
      </c>
      <c r="O601" s="331">
        <f ca="1">IF(L601&gt;0,N601*100/L601,0)</f>
        <v>0</v>
      </c>
      <c r="P601" s="331">
        <f ca="1">IF(M601&gt;0,N601*100/M601,0)</f>
        <v>0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9.5" x14ac:dyDescent="0.3">
      <c r="A602" s="416"/>
      <c r="B602" s="326"/>
      <c r="C602" s="326"/>
      <c r="D602" s="418" t="s">
        <v>22</v>
      </c>
      <c r="E602" s="424"/>
      <c r="F602" s="424"/>
      <c r="G602" s="425"/>
      <c r="H602" s="419" t="s">
        <v>14</v>
      </c>
      <c r="I602" s="428"/>
      <c r="J602" s="428"/>
      <c r="K602" s="429"/>
      <c r="L602" s="721">
        <f ca="1">L603+L604</f>
        <v>14770</v>
      </c>
      <c r="M602" s="331">
        <f ca="1">M603+M604</f>
        <v>14770</v>
      </c>
      <c r="N602" s="331">
        <f ca="1">N603+N604</f>
        <v>0</v>
      </c>
      <c r="O602" s="331">
        <f ca="1">IF(L602&gt;0,N602*100/L602,0)</f>
        <v>0</v>
      </c>
      <c r="P602" s="331">
        <f ca="1">IF(M602&gt;0,N602*100/M602,0)</f>
        <v>0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1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1">
        <f ca="1">IFERROR(__xludf.DUMMYFUNCTION("IMPORTRANGE(""https://docs.google.com/spreadsheets/d/1-uDff_7J0KD5mKrp0Vvzr7lt3OU09vwQwhkpOPPYv2Y/edit?usp=sharing"",""งบพรบ!HK86"")"),14770)</f>
        <v>14770</v>
      </c>
      <c r="M604" s="331">
        <f ca="1">IFERROR(__xludf.DUMMYFUNCTION("IMPORTRANGE(""https://docs.google.com/spreadsheets/d/1-uDff_7J0KD5mKrp0Vvzr7lt3OU09vwQwhkpOPPYv2Y/edit?usp=sharing"",""งบพรบ!HP86"")"),14770)</f>
        <v>14770</v>
      </c>
      <c r="N604" s="331">
        <f ca="1">IFERROR(__xludf.DUMMYFUNCTION("IMPORTRANGE(""https://docs.google.com/spreadsheets/d/1-uDff_7J0KD5mKrp0Vvzr7lt3OU09vwQwhkpOPPYv2Y/edit?usp=sharing"",""งบพรบ!HR86"")"),0)</f>
        <v>0</v>
      </c>
      <c r="O604" s="331">
        <f ca="1">IF(L604&gt;0,N604*100/L604,0)</f>
        <v>0</v>
      </c>
      <c r="P604" s="331">
        <f ca="1">IF(M604&gt;0,N604*100/M604,0)</f>
        <v>0</v>
      </c>
      <c r="Q604" s="331">
        <f ca="1">IFERROR(__xludf.DUMMYFUNCTION("IMPORTRANGE(""https://docs.google.com/spreadsheets/d/1ItG2mGa2ceCfYo0BwxsXqNm01IGEUdYcSSLTEv9YCik/edit?usp=sharing"",""เบิกจ่ายกองทุน!AV86"")"),0)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IFERROR(__xludf.DUMMYFUNCTION("IMPORTRANGE(""https://docs.google.com/spreadsheets/d/1ItG2mGa2ceCfYo0BwxsXqNm01IGEUdYcSSLTEv9YCik/edit?usp=sharing"",""เบิกจ่ายกองทุน!AW86"")"),0)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IFERROR(__xludf.DUMMYFUNCTION("IMPORTRANGE(""https://docs.google.com/spreadsheets/d/1ItG2mGa2ceCfYo0BwxsXqNm01IGEUdYcSSLTEv9YCik/edit?usp=sharing"",""เบิกจ่ายกองทุน!AX86"")"),0)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9.5" x14ac:dyDescent="0.3">
      <c r="A605" s="416"/>
      <c r="B605" s="326"/>
      <c r="C605" s="326"/>
      <c r="D605" s="418" t="s">
        <v>23</v>
      </c>
      <c r="E605" s="326"/>
      <c r="F605" s="424"/>
      <c r="G605" s="425"/>
      <c r="H605" s="430" t="s">
        <v>14</v>
      </c>
      <c r="I605" s="428"/>
      <c r="J605" s="428"/>
      <c r="K605" s="429"/>
      <c r="L605" s="721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721">
        <v>0</v>
      </c>
      <c r="M606" s="331">
        <v>0</v>
      </c>
      <c r="N606" s="331">
        <v>0</v>
      </c>
      <c r="O606" s="331">
        <f>IF(L606&gt;0,N606*100/L606,0)</f>
        <v>0</v>
      </c>
      <c r="P606" s="331">
        <f>IF(M606&gt;0,N606*100/M606,0)</f>
        <v>0</v>
      </c>
      <c r="Q606" s="331">
        <v>0</v>
      </c>
      <c r="R606" s="331">
        <v>0</v>
      </c>
      <c r="S606" s="331">
        <v>0</v>
      </c>
      <c r="T606" s="331">
        <f>IF(Q606&gt;0,S606*100/Q606,0)</f>
        <v>0</v>
      </c>
      <c r="U606" s="331">
        <f>IF(R606&gt;0,S606*100/R606,0)</f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721">
        <f ca="1">IFERROR(__xludf.DUMMYFUNCTION("IMPORTRANGE(""https://docs.google.com/spreadsheets/d/1-uDff_7J0KD5mKrp0Vvzr7lt3OU09vwQwhkpOPPYv2Y/edit?usp=sharing"",""งบพรบ!HN86"")"),0)</f>
        <v>0</v>
      </c>
      <c r="M607" s="331">
        <f ca="1">IFERROR(__xludf.DUMMYFUNCTION("IMPORTRANGE(""https://docs.google.com/spreadsheets/d/1-uDff_7J0KD5mKrp0Vvzr7lt3OU09vwQwhkpOPPYv2Y/edit?usp=sharing"",""งบพรบ!HQ86"")"),0)</f>
        <v>0</v>
      </c>
      <c r="N607" s="331">
        <f ca="1">IFERROR(__xludf.DUMMYFUNCTION("IMPORTRANGE(""https://docs.google.com/spreadsheets/d/1-uDff_7J0KD5mKrp0Vvzr7lt3OU09vwQwhkpOPPYv2Y/edit?usp=sharing"",""งบพรบ!HS86"")"),0)</f>
        <v>0</v>
      </c>
      <c r="O607" s="331">
        <f ca="1">IF(L607&gt;0,N607*100/L607,0)</f>
        <v>0</v>
      </c>
      <c r="P607" s="331">
        <f ca="1">IF(M607&gt;0,N607*100/M607,0)</f>
        <v>0</v>
      </c>
      <c r="Q607" s="331">
        <f ca="1">IFERROR(__xludf.DUMMYFUNCTION("IMPORTRANGE(""https://docs.google.com/spreadsheets/d/1ItG2mGa2ceCfYo0BwxsXqNm01IGEUdYcSSLTEv9YCik/edit?usp=sharing"",""เบิกจ่ายกองทุน!AY86"")"),0)</f>
        <v>0</v>
      </c>
      <c r="R607" s="331">
        <f ca="1">IFERROR(__xludf.DUMMYFUNCTION("IMPORTRANGE(""https://docs.google.com/spreadsheets/d/1ItG2mGa2ceCfYo0BwxsXqNm01IGEUdYcSSLTEv9YCik/edit?usp=sharing"",""เบิกจ่ายกองทุน!AZ86"")"),0)</f>
        <v>0</v>
      </c>
      <c r="S607" s="331">
        <f ca="1">IFERROR(__xludf.DUMMYFUNCTION("IMPORTRANGE(""https://docs.google.com/spreadsheets/d/1ItG2mGa2ceCfYo0BwxsXqNm01IGEUdYcSSLTEv9YCik/edit?usp=sharing"",""เบิกจ่ายกองทุน!BA86"")"),0)</f>
        <v>0</v>
      </c>
      <c r="T607" s="331">
        <f ca="1">IF(Q607&gt;0,S607*100/Q607,0)</f>
        <v>0</v>
      </c>
      <c r="U607" s="331">
        <f ca="1">IF(R607&gt;0,S607*100/R607,0)</f>
        <v>0</v>
      </c>
    </row>
    <row r="608" spans="1:21" ht="19.5" x14ac:dyDescent="0.3">
      <c r="A608" s="432"/>
      <c r="B608" s="433"/>
      <c r="C608" s="417" t="s">
        <v>18</v>
      </c>
      <c r="D608" s="617" t="s">
        <v>38</v>
      </c>
      <c r="E608" s="435"/>
      <c r="F608" s="435"/>
      <c r="G608" s="436"/>
      <c r="H608" s="437"/>
      <c r="I608" s="428"/>
      <c r="J608" s="428"/>
      <c r="K608" s="429"/>
      <c r="L608" s="553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553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553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553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9.5" thickBot="1" x14ac:dyDescent="0.3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834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0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56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463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188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6900</v>
      </c>
      <c r="R616" s="132">
        <f ca="1">R617+R618</f>
        <v>6900</v>
      </c>
      <c r="S616" s="132">
        <f ca="1">S617+S618</f>
        <v>1360</v>
      </c>
      <c r="T616" s="132">
        <f ca="1">IF(Q616&gt;0,S616*100/Q616,0)</f>
        <v>19.710144927536231</v>
      </c>
      <c r="U616" s="132">
        <f ca="1">IF(R616&gt;0,S616*100/R616,0)</f>
        <v>19.710144927536231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6900</v>
      </c>
      <c r="R618" s="47">
        <f ca="1">R621+R624</f>
        <v>6900</v>
      </c>
      <c r="S618" s="47">
        <f ca="1">S621+S624</f>
        <v>1360</v>
      </c>
      <c r="T618" s="47">
        <f ca="1">IF(Q618&gt;0,S618*100/Q618,0)</f>
        <v>19.710144927536231</v>
      </c>
      <c r="U618" s="47">
        <f ca="1">IF(R618&gt;0,S618*100/R618,0)</f>
        <v>19.710144927536231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6900</v>
      </c>
      <c r="R619" s="47">
        <f ca="1">R620+R621</f>
        <v>6900</v>
      </c>
      <c r="S619" s="47">
        <f ca="1">S620+S621</f>
        <v>1360</v>
      </c>
      <c r="T619" s="47">
        <f ca="1">IF(Q619&gt;0,S619*100/Q619,0)</f>
        <v>19.710144927536231</v>
      </c>
      <c r="U619" s="47">
        <f ca="1">IF(R619&gt;0,S619*100/R619,0)</f>
        <v>19.710144927536231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IFERROR(__xludf.DUMMYFUNCTION("IMPORTRANGE(""https://docs.google.com/spreadsheets/d/1ItG2mGa2ceCfYo0BwxsXqNm01IGEUdYcSSLTEv9YCik/edit?usp=sharing"",""เบิกจ่ายกองทุน!F86"")"),6900)</f>
        <v>6900</v>
      </c>
      <c r="R621" s="47">
        <f ca="1">IFERROR(__xludf.DUMMYFUNCTION("IMPORTRANGE(""https://docs.google.com/spreadsheets/d/1ItG2mGa2ceCfYo0BwxsXqNm01IGEUdYcSSLTEv9YCik/edit?usp=sharing"",""เบิกจ่ายกองทุน!G86"")"),6900)</f>
        <v>6900</v>
      </c>
      <c r="S621" s="47">
        <f ca="1">IFERROR(__xludf.DUMMYFUNCTION("IMPORTRANGE(""https://docs.google.com/spreadsheets/d/1ItG2mGa2ceCfYo0BwxsXqNm01IGEUdYcSSLTEv9YCik/edit?usp=sharing"",""เบิกจ่ายกองทุน!H86"")"),1360)</f>
        <v>1360</v>
      </c>
      <c r="T621" s="47">
        <f ca="1">IF(Q621&gt;0,S621*100/Q621,0)</f>
        <v>19.710144927536231</v>
      </c>
      <c r="U621" s="47">
        <f ca="1">IF(R621&gt;0,S621*100/R621,0)</f>
        <v>19.710144927536231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IFERROR(__xludf.DUMMYFUNCTION("IMPORTRANGE(""https://docs.google.com/spreadsheets/d/1eHaY18a8A9IcSdp1K8H6x8fbOy06t2VsZHhMHf-1x7Y/edit?usp=sharing"",""แผน!ID86"")"),50)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IFERROR(__xludf.DUMMYFUNCTION("IMPORTRANGE(""https://docs.google.com/spreadsheets/d/1eHaY18a8A9IcSdp1K8H6x8fbOy06t2VsZHhMHf-1x7Y/edit?usp=sharing"",""แผน!IC86"")"),0)</f>
        <v>0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IFERROR(__xludf.DUMMYFUNCTION("IMPORTRANGE(""https://docs.google.com/spreadsheets/d/1eHaY18a8A9IcSdp1K8H6x8fbOy06t2VsZHhMHf-1x7Y/edit?usp=sharing"",""แผน!IC86"")"),0)</f>
        <v>0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IFERROR(__xludf.DUMMYFUNCTION("IMPORTRANGE(""https://docs.google.com/spreadsheets/d/1eHaY18a8A9IcSdp1K8H6x8fbOy06t2VsZHhMHf-1x7Y/edit?usp=sharing"",""แผน!IE86"")"),0)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63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IFERROR(__xludf.DUMMYFUNCTION("IMPORTRANGE(""https://docs.google.com/spreadsheets/d/1ItG2mGa2ceCfYo0BwxsXqNm01IGEUdYcSSLTEv9YCik/edit?usp=sharing"",""เบิกจ่ายกองทุน!I86"")"),0)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IFERROR(__xludf.DUMMYFUNCTION("IMPORTRANGE(""https://docs.google.com/spreadsheets/d/1ItG2mGa2ceCfYo0BwxsXqNm01IGEUdYcSSLTEv9YCik/edit?usp=sharing"",""เบิกจ่ายกองทุน!J86"")"),0)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IFERROR(__xludf.DUMMYFUNCTION("IMPORTRANGE(""https://docs.google.com/spreadsheets/d/1ItG2mGa2ceCfYo0BwxsXqNm01IGEUdYcSSLTEv9YCik/edit?usp=sharing"",""เบิกจ่ายกองทุน!K86"")"),0)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IFERROR(__xludf.DUMMYFUNCTION("IMPORTRANGE(""https://docs.google.com/spreadsheets/d/1eHaY18a8A9IcSdp1K8H6x8fbOy06t2VsZHhMHf-1x7Y/edit?usp=sharing"",""แผน!IF86"")"),0)</f>
        <v>0</v>
      </c>
      <c r="J652" s="152">
        <f ca="1">IFERROR(__xludf.DUMMYFUNCTION("IMPORTRANGE(""https://docs.google.com/spreadsheets/d/1tdoBKaGub7dwA3U6UFTqxio9LNnvDCQjHKmttSEBsFQ/edit?usp=sharing"",""จัดที่ดิน!AU86"")"),0)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IFERROR(__xludf.DUMMYFUNCTION("IMPORTRANGE(""https://docs.google.com/spreadsheets/d/1eHaY18a8A9IcSdp1K8H6x8fbOy06t2VsZHhMHf-1x7Y/edit?usp=sharing"",""แผน!IG86"")"),0)</f>
        <v>0</v>
      </c>
      <c r="J653" s="152">
        <f ca="1">IFERROR(__xludf.DUMMYFUNCTION("IMPORTRANGE(""https://docs.google.com/spreadsheets/d/1tdoBKaGub7dwA3U6UFTqxio9LNnvDCQjHKmttSEBsFQ/edit?usp=sharing"",""จัดที่ดิน!AW86"")"),0)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IFERROR(__xludf.DUMMYFUNCTION("IMPORTRANGE(""https://docs.google.com/spreadsheets/d/1eHaY18a8A9IcSdp1K8H6x8fbOy06t2VsZHhMHf-1x7Y/edit?usp=sharing"",""แผน!IH86"")"),0)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IFERROR(__xludf.DUMMYFUNCTION("IMPORTRANGE(""https://docs.google.com/spreadsheets/d/1eHaY18a8A9IcSdp1K8H6x8fbOy06t2VsZHhMHf-1x7Y/edit?usp=sharing"",""แผน!II86"")"),0)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IFERROR(__xludf.DUMMYFUNCTION("IMPORTRANGE(""https://docs.google.com/spreadsheets/d/1eHaY18a8A9IcSdp1K8H6x8fbOy06t2VsZHhMHf-1x7Y/edit?usp=sharing"",""แผน!IJ86"")"),0)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IFERROR(__xludf.DUMMYFUNCTION("IMPORTRANGE(""https://docs.google.com/spreadsheets/d/1eHaY18a8A9IcSdp1K8H6x8fbOy06t2VsZHhMHf-1x7Y/edit?usp=sharing"",""แผน!IK86"")"),0)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IFERROR(__xludf.DUMMYFUNCTION("IMPORTRANGE(""https://docs.google.com/spreadsheets/d/1tdoBKaGub7dwA3U6UFTqxio9LNnvDCQjHKmttSEBsFQ/edit?usp=sharing"",""จัดที่ดิน!AY86"")"),0)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IFERROR(__xludf.DUMMYFUNCTION("IMPORTRANGE(""https://docs.google.com/spreadsheets/d/1tdoBKaGub7dwA3U6UFTqxio9LNnvDCQjHKmttSEBsFQ/edit?usp=sharing"",""จัดที่ดิน!AZ86"")"),0)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IFERROR(__xludf.DUMMYFUNCTION("IMPORTRANGE(""https://docs.google.com/spreadsheets/d/1eHaY18a8A9IcSdp1K8H6x8fbOy06t2VsZHhMHf-1x7Y/edit?usp=sharing"",""แผน!IL86"")"),0)</f>
        <v>0</v>
      </c>
      <c r="J673" s="152">
        <f ca="1">IFERROR(__xludf.DUMMYFUNCTION("IMPORTRANGE(""https://docs.google.com/spreadsheets/d/1tdoBKaGub7dwA3U6UFTqxio9LNnvDCQjHKmttSEBsFQ/edit?usp=sharing"",""จัดที่ดิน!BA86"")"),0)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IFERROR(__xludf.DUMMYFUNCTION("IMPORTRANGE(""https://docs.google.com/spreadsheets/d/1eHaY18a8A9IcSdp1K8H6x8fbOy06t2VsZHhMHf-1x7Y/edit?usp=sharing"",""แผน!IM86"")"),0)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IFERROR(__xludf.DUMMYFUNCTION("IMPORTRANGE(""https://docs.google.com/spreadsheets/d/1eHaY18a8A9IcSdp1K8H6x8fbOy06t2VsZHhMHf-1x7Y/edit?usp=sharing"",""แผน!IN86"")"),0)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IFERROR(__xludf.DUMMYFUNCTION("IMPORTRANGE(""https://docs.google.com/spreadsheets/d/1eHaY18a8A9IcSdp1K8H6x8fbOy06t2VsZHhMHf-1x7Y/edit?usp=sharing"",""แผน!IO86"")"),0)</f>
        <v>0</v>
      </c>
      <c r="J676" s="152">
        <f ca="1">IFERROR(__xludf.DUMMYFUNCTION("IMPORTRANGE(""https://docs.google.com/spreadsheets/d/1tdoBKaGub7dwA3U6UFTqxio9LNnvDCQjHKmttSEBsFQ/edit?usp=sharing"",""จัดที่ดิน!BF86"")"),0)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IFERROR(__xludf.DUMMYFUNCTION("IMPORTRANGE(""https://docs.google.com/spreadsheets/d/1tdoBKaGub7dwA3U6UFTqxio9LNnvDCQjHKmttSEBsFQ/edit?usp=sharing"",""จัดที่ดิน!BG86"")"),0)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IFERROR(__xludf.DUMMYFUNCTION("IMPORTRANGE(""https://docs.google.com/spreadsheets/d/1eHaY18a8A9IcSdp1K8H6x8fbOy06t2VsZHhMHf-1x7Y/edit?usp=sharing"",""แผน!IP86"")"),0)</f>
        <v>0</v>
      </c>
      <c r="J678" s="152">
        <f ca="1">IFERROR(__xludf.DUMMYFUNCTION("IMPORTRANGE(""https://docs.google.com/spreadsheets/d/1tdoBKaGub7dwA3U6UFTqxio9LNnvDCQjHKmttSEBsFQ/edit?usp=sharing"",""จัดที่ดิน!BH86"")"),0)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IFERROR(__xludf.DUMMYFUNCTION("IMPORTRANGE(""https://docs.google.com/spreadsheets/d/1eHaY18a8A9IcSdp1K8H6x8fbOy06t2VsZHhMHf-1x7Y/edit?usp=sharing"",""แผน!IQ86"")"),0)</f>
        <v>0</v>
      </c>
      <c r="J679" s="152">
        <f ca="1">IFERROR(__xludf.DUMMYFUNCTION("IMPORTRANGE(""https://docs.google.com/spreadsheets/d/1tdoBKaGub7dwA3U6UFTqxio9LNnvDCQjHKmttSEBsFQ/edit?usp=sharing"",""จัดที่ดิน!BK86"")"),0)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IFERROR(__xludf.DUMMYFUNCTION("IMPORTRANGE(""https://docs.google.com/spreadsheets/d/1tdoBKaGub7dwA3U6UFTqxio9LNnvDCQjHKmttSEBsFQ/edit?usp=sharing"",""จัดที่ดิน!BL86"")"),0)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IFERROR(__xludf.DUMMYFUNCTION("IMPORTRANGE(""https://docs.google.com/spreadsheets/d/1eHaY18a8A9IcSdp1K8H6x8fbOy06t2VsZHhMHf-1x7Y/edit?usp=sharing"",""แผน!IR86"")"),0)</f>
        <v>0</v>
      </c>
      <c r="J681" s="152">
        <f ca="1">IFERROR(__xludf.DUMMYFUNCTION("IMPORTRANGE(""https://docs.google.com/spreadsheets/d/1tdoBKaGub7dwA3U6UFTqxio9LNnvDCQjHKmttSEBsFQ/edit?usp=sharing"",""จัดที่ดิน!BM86"")"),0)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IFERROR(__xludf.DUMMYFUNCTION("IMPORTRANGE(""https://docs.google.com/spreadsheets/d/1eHaY18a8A9IcSdp1K8H6x8fbOy06t2VsZHhMHf-1x7Y/edit?usp=sharing"",""แผน!IS86"")"),0)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56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69540</v>
      </c>
      <c r="R690" s="132">
        <f ca="1">R691+R692</f>
        <v>69540</v>
      </c>
      <c r="S690" s="132">
        <f ca="1">S691+S692</f>
        <v>10000</v>
      </c>
      <c r="T690" s="132">
        <f ca="1">IF(Q690&gt;0,S690*100/Q690,0)</f>
        <v>14.380212827149842</v>
      </c>
      <c r="U690" s="132">
        <f ca="1">IF(R690&gt;0,S690*100/R690,0)</f>
        <v>14.380212827149842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69540</v>
      </c>
      <c r="R692" s="47">
        <f ca="1">R695+R698</f>
        <v>69540</v>
      </c>
      <c r="S692" s="47">
        <f ca="1">S695+S698</f>
        <v>10000</v>
      </c>
      <c r="T692" s="47">
        <f ca="1">IF(Q692&gt;0,S692*100/Q692,0)</f>
        <v>14.380212827149842</v>
      </c>
      <c r="U692" s="47">
        <f ca="1">IF(R692&gt;0,S692*100/R692,0)</f>
        <v>14.380212827149842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69540</v>
      </c>
      <c r="R693" s="47">
        <f ca="1">R694+R695</f>
        <v>69540</v>
      </c>
      <c r="S693" s="47">
        <f ca="1">S694+S695</f>
        <v>10000</v>
      </c>
      <c r="T693" s="47">
        <f ca="1">IF(Q693&gt;0,S693*100/Q693,0)</f>
        <v>14.380212827149842</v>
      </c>
      <c r="U693" s="47">
        <f ca="1">IF(R693&gt;0,S693*100/R693,0)</f>
        <v>14.380212827149842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IFERROR(__xludf.DUMMYFUNCTION("IMPORTRANGE(""https://docs.google.com/spreadsheets/d/1ItG2mGa2ceCfYo0BwxsXqNm01IGEUdYcSSLTEv9YCik/edit?usp=sharing"",""เบิกจ่ายกองทุน!L86"")"),69540)</f>
        <v>69540</v>
      </c>
      <c r="R695" s="47">
        <f ca="1">IFERROR(__xludf.DUMMYFUNCTION("IMPORTRANGE(""https://docs.google.com/spreadsheets/d/1ItG2mGa2ceCfYo0BwxsXqNm01IGEUdYcSSLTEv9YCik/edit?usp=sharing"",""เบิกจ่ายกองทุน!M86"")"),69540)</f>
        <v>69540</v>
      </c>
      <c r="S695" s="47">
        <f ca="1">IFERROR(__xludf.DUMMYFUNCTION("IMPORTRANGE(""https://docs.google.com/spreadsheets/d/1ItG2mGa2ceCfYo0BwxsXqNm01IGEUdYcSSLTEv9YCik/edit?usp=sharing"",""เบิกจ่ายกองทุน!N86"")"),10000)</f>
        <v>10000</v>
      </c>
      <c r="T695" s="47">
        <f ca="1">IF(Q695&gt;0,S695*100/Q695,0)</f>
        <v>14.380212827149842</v>
      </c>
      <c r="U695" s="47">
        <f ca="1">IF(R695&gt;0,S695*100/R695,0)</f>
        <v>14.380212827149842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IFERROR(__xludf.DUMMYFUNCTION("IMPORTRANGE(""https://docs.google.com/spreadsheets/d/1eHaY18a8A9IcSdp1K8H6x8fbOy06t2VsZHhMHf-1x7Y/edit?usp=sharing"",""แผน!LC86"")"),0)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3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IFERROR(__xludf.DUMMYFUNCTION("IMPORTRANGE(""https://docs.google.com/spreadsheets/d/1eHaY18a8A9IcSdp1K8H6x8fbOy06t2VsZHhMHf-1x7Y/edit?usp=sharing"",""แผน!LJ86"")"),0)</f>
        <v>0</v>
      </c>
      <c r="J703" s="152">
        <f ca="1">IFERROR(__xludf.DUMMYFUNCTION("IMPORTRANGE(""https://docs.google.com/spreadsheets/d/1tdoBKaGub7dwA3U6UFTqxio9LNnvDCQjHKmttSEBsFQ/edit?usp=sharing"",""จัดที่ดิน!AP86"")"),0)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IFERROR(__xludf.DUMMYFUNCTION("IMPORTRANGE(""https://docs.google.com/spreadsheets/d/1tdoBKaGub7dwA3U6UFTqxio9LNnvDCQjHKmttSEBsFQ/edit?usp=sharing"",""จัดที่ดิน!AQ86"")"),0)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IFERROR(__xludf.DUMMYFUNCTION("IMPORTRANGE(""https://docs.google.com/spreadsheets/d/1eHaY18a8A9IcSdp1K8H6x8fbOy06t2VsZHhMHf-1x7Y/edit?usp=sharing"",""แผน!LK86"")"),3)</f>
        <v>3</v>
      </c>
      <c r="J705" s="152">
        <f ca="1">IFERROR(__xludf.DUMMYFUNCTION("IMPORTRANGE(""https://docs.google.com/spreadsheets/d/1tdoBKaGub7dwA3U6UFTqxio9LNnvDCQjHKmttSEBsFQ/edit?usp=sharing"",""จัดที่ดิน!AR86"")"),0)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IFERROR(__xludf.DUMMYFUNCTION("IMPORTRANGE(""https://docs.google.com/spreadsheets/d/1tdoBKaGub7dwA3U6UFTqxio9LNnvDCQjHKmttSEBsFQ/edit?usp=sharing"",""จัดที่ดิน!AS86"")"),0)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IFERROR(__xludf.DUMMYFUNCTION("IMPORTRANGE(""https://docs.google.com/spreadsheets/d/1eHaY18a8A9IcSdp1K8H6x8fbOy06t2VsZHhMHf-1x7Y/edit?usp=sharing"",""แผน!LJ86"")"),0)</f>
        <v>0</v>
      </c>
      <c r="J707" s="152">
        <f ca="1">IFERROR(__xludf.DUMMYFUNCTION("IMPORTRANGE(""https://docs.google.com/spreadsheets/d/1tdoBKaGub7dwA3U6UFTqxio9LNnvDCQjHKmttSEBsFQ/edit?usp=sharing"",""จัดที่ดิน!BN86"")"),0)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IFERROR(__xludf.DUMMYFUNCTION("IMPORTRANGE(""https://docs.google.com/spreadsheets/d/1tdoBKaGub7dwA3U6UFTqxio9LNnvDCQjHKmttSEBsFQ/edit?usp=sharing"",""จัดที่ดิน!BO86"")"),0)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IFERROR(__xludf.DUMMYFUNCTION("IMPORTRANGE(""https://docs.google.com/spreadsheets/d/1eHaY18a8A9IcSdp1K8H6x8fbOy06t2VsZHhMHf-1x7Y/edit?usp=sharing"",""แผน!LK86"")"),3)</f>
        <v>3</v>
      </c>
      <c r="J709" s="152">
        <f ca="1">IFERROR(__xludf.DUMMYFUNCTION("IMPORTRANGE(""https://docs.google.com/spreadsheets/d/1tdoBKaGub7dwA3U6UFTqxio9LNnvDCQjHKmttSEBsFQ/edit?usp=sharing"",""จัดที่ดิน!BP86"")"),2)</f>
        <v>2</v>
      </c>
      <c r="K709" s="47">
        <f ca="1">IF(I709&gt;0,J709*100/I709,0)</f>
        <v>66.666666666666671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IFERROR(__xludf.DUMMYFUNCTION("IMPORTRANGE(""https://docs.google.com/spreadsheets/d/1tdoBKaGub7dwA3U6UFTqxio9LNnvDCQjHKmttSEBsFQ/edit?usp=sharing"",""จัดที่ดิน!BQ86"")"),0)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56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56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56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IFERROR(__xludf.DUMMYFUNCTION("IMPORTRANGE(""https://docs.google.com/spreadsheets/d/1eHaY18a8A9IcSdp1K8H6x8fbOy06t2VsZHhMHf-1x7Y/edit?usp=sharing"",""แผน!GA86"")"),11)</f>
        <v>11</v>
      </c>
      <c r="J726" s="483">
        <f>J742+J746+J749</f>
        <v>11</v>
      </c>
      <c r="K726" s="484">
        <f ca="1">IF(I726&gt;0,J726*100/I726,0)</f>
        <v>100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IFERROR(__xludf.DUMMYFUNCTION("IMPORTRANGE(""https://docs.google.com/spreadsheets/d/1eHaY18a8A9IcSdp1K8H6x8fbOy06t2VsZHhMHf-1x7Y/edit?usp=sharing"",""แผน!FZ86"")"),100)</f>
        <v>100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188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111882</v>
      </c>
      <c r="R728" s="132">
        <f ca="1">R729+R730</f>
        <v>111882</v>
      </c>
      <c r="S728" s="132">
        <f ca="1">S729+S730</f>
        <v>31662</v>
      </c>
      <c r="T728" s="132">
        <f ca="1">IF(Q728&gt;0,S728*100/Q728,0)</f>
        <v>28.299458357912801</v>
      </c>
      <c r="U728" s="132">
        <f ca="1">IF(R728&gt;0,S728*100/R728,0)</f>
        <v>28.299458357912801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111882</v>
      </c>
      <c r="R730" s="47">
        <f ca="1">R733+R736</f>
        <v>111882</v>
      </c>
      <c r="S730" s="47">
        <f ca="1">S733+S736</f>
        <v>31662</v>
      </c>
      <c r="T730" s="47">
        <f ca="1">IF(Q730&gt;0,S730*100/Q730,0)</f>
        <v>28.299458357912801</v>
      </c>
      <c r="U730" s="47">
        <f ca="1">IF(R730&gt;0,S730*100/R730,0)</f>
        <v>28.299458357912801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111882</v>
      </c>
      <c r="R731" s="47">
        <f ca="1">R732+R733</f>
        <v>111882</v>
      </c>
      <c r="S731" s="47">
        <f ca="1">S732+S733</f>
        <v>31662</v>
      </c>
      <c r="T731" s="47">
        <f ca="1">IF(Q731&gt;0,S731*100/Q731,0)</f>
        <v>28.299458357912801</v>
      </c>
      <c r="U731" s="47">
        <f ca="1">IF(R731&gt;0,S731*100/R731,0)</f>
        <v>28.299458357912801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IFERROR(__xludf.DUMMYFUNCTION("IMPORTRANGE(""https://docs.google.com/spreadsheets/d/1ItG2mGa2ceCfYo0BwxsXqNm01IGEUdYcSSLTEv9YCik/edit?usp=sharing"",""เบิกจ่ายกองทุน!O86"")"),111882)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IFERROR(__xludf.DUMMYFUNCTION("IMPORTRANGE(""https://docs.google.com/spreadsheets/d/1ItG2mGa2ceCfYo0BwxsXqNm01IGEUdYcSSLTEv9YCik/edit?usp=sharing"",""เบิกจ่ายกองทุน!P86"")"),111882)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IFERROR(__xludf.DUMMYFUNCTION("IMPORTRANGE(""https://docs.google.com/spreadsheets/d/1ItG2mGa2ceCfYo0BwxsXqNm01IGEUdYcSSLTEv9YCik/edit?usp=sharing"",""เบิกจ่ายกองทุน!Q86"")"),31662)</f>
        <v>31662</v>
      </c>
      <c r="T733" s="47">
        <f ca="1">IF(Q733&gt;0,S733*100/Q733,0)</f>
        <v>28.299458357912801</v>
      </c>
      <c r="U733" s="47">
        <f ca="1">IF(R733&gt;0,S733*100/R733,0)</f>
        <v>28.299458357912801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IFERROR(__xludf.DUMMYFUNCTION("IMPORTRANGE(""https://docs.google.com/spreadsheets/d/1eHaY18a8A9IcSdp1K8H6x8fbOy06t2VsZHhMHf-1x7Y/edit?usp=sharing"",""แผน!GB86"")"),80)</f>
        <v>80</v>
      </c>
      <c r="J740" s="554">
        <v>80</v>
      </c>
      <c r="K740" s="331">
        <f ca="1">IF(I740&gt;0,J740*100/I740,0)</f>
        <v>100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IFERROR(__xludf.DUMMYFUNCTION("IMPORTRANGE(""https://docs.google.com/spreadsheets/d/1eHaY18a8A9IcSdp1K8H6x8fbOy06t2VsZHhMHf-1x7Y/edit?usp=sharing"",""แผน!GC86"")"),8)</f>
        <v>8</v>
      </c>
      <c r="J742" s="554">
        <v>8</v>
      </c>
      <c r="K742" s="331">
        <f ca="1">IF(I742&gt;0,J742*100/I742,0)</f>
        <v>100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IFERROR(__xludf.DUMMYFUNCTION("IMPORTRANGE(""https://docs.google.com/spreadsheets/d/1eHaY18a8A9IcSdp1K8H6x8fbOy06t2VsZHhMHf-1x7Y/edit?usp=sharing"",""แผน!GD86"")"),20)</f>
        <v>20</v>
      </c>
      <c r="J744" s="554">
        <v>20</v>
      </c>
      <c r="K744" s="331">
        <f ca="1">IF(I744&gt;0,J744*100/I744,0)</f>
        <v>100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IFERROR(__xludf.DUMMYFUNCTION("IMPORTRANGE(""https://docs.google.com/spreadsheets/d/1eHaY18a8A9IcSdp1K8H6x8fbOy06t2VsZHhMHf-1x7Y/edit?usp=sharing"",""แผน!GE86"")"),2)</f>
        <v>2</v>
      </c>
      <c r="J746" s="554">
        <v>2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IFERROR(__xludf.DUMMYFUNCTION("IMPORTRANGE(""https://docs.google.com/spreadsheets/d/1eHaY18a8A9IcSdp1K8H6x8fbOy06t2VsZHhMHf-1x7Y/edit?usp=sharing"",""แผน!GF86"")"),1)</f>
        <v>1</v>
      </c>
      <c r="J749" s="554">
        <v>1</v>
      </c>
      <c r="K749" s="331">
        <f ca="1">IF(I749&gt;0,J749*100/I749,0)</f>
        <v>100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IFERROR(__xludf.DUMMYFUNCTION("IMPORTRANGE(""https://docs.google.com/spreadsheets/d/1eHaY18a8A9IcSdp1K8H6x8fbOy06t2VsZHhMHf-1x7Y/edit?usp=sharing"",""แผน!GB86"")"),80)</f>
        <v>80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IFERROR(__xludf.DUMMYFUNCTION("IMPORTRANGE(""https://docs.google.com/spreadsheets/d/1eHaY18a8A9IcSdp1K8H6x8fbOy06t2VsZHhMHf-1x7Y/edit?usp=sharing"",""แผน!GD86"")"),20)</f>
        <v>20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9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hidden="1" x14ac:dyDescent="0.3">
      <c r="A758" s="456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hidden="1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hidden="1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IFERROR(__xludf.DUMMYFUNCTION("IMPORTRANGE(""https://docs.google.com/spreadsheets/d/1ItG2mGa2ceCfYo0BwxsXqNm01IGEUdYcSSLTEv9YCik/edit?usp=sharing"",""เบิกจ่ายกองทุน!AA86"")"),0)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IFERROR(__xludf.DUMMYFUNCTION("IMPORTRANGE(""https://docs.google.com/spreadsheets/d/1ItG2mGa2ceCfYo0BwxsXqNm01IGEUdYcSSLTEv9YCik/edit?usp=sharing"",""เบิกจ่ายกองทุน!AB86"")"),0)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IFERROR(__xludf.DUMMYFUNCTION("IMPORTRANGE(""https://docs.google.com/spreadsheets/d/1ItG2mGa2ceCfYo0BwxsXqNm01IGEUdYcSSLTEv9YCik/edit?usp=sharing"",""เบิกจ่ายกองทุน!AC86"")"),0)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hidden="1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IFERROR(__xludf.DUMMYFUNCTION("IMPORTRANGE(""https://docs.google.com/spreadsheets/d/1eHaY18a8A9IcSdp1K8H6x8fbOy06t2VsZHhMHf-1x7Y/edit?usp=sharing"",""แผน!FI86"")"),0)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IFERROR(__xludf.DUMMYFUNCTION("IMPORTRANGE(""https://docs.google.com/spreadsheets/d/1eHaY18a8A9IcSdp1K8H6x8fbOy06t2VsZHhMHf-1x7Y/edit?usp=sharing"",""แผน!FQ86"")"),0)</f>
        <v>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IFERROR(__xludf.DUMMYFUNCTION("IMPORTRANGE(""https://docs.google.com/spreadsheets/d/1eHaY18a8A9IcSdp1K8H6x8fbOy06t2VsZHhMHf-1x7Y/edit?usp=sharing"",""แผน!FR86"")"),0)</f>
        <v>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IFERROR(__xludf.DUMMYFUNCTION("IMPORTRANGE(""https://docs.google.com/spreadsheets/d/1eHaY18a8A9IcSdp1K8H6x8fbOy06t2VsZHhMHf-1x7Y/edit?usp=sharing"",""แผน!FS86"")"),0)</f>
        <v>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IFERROR(__xludf.DUMMYFUNCTION("IMPORTRANGE(""https://docs.google.com/spreadsheets/d/1eHaY18a8A9IcSdp1K8H6x8fbOy06t2VsZHhMHf-1x7Y/edit?usp=sharing"",""แผน!FT86"")"),0)</f>
        <v>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IFERROR(__xludf.DUMMYFUNCTION("IMPORTRANGE(""https://docs.google.com/spreadsheets/d/10OvvATaaLtwErnr3qtWFcTmtbfpFEt5Bsqel9sXx0uE/edit?usp=sharing"",""งานกองทุน!D86"")"),2646651.76)</f>
        <v>2646651.7599999998</v>
      </c>
      <c r="J778" s="152">
        <f ca="1">IFERROR(__xludf.DUMMYFUNCTION("IMPORTRANGE(""https://docs.google.com/spreadsheets/d/10OvvATaaLtwErnr3qtWFcTmtbfpFEt5Bsqel9sXx0uE/edit?usp=sharing"",""งานกองทุน!F86"")"),1739279.28)</f>
        <v>1739279.28</v>
      </c>
      <c r="K778" s="47">
        <f ca="1">IF(I778&gt;0,J778*100/I778,0)</f>
        <v>65.716211943198758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IFERROR(__xludf.DUMMYFUNCTION("IMPORTRANGE(""https://docs.google.com/spreadsheets/d/10OvvATaaLtwErnr3qtWFcTmtbfpFEt5Bsqel9sXx0uE/edit?usp=sharing"",""งานกองทุน!C86"")"),192)</f>
        <v>192</v>
      </c>
      <c r="J779" s="152">
        <f ca="1">IFERROR(__xludf.DUMMYFUNCTION("IMPORTRANGE(""https://docs.google.com/spreadsheets/d/10OvvATaaLtwErnr3qtWFcTmtbfpFEt5Bsqel9sXx0uE/edit?usp=sharing"",""งานกองทุน!E86"")"),146)</f>
        <v>146</v>
      </c>
      <c r="K779" s="47">
        <f ca="1">IF(I779&gt;0,J779*100/I779,0)</f>
        <v>76.041666666666671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IFERROR(__xludf.DUMMYFUNCTION("IMPORTRANGE(""https://docs.google.com/spreadsheets/d/10OvvATaaLtwErnr3qtWFcTmtbfpFEt5Bsqel9sXx0uE/edit?usp=sharing"",""งานกองทุน!I86"")"),2703451.48)</f>
        <v>2703451.48</v>
      </c>
      <c r="J780" s="152">
        <f ca="1">IFERROR(__xludf.DUMMYFUNCTION("IMPORTRANGE(""https://docs.google.com/spreadsheets/d/10OvvATaaLtwErnr3qtWFcTmtbfpFEt5Bsqel9sXx0uE/edit?usp=sharing"",""งานกองทุน!K86"")"),345610.45)</f>
        <v>345610.45</v>
      </c>
      <c r="K780" s="47">
        <f ca="1">IF(I780&gt;0,J780*100/I780,0)</f>
        <v>12.784044861052953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IFERROR(__xludf.DUMMYFUNCTION("IMPORTRANGE(""https://docs.google.com/spreadsheets/d/10OvvATaaLtwErnr3qtWFcTmtbfpFEt5Bsqel9sXx0uE/edit?usp=sharing"",""งานกองทุน!H86"")"),99)</f>
        <v>99</v>
      </c>
      <c r="J781" s="152">
        <f ca="1">IFERROR(__xludf.DUMMYFUNCTION("IMPORTRANGE(""https://docs.google.com/spreadsheets/d/10OvvATaaLtwErnr3qtWFcTmtbfpFEt5Bsqel9sXx0uE/edit?usp=sharing"",""งานกองทุน!J86"")"),72)</f>
        <v>72</v>
      </c>
      <c r="K781" s="47">
        <f ca="1">IF(I781&gt;0,J781*100/I781,0)</f>
        <v>72.727272727272734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IFERROR(__xludf.DUMMYFUNCTION("IMPORTRANGE(""https://docs.google.com/spreadsheets/d/10OvvATaaLtwErnr3qtWFcTmtbfpFEt5Bsqel9sXx0uE/edit?usp=sharing"",""งานกองทุน!N86"")"),0)</f>
        <v>0</v>
      </c>
      <c r="J782" s="152">
        <f ca="1">IFERROR(__xludf.DUMMYFUNCTION("IMPORTRANGE(""https://docs.google.com/spreadsheets/d/10OvvATaaLtwErnr3qtWFcTmtbfpFEt5Bsqel9sXx0uE/edit?usp=sharing"",""งานกองทุน!P86"")"),0)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IFERROR(__xludf.DUMMYFUNCTION("IMPORTRANGE(""https://docs.google.com/spreadsheets/d/10OvvATaaLtwErnr3qtWFcTmtbfpFEt5Bsqel9sXx0uE/edit?usp=sharing"",""งานกองทุน!M86"")"),0)</f>
        <v>0</v>
      </c>
      <c r="J783" s="152">
        <f ca="1">IFERROR(__xludf.DUMMYFUNCTION("IMPORTRANGE(""https://docs.google.com/spreadsheets/d/10OvvATaaLtwErnr3qtWFcTmtbfpFEt5Bsqel9sXx0uE/edit?usp=sharing"",""งานกองทุน!O86"")"),0)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IFERROR(__xludf.DUMMYFUNCTION("IMPORTRANGE(""https://docs.google.com/spreadsheets/d/10OvvATaaLtwErnr3qtWFcTmtbfpFEt5Bsqel9sXx0uE/edit?usp=sharing"",""งานกองทุน!S86"")"),1848000)</f>
        <v>1848000</v>
      </c>
      <c r="J784" s="152">
        <f ca="1">IFERROR(__xludf.DUMMYFUNCTION("IMPORTRANGE(""https://docs.google.com/spreadsheets/d/10OvvATaaLtwErnr3qtWFcTmtbfpFEt5Bsqel9sXx0uE/edit?usp=sharing"",""งานกองทุน!U86"")"),3300000)</f>
        <v>3300000</v>
      </c>
      <c r="K784" s="47">
        <f ca="1">IF(I784&gt;0,J784*100/I784,0)</f>
        <v>178.57142857142858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IFERROR(__xludf.DUMMYFUNCTION("IMPORTRANGE(""https://docs.google.com/spreadsheets/d/10OvvATaaLtwErnr3qtWFcTmtbfpFEt5Bsqel9sXx0uE/edit?usp=sharing"",""งานกองทุน!R86"")"),66)</f>
        <v>66</v>
      </c>
      <c r="J785" s="197">
        <f ca="1">IFERROR(__xludf.DUMMYFUNCTION("IMPORTRANGE(""https://docs.google.com/spreadsheets/d/10OvvATaaLtwErnr3qtWFcTmtbfpFEt5Bsqel9sXx0uE/edit?usp=sharing"",""งานกองทุน!T86"")"),66)</f>
        <v>66</v>
      </c>
      <c r="K785" s="111">
        <f ca="1">IF(I785&gt;0,J785*100/I785,0)</f>
        <v>100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4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11FF2-68C6-47D2-8DBB-BBE0ADCD6518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7109375" bestFit="1" customWidth="1"/>
    <col min="11" max="11" width="13" bestFit="1" customWidth="1"/>
    <col min="12" max="13" width="22.140625" bestFit="1" customWidth="1"/>
    <col min="14" max="15" width="19.28515625" bestFit="1" customWidth="1"/>
    <col min="16" max="16" width="21.28515625" bestFit="1" customWidth="1"/>
    <col min="17" max="20" width="19.28515625" bestFit="1" customWidth="1"/>
    <col min="21" max="21" width="21.28515625" bestFit="1" customWidth="1"/>
  </cols>
  <sheetData>
    <row r="1" spans="1:21" ht="19.5" x14ac:dyDescent="0.3">
      <c r="A1" s="817" t="s">
        <v>0</v>
      </c>
      <c r="B1" s="817"/>
      <c r="C1" s="817"/>
      <c r="D1" s="817"/>
      <c r="E1" s="817"/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7"/>
      <c r="R1" s="817"/>
      <c r="S1" s="817"/>
      <c r="T1" s="817"/>
      <c r="U1" s="817"/>
    </row>
    <row r="2" spans="1:21" s="897" customFormat="1" ht="19.5" x14ac:dyDescent="0.3">
      <c r="A2" s="817" t="s">
        <v>330</v>
      </c>
      <c r="B2" s="817"/>
      <c r="C2" s="817"/>
      <c r="D2" s="817"/>
      <c r="E2" s="817"/>
      <c r="F2" s="817"/>
      <c r="G2" s="817"/>
      <c r="H2" s="817"/>
      <c r="I2" s="817"/>
      <c r="J2" s="817"/>
      <c r="K2" s="817"/>
      <c r="L2" s="817"/>
      <c r="M2" s="817"/>
      <c r="N2" s="817"/>
      <c r="O2" s="817"/>
      <c r="P2" s="817"/>
      <c r="Q2" s="817"/>
      <c r="R2" s="817"/>
      <c r="S2" s="817"/>
      <c r="T2" s="817"/>
      <c r="U2" s="817"/>
    </row>
    <row r="3" spans="1:21" ht="19.5" x14ac:dyDescent="0.3">
      <c r="A3" s="817" t="s">
        <v>332</v>
      </c>
      <c r="B3" s="817"/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  <c r="S3" s="817"/>
      <c r="T3" s="817"/>
      <c r="U3" s="817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816"/>
      <c r="L4" s="815" t="s">
        <v>2</v>
      </c>
      <c r="M4" s="518"/>
      <c r="N4" s="518"/>
      <c r="O4" s="518"/>
      <c r="P4" s="519"/>
      <c r="Q4" s="814" t="s">
        <v>3</v>
      </c>
      <c r="R4" s="518"/>
      <c r="S4" s="518"/>
      <c r="T4" s="518"/>
      <c r="U4" s="519"/>
    </row>
    <row r="5" spans="1:21" ht="19.5" x14ac:dyDescent="0.3">
      <c r="A5" s="813" t="s">
        <v>4</v>
      </c>
      <c r="B5" s="522"/>
      <c r="C5" s="522"/>
      <c r="D5" s="522"/>
      <c r="E5" s="522"/>
      <c r="F5" s="522"/>
      <c r="G5" s="535"/>
      <c r="H5" s="812" t="s">
        <v>5</v>
      </c>
      <c r="I5" s="527" t="s">
        <v>6</v>
      </c>
      <c r="J5" s="518"/>
      <c r="K5" s="519"/>
      <c r="L5" s="811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0"/>
      <c r="I6" s="7" t="s">
        <v>9</v>
      </c>
      <c r="J6" s="8" t="s">
        <v>10</v>
      </c>
      <c r="K6" s="7" t="s">
        <v>11</v>
      </c>
      <c r="L6" s="809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2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1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1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1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1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1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1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1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1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08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7">
        <f ca="1">L19+L20</f>
        <v>1669180</v>
      </c>
      <c r="M18" s="35">
        <f ca="1">M19+M20</f>
        <v>1789720</v>
      </c>
      <c r="N18" s="35">
        <f ca="1">N19+N20</f>
        <v>961271.11</v>
      </c>
      <c r="O18" s="35">
        <f ca="1">IF(L18&gt;0,N18*100/L18,0)</f>
        <v>57.589421751997989</v>
      </c>
      <c r="P18" s="35">
        <f ca="1">IF(M18&gt;0,N18*100/M18,0)</f>
        <v>53.710698321525157</v>
      </c>
      <c r="Q18" s="35">
        <f ca="1">Q19+Q20</f>
        <v>736960.22</v>
      </c>
      <c r="R18" s="35">
        <f ca="1">R19+R20</f>
        <v>727585</v>
      </c>
      <c r="S18" s="35">
        <f ca="1">S19+S20</f>
        <v>192648.55000000002</v>
      </c>
      <c r="T18" s="35">
        <f ca="1">IF(Q18&gt;0,S18*100/Q18,0)</f>
        <v>26.140969996996581</v>
      </c>
      <c r="U18" s="35">
        <f ca="1">IF(R18&gt;0,S18*100/R18,0)</f>
        <v>26.477806716741</v>
      </c>
    </row>
    <row r="19" spans="1:21" ht="18.75" hidden="1" x14ac:dyDescent="0.25">
      <c r="A19" s="27"/>
      <c r="B19" s="28"/>
      <c r="C19" s="28"/>
      <c r="D19" s="28"/>
      <c r="E19" s="806" t="s">
        <v>20</v>
      </c>
      <c r="F19" s="28"/>
      <c r="G19" s="31"/>
      <c r="H19" s="805" t="s">
        <v>14</v>
      </c>
      <c r="I19" s="33"/>
      <c r="J19" s="33"/>
      <c r="K19" s="34"/>
      <c r="L19" s="804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3">
        <f ca="1">L23+L26</f>
        <v>1669180</v>
      </c>
      <c r="M20" s="39">
        <f ca="1">M23+M26</f>
        <v>1789720</v>
      </c>
      <c r="N20" s="39">
        <f ca="1">N23+N26</f>
        <v>961271.11</v>
      </c>
      <c r="O20" s="39">
        <f ca="1">IF(L20&gt;0,N20*100/L20,0)</f>
        <v>57.589421751997989</v>
      </c>
      <c r="P20" s="39">
        <f ca="1">IF(M20&gt;0,N20*100/M20,0)</f>
        <v>53.710698321525157</v>
      </c>
      <c r="Q20" s="39">
        <f ca="1">Q23+Q26</f>
        <v>736960.22</v>
      </c>
      <c r="R20" s="39">
        <f ca="1">R23+R26</f>
        <v>727585</v>
      </c>
      <c r="S20" s="39">
        <f ca="1">S23+S26</f>
        <v>192648.55000000002</v>
      </c>
      <c r="T20" s="39">
        <f ca="1">IF(Q20&gt;0,S20*100/Q20,0)</f>
        <v>26.140969996996581</v>
      </c>
      <c r="U20" s="39">
        <f ca="1">IF(R20&gt;0,S20*100/R20,0)</f>
        <v>26.477806716741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1669180</v>
      </c>
      <c r="M21" s="47">
        <f ca="1">M22+M23</f>
        <v>1789720</v>
      </c>
      <c r="N21" s="47">
        <f ca="1">N22+N23</f>
        <v>961271.11</v>
      </c>
      <c r="O21" s="47">
        <f ca="1">IF(L21&gt;0,N21*100/L21,0)</f>
        <v>57.589421751997989</v>
      </c>
      <c r="P21" s="47">
        <f ca="1">IF(M21&gt;0,N21*100/M21,0)</f>
        <v>53.710698321525157</v>
      </c>
      <c r="Q21" s="47">
        <f ca="1">Q22+Q23</f>
        <v>736960.22</v>
      </c>
      <c r="R21" s="47">
        <f ca="1">R22+R23</f>
        <v>727585</v>
      </c>
      <c r="S21" s="47">
        <f ca="1">S22+S23</f>
        <v>192648.55000000002</v>
      </c>
      <c r="T21" s="47">
        <f ca="1">IF(Q21&gt;0,S21*100/Q21,0)</f>
        <v>26.140969996996581</v>
      </c>
      <c r="U21" s="47">
        <f ca="1">IF(R21&gt;0,S21*100/R21,0)</f>
        <v>26.477806716741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L49+L64+L77+L99+L130+L144+L162+L191+L178+L271+L287+L308+L325+L338+L361+L518</f>
        <v>1669180</v>
      </c>
      <c r="M23" s="47">
        <f ca="1">M49+M64+M77+M99+M130+M144+M162+M191+M178+M271+M287+M308+M325+M338+M361+M518</f>
        <v>1789720</v>
      </c>
      <c r="N23" s="47">
        <f ca="1">N49+N64+N77+N99+N130+N144+N162+N191+N178+N271+N287+N308+N325+N338+N361+N518</f>
        <v>961271.11</v>
      </c>
      <c r="O23" s="47">
        <f ca="1">IF(L23&gt;0,N23*100/L23,0)</f>
        <v>57.589421751997989</v>
      </c>
      <c r="P23" s="47">
        <f ca="1">IF(M23&gt;0,N23*100/M23,0)</f>
        <v>53.710698321525157</v>
      </c>
      <c r="Q23" s="47">
        <f ca="1">Q77+Q99+Q122+Q144+Q162+Q178+Q191+Q271+Q287+Q308+Q338+Q380+Q397+Q418+Q498+Q604+Q621+Q647+Q695+Q719+Q733+Q765</f>
        <v>736960.22</v>
      </c>
      <c r="R23" s="47">
        <f ca="1">R77+R99+R122+R144+R162+R178+R191+R271+R287+R308+R338+R380+R397+R418+R498+R604+R621+R647+R695+R719+R733+R765</f>
        <v>727585</v>
      </c>
      <c r="S23" s="47">
        <f ca="1">S77+S99+S122+S144+S162+S178+S191+S271+S287+S308+S338+S380+S397+S418+S498+S604+S621+S647+S695+S719+S733+S765</f>
        <v>192648.55000000002</v>
      </c>
      <c r="T23" s="47">
        <f ca="1">IF(Q23&gt;0,S23*100/Q23,0)</f>
        <v>26.140969996996581</v>
      </c>
      <c r="U23" s="47">
        <f ca="1">IF(R23&gt;0,S23*100/R23,0)</f>
        <v>26.477806716741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L52+L67+L80+L102+L133+L147+L165+L194+L181+L274+L290+L311+L328+L341+L364+L521</f>
        <v>0</v>
      </c>
      <c r="M26" s="47">
        <f ca="1">M52+M67+M80+M102+M133+M147+M165+M194+M181+M274+M290+M311+M328+M341+M364+M521</f>
        <v>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2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1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1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1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1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1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1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1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1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1">
        <f ca="1">L44+L59+L72+L94+L125+L139+L157+L173+L186+L266+L282+L303+L320+L333+L356</f>
        <v>1669180</v>
      </c>
      <c r="M40" s="800">
        <f ca="1">M44+M59+M72+M94+M125+M139+M157+M173+M186+M266+M282+M303+M320+M333+M356</f>
        <v>1789720</v>
      </c>
      <c r="N40" s="800">
        <f ca="1">N44+N59+N72+N94+N125+N139+N157+N173+N186+N266+N282+N303+N320+N333+N356</f>
        <v>961271.11</v>
      </c>
      <c r="O40" s="800">
        <f ca="1">IF(L40&gt;0,N40*100/L40,0)</f>
        <v>57.589421751997989</v>
      </c>
      <c r="P40" s="800">
        <f ca="1">IF(M40&gt;0,N40*100/M40,0)</f>
        <v>53.710698321525157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99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1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339300</v>
      </c>
      <c r="M44" s="79">
        <f ca="1">M45+M46</f>
        <v>410090</v>
      </c>
      <c r="N44" s="79">
        <f ca="1">N45+N46</f>
        <v>283230</v>
      </c>
      <c r="O44" s="79">
        <f ca="1">IF(L44&gt;0,N44*100/L44,0)</f>
        <v>83.474801061007952</v>
      </c>
      <c r="P44" s="79">
        <f ca="1">IF(M44&gt;0,N44*100/M44,0)</f>
        <v>69.06532712331439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339300</v>
      </c>
      <c r="M46" s="83">
        <f ca="1">M49+M52</f>
        <v>410090</v>
      </c>
      <c r="N46" s="83">
        <f ca="1">N49+N52</f>
        <v>283230</v>
      </c>
      <c r="O46" s="83">
        <f ca="1">IF(L46&gt;0,N46*100/L46,0)</f>
        <v>83.474801061007952</v>
      </c>
      <c r="P46" s="83">
        <f ca="1">IF(M46&gt;0,N46*100/M46,0)</f>
        <v>69.06532712331439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339300</v>
      </c>
      <c r="M47" s="47">
        <f ca="1">M48+M49</f>
        <v>410090</v>
      </c>
      <c r="N47" s="47">
        <f ca="1">N48+N49</f>
        <v>283230</v>
      </c>
      <c r="O47" s="47">
        <f ca="1">IF(L47&gt;0,N47*100/L47,0)</f>
        <v>83.474801061007952</v>
      </c>
      <c r="P47" s="47">
        <f ca="1">IF(M47&gt;0,N47*100/M47,0)</f>
        <v>69.06532712331439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IFERROR(__xludf.DUMMYFUNCTION("IMPORTRANGE(""https://docs.google.com/spreadsheets/d/1-uDff_7J0KD5mKrp0Vvzr7lt3OU09vwQwhkpOPPYv2Y/edit?usp=sharing"",""งบพรบ!P87"")"),339300)</f>
        <v>339300</v>
      </c>
      <c r="M49" s="47">
        <f ca="1">IFERROR(__xludf.DUMMYFUNCTION("IMPORTRANGE(""https://docs.google.com/spreadsheets/d/1-uDff_7J0KD5mKrp0Vvzr7lt3OU09vwQwhkpOPPYv2Y/edit?usp=sharing"",""งบพรบ!V87"")"),410090)</f>
        <v>410090</v>
      </c>
      <c r="N49" s="47">
        <f ca="1">IFERROR(__xludf.DUMMYFUNCTION("IMPORTRANGE(""https://docs.google.com/spreadsheets/d/1-uDff_7J0KD5mKrp0Vvzr7lt3OU09vwQwhkpOPPYv2Y/edit?usp=sharing"",""งบพรบ!Y87"")"),283230)</f>
        <v>283230</v>
      </c>
      <c r="O49" s="47">
        <f ca="1">IF(L49&gt;0,N49*100/L49,0)</f>
        <v>83.474801061007952</v>
      </c>
      <c r="P49" s="47">
        <f ca="1">IF(M49&gt;0,N49*100/M49,0)</f>
        <v>69.06532712331439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IFERROR(__xludf.DUMMYFUNCTION("IMPORTRANGE(""https://docs.google.com/spreadsheets/d/1-uDff_7J0KD5mKrp0Vvzr7lt3OU09vwQwhkpOPPYv2Y/edit?usp=sharing"",""งบพรบ!S87"")"),0)</f>
        <v>0</v>
      </c>
      <c r="M52" s="47">
        <f ca="1">IFERROR(__xludf.DUMMYFUNCTION("IMPORTRANGE(""https://docs.google.com/spreadsheets/d/1-uDff_7J0KD5mKrp0Vvzr7lt3OU09vwQwhkpOPPYv2Y/edit?usp=sharing"",""งบพรบ!W87"")"),0)</f>
        <v>0</v>
      </c>
      <c r="N52" s="47">
        <f ca="1">IFERROR(__xludf.DUMMYFUNCTION("IMPORTRANGE(""https://docs.google.com/spreadsheets/d/1-uDff_7J0KD5mKrp0Vvzr7lt3OU09vwQwhkpOPPYv2Y/edit?usp=sharing"",""งบพรบ!Z87"")"),0)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318900</v>
      </c>
      <c r="M59" s="106">
        <f ca="1">M60+M61</f>
        <v>318900</v>
      </c>
      <c r="N59" s="106">
        <f ca="1">N60+N61</f>
        <v>157646.76</v>
      </c>
      <c r="O59" s="106">
        <f ca="1">IF(L59&gt;0,N59*100/L59,0)</f>
        <v>49.434543744120411</v>
      </c>
      <c r="P59" s="106">
        <f ca="1">IF(M59&gt;0,N59*100/M59,0)</f>
        <v>49.434543744120411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318900</v>
      </c>
      <c r="M61" s="109">
        <f ca="1">M64+M67</f>
        <v>318900</v>
      </c>
      <c r="N61" s="109">
        <f ca="1">N64+N67</f>
        <v>157646.76</v>
      </c>
      <c r="O61" s="109">
        <f ca="1">IF(L61&gt;0,N61*100/L61,0)</f>
        <v>49.434543744120411</v>
      </c>
      <c r="P61" s="109">
        <f ca="1">IF(M61&gt;0,N61*100/M61,0)</f>
        <v>49.434543744120411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318900</v>
      </c>
      <c r="M62" s="47">
        <f ca="1">M63+M64</f>
        <v>318900</v>
      </c>
      <c r="N62" s="47">
        <f ca="1">N63+N64</f>
        <v>157646.76</v>
      </c>
      <c r="O62" s="47">
        <f ca="1">IF(L62&gt;0,N62*100/L62,0)</f>
        <v>49.434543744120411</v>
      </c>
      <c r="P62" s="47">
        <f ca="1">IF(M62&gt;0,N62*100/M62,0)</f>
        <v>49.434543744120411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IFERROR(__xludf.DUMMYFUNCTION("IMPORTRANGE(""https://docs.google.com/spreadsheets/d/1-uDff_7J0KD5mKrp0Vvzr7lt3OU09vwQwhkpOPPYv2Y/edit?usp=sharing"",""งบพรบ!AC87"")"),318900)</f>
        <v>318900</v>
      </c>
      <c r="M64" s="47">
        <f ca="1">IFERROR(__xludf.DUMMYFUNCTION("IMPORTRANGE(""https://docs.google.com/spreadsheets/d/1-uDff_7J0KD5mKrp0Vvzr7lt3OU09vwQwhkpOPPYv2Y/edit?usp=sharing"",""งบพรบ!AH87"")"),318900)</f>
        <v>318900</v>
      </c>
      <c r="N64" s="47">
        <f ca="1">IFERROR(__xludf.DUMMYFUNCTION("IMPORTRANGE(""https://docs.google.com/spreadsheets/d/1-uDff_7J0KD5mKrp0Vvzr7lt3OU09vwQwhkpOPPYv2Y/edit?usp=sharing"",""งบพรบ!AJ87"")"),157646.76)</f>
        <v>157646.76</v>
      </c>
      <c r="O64" s="47">
        <f ca="1">IF(L64&gt;0,N64*100/L64,0)</f>
        <v>49.434543744120411</v>
      </c>
      <c r="P64" s="47">
        <f ca="1">IF(M64&gt;0,N64*100/M64,0)</f>
        <v>49.434543744120411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IFERROR(__xludf.DUMMYFUNCTION("IMPORTRANGE(""https://docs.google.com/spreadsheets/d/1-uDff_7J0KD5mKrp0Vvzr7lt3OU09vwQwhkpOPPYv2Y/edit?usp=sharing"",""งบพรบ!AF87"")"),0)</f>
        <v>0</v>
      </c>
      <c r="M67" s="111">
        <f ca="1">IFERROR(__xludf.DUMMYFUNCTION("IMPORTRANGE(""https://docs.google.com/spreadsheets/d/1-uDff_7J0KD5mKrp0Vvzr7lt3OU09vwQwhkpOPPYv2Y/edit?usp=sharing"",""งบพรบ!AI87"")"),0)</f>
        <v>0</v>
      </c>
      <c r="N67" s="111">
        <f ca="1">IFERROR(__xludf.DUMMYFUNCTION("IMPORTRANGE(""https://docs.google.com/spreadsheets/d/1-uDff_7J0KD5mKrp0Vvzr7lt3OU09vwQwhkpOPPYv2Y/edit?usp=sharing"",""งบพรบ!AK87"")"),0)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0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IFERROR(__xludf.DUMMYFUNCTION("IMPORTRANGE(""https://docs.google.com/spreadsheets/d/1-uDff_7J0KD5mKrp0Vvzr7lt3OU09vwQwhkpOPPYv2Y/edit?usp=sharing"",""งบพรบ!AM87"")"),0)</f>
        <v>0</v>
      </c>
      <c r="M77" s="47">
        <f ca="1">IFERROR(__xludf.DUMMYFUNCTION("IMPORTRANGE(""https://docs.google.com/spreadsheets/d/1-uDff_7J0KD5mKrp0Vvzr7lt3OU09vwQwhkpOPPYv2Y/edit?usp=sharing"",""งบพรบ!AR87"")"),0)</f>
        <v>0</v>
      </c>
      <c r="N77" s="47">
        <f ca="1">IFERROR(__xludf.DUMMYFUNCTION("IMPORTRANGE(""https://docs.google.com/spreadsheets/d/1-uDff_7J0KD5mKrp0Vvzr7lt3OU09vwQwhkpOPPYv2Y/edit?usp=sharing"",""งบพรบ!AT87"")"),0)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IFERROR(__xludf.DUMMYFUNCTION("IMPORTRANGE(""https://docs.google.com/spreadsheets/d/1ItG2mGa2ceCfYo0BwxsXqNm01IGEUdYcSSLTEv9YCik/edit?usp=sharing"",""เบิกจ่ายกองทุน!BH87"")"),0)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IFERROR(__xludf.DUMMYFUNCTION("IMPORTRANGE(""https://docs.google.com/spreadsheets/d/1ItG2mGa2ceCfYo0BwxsXqNm01IGEUdYcSSLTEv9YCik/edit?usp=sharing"",""เบิกจ่ายกองทุน!BI87"")"),0)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IFERROR(__xludf.DUMMYFUNCTION("IMPORTRANGE(""https://docs.google.com/spreadsheets/d/1ItG2mGa2ceCfYo0BwxsXqNm01IGEUdYcSSLTEv9YCik/edit?usp=sharing"",""เบิกจ่ายกองทุน!BJ87"")"),0)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IFERROR(__xludf.DUMMYFUNCTION("IMPORTRANGE(""https://docs.google.com/spreadsheets/d/1-uDff_7J0KD5mKrp0Vvzr7lt3OU09vwQwhkpOPPYv2Y/edit?usp=sharing"",""งบพรบ!AP87"")"),0)</f>
        <v>0</v>
      </c>
      <c r="M80" s="47">
        <f ca="1">IFERROR(__xludf.DUMMYFUNCTION("IMPORTRANGE(""https://docs.google.com/spreadsheets/d/1-uDff_7J0KD5mKrp0Vvzr7lt3OU09vwQwhkpOPPYv2Y/edit?usp=sharing"",""งบพรบ!AS87"")"),0)</f>
        <v>0</v>
      </c>
      <c r="N80" s="47">
        <f ca="1">IFERROR(__xludf.DUMMYFUNCTION("IMPORTRANGE(""https://docs.google.com/spreadsheets/d/1-uDff_7J0KD5mKrp0Vvzr7lt3OU09vwQwhkpOPPYv2Y/edit?usp=sharing"",""งบพรบ!AU87"")"),0)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IFERROR(__xludf.DUMMYFUNCTION("IMPORTRANGE(""https://docs.google.com/spreadsheets/d/1ItG2mGa2ceCfYo0BwxsXqNm01IGEUdYcSSLTEv9YCik/edit?usp=sharing"",""เบิกจ่ายกองทุน!BK87"")"),0)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IFERROR(__xludf.DUMMYFUNCTION("IMPORTRANGE(""https://docs.google.com/spreadsheets/d/1ItG2mGa2ceCfYo0BwxsXqNm01IGEUdYcSSLTEv9YCik/edit?usp=sharing"",""เบิกจ่ายกองทุน!BL87"")"),0)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IFERROR(__xludf.DUMMYFUNCTION("IMPORTRANGE(""https://docs.google.com/spreadsheets/d/1ItG2mGa2ceCfYo0BwxsXqNm01IGEUdYcSSLTEv9YCik/edit?usp=sharing"",""เบิกจ่ายกองทุน!BM87"")"),0)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IFERROR(__xludf.DUMMYFUNCTION("IMPORTRANGE(""https://docs.google.com/spreadsheets/d/1eHaY18a8A9IcSdp1K8H6x8fbOy06t2VsZHhMHf-1x7Y/edit?usp=sharing"",""แผน!H87"")"),0)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IFERROR(__xludf.DUMMYFUNCTION("IMPORTRANGE(""https://docs.google.com/spreadsheets/d/1eHaY18a8A9IcSdp1K8H6x8fbOy06t2VsZHhMHf-1x7Y/edit?usp=sharing"",""แผน!I87"")"),0)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IFERROR(__xludf.DUMMYFUNCTION("IMPORTRANGE(""https://docs.google.com/spreadsheets/d/1eHaY18a8A9IcSdp1K8H6x8fbOy06t2VsZHhMHf-1x7Y/edit?usp=sharing"",""แผน!F87"")"),0)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IFERROR(__xludf.DUMMYFUNCTION("IMPORTRANGE(""https://docs.google.com/spreadsheets/d/1eHaY18a8A9IcSdp1K8H6x8fbOy06t2VsZHhMHf-1x7Y/edit?usp=sharing"",""แผน!G87"")"),0)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IFERROR(__xludf.DUMMYFUNCTION("IMPORTRANGE(""https://docs.google.com/spreadsheets/d/1eHaY18a8A9IcSdp1K8H6x8fbOy06t2VsZHhMHf-1x7Y/edit?usp=sharing"",""แผน!D87"")"),0)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IFERROR(__xludf.DUMMYFUNCTION("IMPORTRANGE(""https://docs.google.com/spreadsheets/d/1eHaY18a8A9IcSdp1K8H6x8fbOy06t2VsZHhMHf-1x7Y/edit?usp=sharing"",""แผน!E87"")"),0)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IFERROR(__xludf.DUMMYFUNCTION("IMPORTRANGE(""https://docs.google.com/spreadsheets/d/1eHaY18a8A9IcSdp1K8H6x8fbOy06t2VsZHhMHf-1x7Y/edit?usp=sharing"",""แผน!J87"")"),0)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0</v>
      </c>
      <c r="K92" s="35">
        <f ca="1">IF(I92&gt;0,J92*100/I92,0)</f>
        <v>0</v>
      </c>
      <c r="L92" s="58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0</v>
      </c>
      <c r="K93" s="35">
        <f ca="1">IF(I93&gt;0,J93*100/I93,0)</f>
        <v>0</v>
      </c>
      <c r="L93" s="58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590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6000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6000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84420</v>
      </c>
      <c r="R96" s="47">
        <f ca="1">R99+R102</f>
        <v>84420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6000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84420</v>
      </c>
      <c r="R97" s="47">
        <f ca="1">R98+R99</f>
        <v>84420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IFERROR(__xludf.DUMMYFUNCTION("IMPORTRANGE(""https://docs.google.com/spreadsheets/d/1-uDff_7J0KD5mKrp0Vvzr7lt3OU09vwQwhkpOPPYv2Y/edit?usp=sharing"",""งบพรบ!AW87"")"),0)</f>
        <v>0</v>
      </c>
      <c r="M99" s="47">
        <f ca="1">IFERROR(__xludf.DUMMYFUNCTION("IMPORTRANGE(""https://docs.google.com/spreadsheets/d/1-uDff_7J0KD5mKrp0Vvzr7lt3OU09vwQwhkpOPPYv2Y/edit?usp=sharing"",""งบพรบ!BB87"")"),6000)</f>
        <v>6000</v>
      </c>
      <c r="N99" s="47">
        <f ca="1">IFERROR(__xludf.DUMMYFUNCTION("IMPORTRANGE(""https://docs.google.com/spreadsheets/d/1-uDff_7J0KD5mKrp0Vvzr7lt3OU09vwQwhkpOPPYv2Y/edit?usp=sharing"",""งบพรบ!BD87"")"),0)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IFERROR(__xludf.DUMMYFUNCTION("IMPORTRANGE(""https://docs.google.com/spreadsheets/d/1ItG2mGa2ceCfYo0BwxsXqNm01IGEUdYcSSLTEv9YCik/edit?usp=sharing"",""เบิกจ่ายกองทุน!AJ87"")"),84420)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IFERROR(__xludf.DUMMYFUNCTION("IMPORTRANGE(""https://docs.google.com/spreadsheets/d/1ItG2mGa2ceCfYo0BwxsXqNm01IGEUdYcSSLTEv9YCik/edit?usp=sharing"",""เบิกจ่ายกองทุน!AK87"")"),84420)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IFERROR(__xludf.DUMMYFUNCTION("IMPORTRANGE(""https://docs.google.com/spreadsheets/d/1ItG2mGa2ceCfYo0BwxsXqNm01IGEUdYcSSLTEv9YCik/edit?usp=sharing"",""เบิกจ่ายกองทุน!AL87"")"),0)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IFERROR(__xludf.DUMMYFUNCTION("IMPORTRANGE(""https://docs.google.com/spreadsheets/d/1-uDff_7J0KD5mKrp0Vvzr7lt3OU09vwQwhkpOPPYv2Y/edit?usp=sharing"",""งบพรบ!AZ87"")"),0)</f>
        <v>0</v>
      </c>
      <c r="M102" s="47">
        <f ca="1">IFERROR(__xludf.DUMMYFUNCTION("IMPORTRANGE(""https://docs.google.com/spreadsheets/d/1-uDff_7J0KD5mKrp0Vvzr7lt3OU09vwQwhkpOPPYv2Y/edit?usp=sharing"",""งบพรบ!BC87"")"),0)</f>
        <v>0</v>
      </c>
      <c r="N102" s="47">
        <f ca="1">IFERROR(__xludf.DUMMYFUNCTION("IMPORTRANGE(""https://docs.google.com/spreadsheets/d/1-uDff_7J0KD5mKrp0Vvzr7lt3OU09vwQwhkpOPPYv2Y/edit?usp=sharing"",""งบพรบ!BE87"")"),0)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1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1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1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IFERROR(__xludf.DUMMYFUNCTION("IMPORTRANGE(""https://docs.google.com/spreadsheets/d/1eHaY18a8A9IcSdp1K8H6x8fbOy06t2VsZHhMHf-1x7Y/edit?usp=sharing"",""แผน!N87"")"),30)</f>
        <v>30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IFERROR(__xludf.DUMMYFUNCTION("IMPORTRANGE(""https://docs.google.com/spreadsheets/d/1eHaY18a8A9IcSdp1K8H6x8fbOy06t2VsZHhMHf-1x7Y/edit?usp=sharing"",""แผน!O87"")"),10)</f>
        <v>10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1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1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1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IFERROR(__xludf.DUMMYFUNCTION("IMPORTRANGE(""https://docs.google.com/spreadsheets/d/1eHaY18a8A9IcSdp1K8H6x8fbOy06t2VsZHhMHf-1x7Y/edit?usp=sharing"",""แผน!N87"")"),30)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IFERROR(__xludf.DUMMYFUNCTION("IMPORTRANGE(""https://docs.google.com/spreadsheets/d/1eHaY18a8A9IcSdp1K8H6x8fbOy06t2VsZHhMHf-1x7Y/edit?usp=sharing"",""แผน!O87"")"),10)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10</v>
      </c>
      <c r="J116" s="127">
        <f>J127</f>
        <v>10</v>
      </c>
      <c r="K116" s="35">
        <f ca="1">IF(I116&gt;0,J116*100/I116,0)</f>
        <v>100</v>
      </c>
      <c r="L116" s="58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9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173660</v>
      </c>
      <c r="R117" s="132">
        <f ca="1">R118+R119</f>
        <v>173660</v>
      </c>
      <c r="S117" s="132">
        <f ca="1">S118+S119</f>
        <v>75780</v>
      </c>
      <c r="T117" s="132">
        <f ca="1">IF(Q117&gt;0,S117*100/Q117,0)</f>
        <v>43.636991823102612</v>
      </c>
      <c r="U117" s="132">
        <f ca="1">IF(R117&gt;0,S117*100/R117,0)</f>
        <v>43.636991823102612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173660</v>
      </c>
      <c r="R119" s="47">
        <f ca="1">R122+R125</f>
        <v>173660</v>
      </c>
      <c r="S119" s="47">
        <f ca="1">S122+S125</f>
        <v>75780</v>
      </c>
      <c r="T119" s="47">
        <f ca="1">IF(Q119&gt;0,S119*100/Q119,0)</f>
        <v>43.636991823102612</v>
      </c>
      <c r="U119" s="47">
        <f ca="1">IF(R119&gt;0,S119*100/R119,0)</f>
        <v>43.636991823102612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173660</v>
      </c>
      <c r="R120" s="47">
        <f ca="1">R121+R122</f>
        <v>173660</v>
      </c>
      <c r="S120" s="47">
        <f ca="1">S121+S122</f>
        <v>75780</v>
      </c>
      <c r="T120" s="47">
        <f ca="1">IF(Q120&gt;0,S120*100/Q120,0)</f>
        <v>43.636991823102612</v>
      </c>
      <c r="U120" s="47">
        <f ca="1">IF(R120&gt;0,S120*100/R120,0)</f>
        <v>43.636991823102612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IFERROR(__xludf.DUMMYFUNCTION("IMPORTRANGE(""https://docs.google.com/spreadsheets/d/1-uDff_7J0KD5mKrp0Vvzr7lt3OU09vwQwhkpOPPYv2Y/edit?usp=sharing"",""งบพรบ!BG87"")"),0)</f>
        <v>0</v>
      </c>
      <c r="M122" s="47">
        <f ca="1">IFERROR(__xludf.DUMMYFUNCTION("IMPORTRANGE(""https://docs.google.com/spreadsheets/d/1-uDff_7J0KD5mKrp0Vvzr7lt3OU09vwQwhkpOPPYv2Y/edit?usp=sharing"",""งบพรบ!BL87"")"),0)</f>
        <v>0</v>
      </c>
      <c r="N122" s="47">
        <f ca="1">IFERROR(__xludf.DUMMYFUNCTION("IMPORTRANGE(""https://docs.google.com/spreadsheets/d/1-uDff_7J0KD5mKrp0Vvzr7lt3OU09vwQwhkpOPPYv2Y/edit?usp=sharing"",""งบพรบ!BN87"")"),0)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IFERROR(__xludf.DUMMYFUNCTION("IMPORTRANGE(""https://docs.google.com/spreadsheets/d/1ItG2mGa2ceCfYo0BwxsXqNm01IGEUdYcSSLTEv9YCik/edit?usp=sharing"",""เบิกจ่ายกองทุน!U87"")"),173660)</f>
        <v>173660</v>
      </c>
      <c r="R122" s="47">
        <f ca="1">IFERROR(__xludf.DUMMYFUNCTION("IMPORTRANGE(""https://docs.google.com/spreadsheets/d/1ItG2mGa2ceCfYo0BwxsXqNm01IGEUdYcSSLTEv9YCik/edit?usp=sharing"",""เบิกจ่ายกองทุน!V87"")"),173660)</f>
        <v>173660</v>
      </c>
      <c r="S122" s="47">
        <f ca="1">IFERROR(__xludf.DUMMYFUNCTION("IMPORTRANGE(""https://docs.google.com/spreadsheets/d/1ItG2mGa2ceCfYo0BwxsXqNm01IGEUdYcSSLTEv9YCik/edit?usp=sharing"",""เบิกจ่ายกองทุน!W87"")"),75780)</f>
        <v>75780</v>
      </c>
      <c r="T122" s="47">
        <f ca="1">IF(Q122&gt;0,S122*100/Q122,0)</f>
        <v>43.636991823102612</v>
      </c>
      <c r="U122" s="47">
        <f ca="1">IF(R122&gt;0,S122*100/R122,0)</f>
        <v>43.636991823102612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IFERROR(__xludf.DUMMYFUNCTION("IMPORTRANGE(""https://docs.google.com/spreadsheets/d/1-uDff_7J0KD5mKrp0Vvzr7lt3OU09vwQwhkpOPPYv2Y/edit?usp=sharing"",""งบพรบ!BJ87"")"),0)</f>
        <v>0</v>
      </c>
      <c r="M125" s="47">
        <f ca="1">IFERROR(__xludf.DUMMYFUNCTION("IMPORTRANGE(""https://docs.google.com/spreadsheets/d/1-uDff_7J0KD5mKrp0Vvzr7lt3OU09vwQwhkpOPPYv2Y/edit?usp=sharing"",""งบพรบ!BM87"")"),0)</f>
        <v>0</v>
      </c>
      <c r="N125" s="47">
        <f ca="1">IFERROR(__xludf.DUMMYFUNCTION("IMPORTRANGE(""https://docs.google.com/spreadsheets/d/1-uDff_7J0KD5mKrp0Vvzr7lt3OU09vwQwhkpOPPYv2Y/edit?usp=sharing"",""งบพรบ!BO87"")"),0)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IFERROR(__xludf.DUMMYFUNCTION("IMPORTRANGE(""https://docs.google.com/spreadsheets/d/1ItG2mGa2ceCfYo0BwxsXqNm01IGEUdYcSSLTEv9YCik/edit?usp=sharing"",""เบิกจ่ายกองทุน!X87"")"),0)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IFERROR(__xludf.DUMMYFUNCTION("IMPORTRANGE(""https://docs.google.com/spreadsheets/d/1ItG2mGa2ceCfYo0BwxsXqNm01IGEUdYcSSLTEv9YCik/edit?usp=sharing"",""เบิกจ่ายกองทุน!Y87"")"),0)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IFERROR(__xludf.DUMMYFUNCTION("IMPORTRANGE(""https://docs.google.com/spreadsheets/d/1ItG2mGa2ceCfYo0BwxsXqNm01IGEUdYcSSLTEv9YCik/edit?usp=sharing"",""เบิกจ่ายกองทุน!Z87"")"),0)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IFERROR(__xludf.DUMMYFUNCTION("IMPORTRANGE(""https://docs.google.com/spreadsheets/d/1eHaY18a8A9IcSdp1K8H6x8fbOy06t2VsZHhMHf-1x7Y/edit?usp=sharing"",""แผน!FF87"")"),10)</f>
        <v>10</v>
      </c>
      <c r="J127" s="167">
        <v>10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IFERROR(__xludf.DUMMYFUNCTION("IMPORTRANGE(""https://docs.google.com/spreadsheets/d/1eHaY18a8A9IcSdp1K8H6x8fbOy06t2VsZHhMHf-1x7Y/edit?usp=sharing"",""แผน!FG87"")"),0)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IFERROR(__xludf.DUMMYFUNCTION("IMPORTRANGE(""https://docs.google.com/spreadsheets/d/1eHaY18a8A9IcSdp1K8H6x8fbOy06t2VsZHhMHf-1x7Y/edit?usp=sharing"",""แผน!FH87"")"),10)</f>
        <v>10</v>
      </c>
      <c r="J129" s="167">
        <v>10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IFERROR(__xludf.DUMMYFUNCTION("IMPORTRANGE(""https://docs.google.com/spreadsheets/d/1eHaY18a8A9IcSdp1K8H6x8fbOy06t2VsZHhMHf-1x7Y/edit?usp=sharing"",""แผน!FI87"")"),0)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1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IFERROR(__xludf.DUMMYFUNCTION("IMPORTRANGE(""https://docs.google.com/spreadsheets/d/1-uDff_7J0KD5mKrp0Vvzr7lt3OU09vwQwhkpOPPYv2Y/edit?usp=sharing"",""งบพรบ!BQ87"")"),0)</f>
        <v>0</v>
      </c>
      <c r="M144" s="47">
        <f ca="1">IFERROR(__xludf.DUMMYFUNCTION("IMPORTRANGE(""https://docs.google.com/spreadsheets/d/1-uDff_7J0KD5mKrp0Vvzr7lt3OU09vwQwhkpOPPYv2Y/edit?usp=sharing"",""งบพรบ!BV87"")"),0)</f>
        <v>0</v>
      </c>
      <c r="N144" s="47">
        <f ca="1">IFERROR(__xludf.DUMMYFUNCTION("IMPORTRANGE(""https://docs.google.com/spreadsheets/d/1-uDff_7J0KD5mKrp0Vvzr7lt3OU09vwQwhkpOPPYv2Y/edit?usp=sharing"",""งบพรบ!BX87"")"),0)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IFERROR(__xludf.DUMMYFUNCTION("IMPORTRANGE(""https://docs.google.com/spreadsheets/d/1ItG2mGa2ceCfYo0BwxsXqNm01IGEUdYcSSLTEv9YCik/edit?usp=sharing"",""เบิกจ่ายกองทุน!CF87"")"),0)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IFERROR(__xludf.DUMMYFUNCTION("IMPORTRANGE(""https://docs.google.com/spreadsheets/d/1ItG2mGa2ceCfYo0BwxsXqNm01IGEUdYcSSLTEv9YCik/edit?usp=sharing"",""เบิกจ่ายกองทุน!CG87"")"),0)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IFERROR(__xludf.DUMMYFUNCTION("IMPORTRANGE(""https://docs.google.com/spreadsheets/d/1ItG2mGa2ceCfYo0BwxsXqNm01IGEUdYcSSLTEv9YCik/edit?usp=sharing"",""เบิกจ่ายกองทุน!CH87"")"),0)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IFERROR(__xludf.DUMMYFUNCTION("IMPORTRANGE(""https://docs.google.com/spreadsheets/d/1-uDff_7J0KD5mKrp0Vvzr7lt3OU09vwQwhkpOPPYv2Y/edit?usp=sharing"",""งบพรบ!BT87"")"),0)</f>
        <v>0</v>
      </c>
      <c r="M147" s="47">
        <f ca="1">IFERROR(__xludf.DUMMYFUNCTION("IMPORTRANGE(""https://docs.google.com/spreadsheets/d/1-uDff_7J0KD5mKrp0Vvzr7lt3OU09vwQwhkpOPPYv2Y/edit?usp=sharing"",""งบพรบ!BW87"")"),0)</f>
        <v>0</v>
      </c>
      <c r="N147" s="47">
        <f ca="1">IFERROR(__xludf.DUMMYFUNCTION("IMPORTRANGE(""https://docs.google.com/spreadsheets/d/1-uDff_7J0KD5mKrp0Vvzr7lt3OU09vwQwhkpOPPYv2Y/edit?usp=sharing"",""งบพรบ!BY87"")"),0)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IFERROR(__xludf.DUMMYFUNCTION("IMPORTRANGE(""https://docs.google.com/spreadsheets/d/1ItG2mGa2ceCfYo0BwxsXqNm01IGEUdYcSSLTEv9YCik/edit?usp=sharing"",""เบิกจ่ายกองทุน!CI87"")"),0)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IFERROR(__xludf.DUMMYFUNCTION("IMPORTRANGE(""https://docs.google.com/spreadsheets/d/1ItG2mGa2ceCfYo0BwxsXqNm01IGEUdYcSSLTEv9YCik/edit?usp=sharing"",""เบิกจ่ายกองทุน!CJ87"")"),0)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IFERROR(__xludf.DUMMYFUNCTION("IMPORTRANGE(""https://docs.google.com/spreadsheets/d/1ItG2mGa2ceCfYo0BwxsXqNm01IGEUdYcSSLTEv9YCik/edit?usp=sharing"",""เบิกจ่ายกองทุน!CK87"")"),0)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IFERROR(__xludf.DUMMYFUNCTION("IMPORTRANGE(""https://docs.google.com/spreadsheets/d/1eHaY18a8A9IcSdp1K8H6x8fbOy06t2VsZHhMHf-1x7Y/edit?usp=sharing"",""แผน!U87"")"),0)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IFERROR(__xludf.DUMMYFUNCTION("IMPORTRANGE(""https://docs.google.com/spreadsheets/d/1eHaY18a8A9IcSdp1K8H6x8fbOy06t2VsZHhMHf-1x7Y/edit?usp=sharing"",""แผน!V87"")"),0)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IFERROR(__xludf.DUMMYFUNCTION("IMPORTRANGE(""https://docs.google.com/spreadsheets/d/1eHaY18a8A9IcSdp1K8H6x8fbOy06t2VsZHhMHf-1x7Y/edit?usp=sharing"",""แผน!W87"")"),0)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IFERROR(__xludf.DUMMYFUNCTION("IMPORTRANGE(""https://docs.google.com/spreadsheets/d/1eHaY18a8A9IcSdp1K8H6x8fbOy06t2VsZHhMHf-1x7Y/edit?usp=sharing"",""แผน!X87"")"),0)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IFERROR(__xludf.DUMMYFUNCTION("IMPORTRANGE(""https://docs.google.com/spreadsheets/d/1eHaY18a8A9IcSdp1K8H6x8fbOy06t2VsZHhMHf-1x7Y/edit?usp=sharing"",""แผน!Y87"")"),0)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59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13340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13340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13340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IFERROR(__xludf.DUMMYFUNCTION("IMPORTRANGE(""https://docs.google.com/spreadsheets/d/1-uDff_7J0KD5mKrp0Vvzr7lt3OU09vwQwhkpOPPYv2Y/edit?usp=sharing"",""งบพรบ!CA87"")"),0)</f>
        <v>0</v>
      </c>
      <c r="M162" s="47">
        <f ca="1">IFERROR(__xludf.DUMMYFUNCTION("IMPORTRANGE(""https://docs.google.com/spreadsheets/d/1-uDff_7J0KD5mKrp0Vvzr7lt3OU09vwQwhkpOPPYv2Y/edit?usp=sharing"",""งบพรบ!CF87"")"),13340)</f>
        <v>13340</v>
      </c>
      <c r="N162" s="47">
        <f ca="1">IFERROR(__xludf.DUMMYFUNCTION("IMPORTRANGE(""https://docs.google.com/spreadsheets/d/1-uDff_7J0KD5mKrp0Vvzr7lt3OU09vwQwhkpOPPYv2Y/edit?usp=sharing"",""งบพรบ!CH87"")"),0)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IFERROR(__xludf.DUMMYFUNCTION("IMPORTRANGE(""https://docs.google.com/spreadsheets/d/1ItG2mGa2ceCfYo0BwxsXqNm01IGEUdYcSSLTEv9YCik/edit?usp=sharing"",""เบิกจ่ายกองทุน!AM87"")"),0)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IFERROR(__xludf.DUMMYFUNCTION("IMPORTRANGE(""https://docs.google.com/spreadsheets/d/1ItG2mGa2ceCfYo0BwxsXqNm01IGEUdYcSSLTEv9YCik/edit?usp=sharing"",""เบิกจ่ายกองทุน!AN87"")"),0)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IFERROR(__xludf.DUMMYFUNCTION("IMPORTRANGE(""https://docs.google.com/spreadsheets/d/1ItG2mGa2ceCfYo0BwxsXqNm01IGEUdYcSSLTEv9YCik/edit?usp=sharing"",""เบิกจ่ายกองทุน!AO87"")"),0)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IFERROR(__xludf.DUMMYFUNCTION("IMPORTRANGE(""https://docs.google.com/spreadsheets/d/1-uDff_7J0KD5mKrp0Vvzr7lt3OU09vwQwhkpOPPYv2Y/edit?usp=sharing"",""งบพรบ!CD87"")"),0)</f>
        <v>0</v>
      </c>
      <c r="M165" s="47">
        <f ca="1">IFERROR(__xludf.DUMMYFUNCTION("IMPORTRANGE(""https://docs.google.com/spreadsheets/d/1-uDff_7J0KD5mKrp0Vvzr7lt3OU09vwQwhkpOPPYv2Y/edit?usp=sharing"",""งบพรบ!CG87"")"),0)</f>
        <v>0</v>
      </c>
      <c r="N165" s="47">
        <f ca="1">IFERROR(__xludf.DUMMYFUNCTION("IMPORTRANGE(""https://docs.google.com/spreadsheets/d/1-uDff_7J0KD5mKrp0Vvzr7lt3OU09vwQwhkpOPPYv2Y/edit?usp=sharing"",""งบพรบ!CI87"")"),0)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IFERROR(__xludf.DUMMYFUNCTION("IMPORTRANGE(""https://docs.google.com/spreadsheets/d/1eHaY18a8A9IcSdp1K8H6x8fbOy06t2VsZHhMHf-1x7Y/edit?usp=sharing"",""แผน!Z87"")"),0)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IFERROR(__xludf.DUMMYFUNCTION("IMPORTRANGE(""https://docs.google.com/spreadsheets/d/1eHaY18a8A9IcSdp1K8H6x8fbOy06t2VsZHhMHf-1x7Y/edit?usp=sharing"",""แผน!Z87"")"),0)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IFERROR(__xludf.DUMMYFUNCTION("IMPORTRANGE(""https://docs.google.com/spreadsheets/d/1eHaY18a8A9IcSdp1K8H6x8fbOy06t2VsZHhMHf-1x7Y/edit?usp=sharing"",""แผน!Z87"")"),0)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9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40300</v>
      </c>
      <c r="N173" s="132">
        <f ca="1">N174+N175</f>
        <v>40300</v>
      </c>
      <c r="O173" s="132">
        <f ca="1">IF(L173&gt;0,N173*100/L173,0)</f>
        <v>205.71720265441553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40300</v>
      </c>
      <c r="N175" s="47">
        <f ca="1">N178+N181</f>
        <v>40300</v>
      </c>
      <c r="O175" s="47">
        <f ca="1">IF(L175&gt;0,N175*100/L175,0)</f>
        <v>205.71720265441553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40300</v>
      </c>
      <c r="N176" s="47">
        <f ca="1">N177+N178</f>
        <v>40300</v>
      </c>
      <c r="O176" s="47">
        <f ca="1">IF(L176&gt;0,N176*100/L176,0)</f>
        <v>205.71720265441553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IFERROR(__xludf.DUMMYFUNCTION("IMPORTRANGE(""https://docs.google.com/spreadsheets/d/1-uDff_7J0KD5mKrp0Vvzr7lt3OU09vwQwhkpOPPYv2Y/edit?usp=sharing"",""งบพรบ!CK87"")"),19590)</f>
        <v>19590</v>
      </c>
      <c r="M178" s="47">
        <f ca="1">IFERROR(__xludf.DUMMYFUNCTION("IMPORTRANGE(""https://docs.google.com/spreadsheets/d/1-uDff_7J0KD5mKrp0Vvzr7lt3OU09vwQwhkpOPPYv2Y/edit?usp=sharing"",""งบพรบ!CP87"")"),40300)</f>
        <v>40300</v>
      </c>
      <c r="N178" s="47">
        <f ca="1">IFERROR(__xludf.DUMMYFUNCTION("IMPORTRANGE(""https://docs.google.com/spreadsheets/d/1-uDff_7J0KD5mKrp0Vvzr7lt3OU09vwQwhkpOPPYv2Y/edit?usp=sharing"",""งบพรบ!CR87"")"),40300)</f>
        <v>40300</v>
      </c>
      <c r="O178" s="47">
        <f ca="1">IF(L178&gt;0,N178*100/L178,0)</f>
        <v>205.71720265441553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IFERROR(__xludf.DUMMYFUNCTION("IMPORTRANGE(""https://docs.google.com/spreadsheets/d/1ItG2mGa2ceCfYo0BwxsXqNm01IGEUdYcSSLTEv9YCik/edit?usp=sharing"",""เบิกจ่ายกองทุน!DG87"")"),0)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IFERROR(__xludf.DUMMYFUNCTION("IMPORTRANGE(""https://docs.google.com/spreadsheets/d/1ItG2mGa2ceCfYo0BwxsXqNm01IGEUdYcSSLTEv9YCik/edit?usp=sharing"",""เบิกจ่ายกองทุน!DH87"")"),0)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IFERROR(__xludf.DUMMYFUNCTION("IMPORTRANGE(""https://docs.google.com/spreadsheets/d/1ItG2mGa2ceCfYo0BwxsXqNm01IGEUdYcSSLTEv9YCik/edit?usp=sharing"",""เบิกจ่ายกองทุน!DI87"")"),0)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IFERROR(__xludf.DUMMYFUNCTION("IMPORTRANGE(""https://docs.google.com/spreadsheets/d/1-uDff_7J0KD5mKrp0Vvzr7lt3OU09vwQwhkpOPPYv2Y/edit?usp=sharing"",""งบพรบ!CN87"")"),0)</f>
        <v>0</v>
      </c>
      <c r="M181" s="47">
        <f ca="1">IFERROR(__xludf.DUMMYFUNCTION("IMPORTRANGE(""https://docs.google.com/spreadsheets/d/1-uDff_7J0KD5mKrp0Vvzr7lt3OU09vwQwhkpOPPYv2Y/edit?usp=sharing"",""งบพรบ!CQ87"")"),0)</f>
        <v>0</v>
      </c>
      <c r="N181" s="47">
        <f ca="1">IFERROR(__xludf.DUMMYFUNCTION("IMPORTRANGE(""https://docs.google.com/spreadsheets/d/1-uDff_7J0KD5mKrp0Vvzr7lt3OU09vwQwhkpOPPYv2Y/edit?usp=sharing"",""งบพรบ!CS87"")"),0)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IFERROR(__xludf.DUMMYFUNCTION("IMPORTRANGE(""https://docs.google.com/spreadsheets/d/1eHaY18a8A9IcSdp1K8H6x8fbOy06t2VsZHhMHf-1x7Y/edit?usp=sharing"",""แผน!AA87"")"),7)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9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400000</v>
      </c>
      <c r="M186" s="132">
        <f ca="1">M187+M188</f>
        <v>409700</v>
      </c>
      <c r="N186" s="132">
        <f ca="1">N187+N188</f>
        <v>205567.61</v>
      </c>
      <c r="O186" s="132">
        <f ca="1">IF(L186&gt;0,N186*100/L186,0)</f>
        <v>51.3919025</v>
      </c>
      <c r="P186" s="132">
        <f ca="1">IF(M186&gt;0,N186*100/M186,0)</f>
        <v>50.175154991457163</v>
      </c>
      <c r="Q186" s="132">
        <f ca="1">Q187+Q188</f>
        <v>28000</v>
      </c>
      <c r="R186" s="132">
        <f ca="1">R187+R188</f>
        <v>28000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400000</v>
      </c>
      <c r="M188" s="47">
        <f ca="1">M191+M194</f>
        <v>409700</v>
      </c>
      <c r="N188" s="47">
        <f ca="1">N191+N194</f>
        <v>205567.61</v>
      </c>
      <c r="O188" s="47">
        <f ca="1">IF(L188&gt;0,N188*100/L188,0)</f>
        <v>51.3919025</v>
      </c>
      <c r="P188" s="47">
        <f ca="1">IF(M188&gt;0,N188*100/M188,0)</f>
        <v>50.175154991457163</v>
      </c>
      <c r="Q188" s="47">
        <f ca="1">Q191+Q194</f>
        <v>28000</v>
      </c>
      <c r="R188" s="47">
        <f ca="1">R191+R194</f>
        <v>28000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400000</v>
      </c>
      <c r="M189" s="47">
        <f ca="1">M190+M191</f>
        <v>409700</v>
      </c>
      <c r="N189" s="47">
        <f ca="1">N190+N191</f>
        <v>205567.61</v>
      </c>
      <c r="O189" s="47">
        <f ca="1">IF(L189&gt;0,N189*100/L189,0)</f>
        <v>51.3919025</v>
      </c>
      <c r="P189" s="47">
        <f ca="1">IF(M189&gt;0,N189*100/M189,0)</f>
        <v>50.175154991457163</v>
      </c>
      <c r="Q189" s="47">
        <f ca="1">Q190+Q191</f>
        <v>28000</v>
      </c>
      <c r="R189" s="47">
        <f ca="1">R190+R191</f>
        <v>28000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IFERROR(__xludf.DUMMYFUNCTION("IMPORTRANGE(""https://docs.google.com/spreadsheets/d/1-uDff_7J0KD5mKrp0Vvzr7lt3OU09vwQwhkpOPPYv2Y/edit?usp=sharing"",""งบพรบ!CU87"")"),400000)</f>
        <v>400000</v>
      </c>
      <c r="M191" s="47">
        <f ca="1">IFERROR(__xludf.DUMMYFUNCTION("IMPORTRANGE(""https://docs.google.com/spreadsheets/d/1-uDff_7J0KD5mKrp0Vvzr7lt3OU09vwQwhkpOPPYv2Y/edit?usp=sharing"",""งบพรบ!CZ87"")"),409700)</f>
        <v>409700</v>
      </c>
      <c r="N191" s="47">
        <f ca="1">IFERROR(__xludf.DUMMYFUNCTION("IMPORTRANGE(""https://docs.google.com/spreadsheets/d/1-uDff_7J0KD5mKrp0Vvzr7lt3OU09vwQwhkpOPPYv2Y/edit?usp=sharing"",""งบพรบ!DB87"")"),205567.61)</f>
        <v>205567.61</v>
      </c>
      <c r="O191" s="47">
        <f ca="1">IF(L191&gt;0,N191*100/L191,0)</f>
        <v>51.3919025</v>
      </c>
      <c r="P191" s="47">
        <f ca="1">IF(M191&gt;0,N191*100/M191,0)</f>
        <v>50.175154991457163</v>
      </c>
      <c r="Q191" s="47">
        <f ca="1">IFERROR(__xludf.DUMMYFUNCTION("IMPORTRANGE(""https://docs.google.com/spreadsheets/d/1ItG2mGa2ceCfYo0BwxsXqNm01IGEUdYcSSLTEv9YCik/edit?usp=sharing"",""เบิกจ่ายกองทุน!BQ87"")"),28000)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IFERROR(__xludf.DUMMYFUNCTION("IMPORTRANGE(""https://docs.google.com/spreadsheets/d/1ItG2mGa2ceCfYo0BwxsXqNm01IGEUdYcSSLTEv9YCik/edit?usp=sharing"",""เบิกจ่ายกองทุน!BR87"")"),28000)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IFERROR(__xludf.DUMMYFUNCTION("IMPORTRANGE(""https://docs.google.com/spreadsheets/d/1ItG2mGa2ceCfYo0BwxsXqNm01IGEUdYcSSLTEv9YCik/edit?usp=sharing"",""เบิกจ่ายกองทุน!BS87"")"),0)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IFERROR(__xludf.DUMMYFUNCTION("IMPORTRANGE(""https://docs.google.com/spreadsheets/d/1-uDff_7J0KD5mKrp0Vvzr7lt3OU09vwQwhkpOPPYv2Y/edit?usp=sharing"",""งบพรบ!CX87"")"),0)</f>
        <v>0</v>
      </c>
      <c r="M194" s="47">
        <f ca="1">IFERROR(__xludf.DUMMYFUNCTION("IMPORTRANGE(""https://docs.google.com/spreadsheets/d/1-uDff_7J0KD5mKrp0Vvzr7lt3OU09vwQwhkpOPPYv2Y/edit?usp=sharing"",""งบพรบ!DA87"")"),0)</f>
        <v>0</v>
      </c>
      <c r="N194" s="47">
        <f ca="1">IFERROR(__xludf.DUMMYFUNCTION("IMPORTRANGE(""https://docs.google.com/spreadsheets/d/1-uDff_7J0KD5mKrp0Vvzr7lt3OU09vwQwhkpOPPYv2Y/edit?usp=sharing"",""งบพรบ!DC87"")"),0)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IFERROR(__xludf.DUMMYFUNCTION("IMPORTRANGE(""https://docs.google.com/spreadsheets/d/1ItG2mGa2ceCfYo0BwxsXqNm01IGEUdYcSSLTEv9YCik/edit?usp=sharing"",""เบิกจ่ายกองทุน!BT87"")"),0)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IFERROR(__xludf.DUMMYFUNCTION("IMPORTRANGE(""https://docs.google.com/spreadsheets/d/1ItG2mGa2ceCfYo0BwxsXqNm01IGEUdYcSSLTEv9YCik/edit?usp=sharing"",""เบิกจ่ายกองทุน!BU87"")"),0)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IFERROR(__xludf.DUMMYFUNCTION("IMPORTRANGE(""https://docs.google.com/spreadsheets/d/1ItG2mGa2ceCfYo0BwxsXqNm01IGEUdYcSSLTEv9YCik/edit?usp=sharing"",""เบิกจ่ายกองทุน!BV87"")"),0)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87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IFERROR(__xludf.DUMMYFUNCTION("IMPORTRANGE(""https://docs.google.com/spreadsheets/d/1eHaY18a8A9IcSdp1K8H6x8fbOy06t2VsZHhMHf-1x7Y/edit?usp=sharing"",""แผน!AB87"")"),6000)</f>
        <v>6000</v>
      </c>
      <c r="M196" s="46"/>
      <c r="N196" s="769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IFERROR(__xludf.DUMMYFUNCTION("IMPORTRANGE(""https://docs.google.com/spreadsheets/d/1eHaY18a8A9IcSdp1K8H6x8fbOy06t2VsZHhMHf-1x7Y/edit?usp=sharing"",""แผน!AE87"")"),4)</f>
        <v>4</v>
      </c>
      <c r="J198" s="167">
        <v>2</v>
      </c>
      <c r="K198" s="47">
        <f ca="1">IF(I198&gt;0,J198*100/I198,0)</f>
        <v>50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52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52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0</v>
      </c>
      <c r="K202" s="229">
        <f ca="1">IF(I202&gt;0,J202*100/I202,0)</f>
        <v>0</v>
      </c>
      <c r="L202" s="687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 t="e">
        <f ca="1">L204+L205+L206+L207</f>
        <v>#VALUE!</v>
      </c>
      <c r="M203" s="46"/>
      <c r="N203" s="132">
        <f>N204+N205+N206+N207</f>
        <v>0</v>
      </c>
      <c r="O203" s="132" t="e">
        <f ca="1">IF(L203&gt;0,N203*100/L203,0)</f>
        <v>#VALUE!</v>
      </c>
      <c r="P203" s="132">
        <f>IF(M203&gt;0,N203*100/M203,0)</f>
        <v>0</v>
      </c>
      <c r="Q203" s="768">
        <f ca="1">Q204+Q205+Q206+Q207</f>
        <v>28000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IFERROR(__xludf.DUMMYFUNCTION("IMPORTRANGE(""https://docs.google.com/spreadsheets/d/1eHaY18a8A9IcSdp1K8H6x8fbOy06t2VsZHhMHf-1x7Y/edit?usp=sharing"",""แผน!AG87"")"),2000)</f>
        <v>2000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IFERROR(__xludf.DUMMYFUNCTION("IMPORTRANGE(""https://docs.google.com/spreadsheets/d/1eHaY18a8A9IcSdp1K8H6x8fbOy06t2VsZHhMHf-1x7Y/edit?usp=sharing"",""แผน!AH87"")"),0)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21" customHeight="1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 t="str">
        <f ca="1">IFERROR(__xludf.DUMMYFUNCTION("IMPORTRANGE(""https://docs.google.com/spreadsheets/d/1eHaY18a8A9IcSdp1K8H6x8fbOy06t2VsZHhMHf-1x7Y/edit?usp=sharing"",""แผน!AI87"")"),"")</f>
        <v/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IFERROR(__xludf.DUMMYFUNCTION("IMPORTRANGE(""https://docs.google.com/spreadsheets/d/1eHaY18a8A9IcSdp1K8H6x8fbOy06t2VsZHhMHf-1x7Y/edit?usp=sharing"",""แผน!LV87"")"),28000)</f>
        <v>28000</v>
      </c>
      <c r="R206" s="46"/>
      <c r="S206" s="743">
        <v>0</v>
      </c>
      <c r="T206" s="136"/>
      <c r="U206" s="46"/>
    </row>
    <row r="207" spans="1:21" ht="18.75" x14ac:dyDescent="0.25">
      <c r="A207" s="387"/>
      <c r="B207" s="342"/>
      <c r="C207" s="388"/>
      <c r="D207" s="48" t="s">
        <v>89</v>
      </c>
      <c r="E207" s="388"/>
      <c r="F207" s="388"/>
      <c r="G207" s="390"/>
      <c r="H207" s="395" t="s">
        <v>14</v>
      </c>
      <c r="I207" s="896"/>
      <c r="J207" s="896"/>
      <c r="K207" s="177"/>
      <c r="L207" s="548">
        <f ca="1">IFERROR(__xludf.DUMMYFUNCTION("IMPORTRANGE(""https://docs.google.com/spreadsheets/d/1eHaY18a8A9IcSdp1K8H6x8fbOy06t2VsZHhMHf-1x7Y/edit?usp=sharing"",""แผน!AJ87"")"),8000)</f>
        <v>8000</v>
      </c>
      <c r="M207" s="46"/>
      <c r="N207" s="743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IFERROR(__xludf.DUMMYFUNCTION("IMPORTRANGE(""https://docs.google.com/spreadsheets/d/1eHaY18a8A9IcSdp1K8H6x8fbOy06t2VsZHhMHf-1x7Y/edit?usp=sharing"",""แผน!AK87"")"),2)</f>
        <v>2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IFERROR(__xludf.DUMMYFUNCTION("IMPORTRANGE(""https://docs.google.com/spreadsheets/d/1eHaY18a8A9IcSdp1K8H6x8fbOy06t2VsZHhMHf-1x7Y/edit?usp=sharing"",""แผน!JX87"")"),1)</f>
        <v>1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IFERROR(__xludf.DUMMYFUNCTION("IMPORTRANGE(""https://docs.google.com/spreadsheets/d/1eHaY18a8A9IcSdp1K8H6x8fbOy06t2VsZHhMHf-1x7Y/edit?usp=sharing"",""แผน!JY87"")"),0)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7"/>
      <c r="M213" s="230"/>
      <c r="N213" s="230"/>
      <c r="O213" s="230"/>
      <c r="P213" s="230"/>
      <c r="Q213" s="687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IFERROR(__xludf.DUMMYFUNCTION("IMPORTRANGE(""https://docs.google.com/spreadsheets/d/1eHaY18a8A9IcSdp1K8H6x8fbOy06t2VsZHhMHf-1x7Y/edit?usp=sharing"",""แผน!AM87"")"),0)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IFERROR(__xludf.DUMMYFUNCTION("IMPORTRANGE(""https://docs.google.com/spreadsheets/d/1eHaY18a8A9IcSdp1K8H6x8fbOy06t2VsZHhMHf-1x7Y/edit?usp=sharing"",""แผน!AN87"")"),0)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IFERROR(__xludf.DUMMYFUNCTION("IMPORTRANGE(""https://docs.google.com/spreadsheets/d/1eHaY18a8A9IcSdp1K8H6x8fbOy06t2VsZHhMHf-1x7Y/edit?usp=sharing"",""แผน!AO87"")"),0)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IFERROR(__xludf.DUMMYFUNCTION("IMPORTRANGE(""https://docs.google.com/spreadsheets/d/1eHaY18a8A9IcSdp1K8H6x8fbOy06t2VsZHhMHf-1x7Y/edit?usp=sharing"",""แผน!LY87"")"),0)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IFERROR(__xludf.DUMMYFUNCTION("IMPORTRANGE(""https://docs.google.com/spreadsheets/d/1eHaY18a8A9IcSdp1K8H6x8fbOy06t2VsZHhMHf-1x7Y/edit?usp=sharing"",""แผน!AP87"")"),0)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IFERROR(__xludf.DUMMYFUNCTION("IMPORTRANGE(""https://docs.google.com/spreadsheets/d/1eHaY18a8A9IcSdp1K8H6x8fbOy06t2VsZHhMHf-1x7Y/edit?usp=sharing"",""แผน!AP87"")"),0)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6400</v>
      </c>
      <c r="J221" s="228">
        <f>J229</f>
        <v>0</v>
      </c>
      <c r="K221" s="229">
        <f ca="1">IF(I221&gt;0,J221*100/I221,0)</f>
        <v>0</v>
      </c>
      <c r="L221" s="687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2000</v>
      </c>
      <c r="O222" s="132">
        <f ca="1">IF(L222&gt;0,N222*100/L222,0)</f>
        <v>44.444444444444443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IFERROR(__xludf.DUMMYFUNCTION("IMPORTRANGE(""https://docs.google.com/spreadsheets/d/1eHaY18a8A9IcSdp1K8H6x8fbOy06t2VsZHhMHf-1x7Y/edit?usp=sharing"",""แผน!AR87"")"),3000)</f>
        <v>3000</v>
      </c>
      <c r="M223" s="46"/>
      <c r="N223" s="743">
        <v>2000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IFERROR(__xludf.DUMMYFUNCTION("IMPORTRANGE(""https://docs.google.com/spreadsheets/d/1eHaY18a8A9IcSdp1K8H6x8fbOy06t2VsZHhMHf-1x7Y/edit?usp=sharing"",""แผน!AS87"")"),1500)</f>
        <v>1500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IFERROR(__xludf.DUMMYFUNCTION("IMPORTRANGE(""https://docs.google.com/spreadsheets/d/1eHaY18a8A9IcSdp1K8H6x8fbOy06t2VsZHhMHf-1x7Y/edit?usp=sharing"",""แผน!AT87"")"),0)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IFERROR(__xludf.DUMMYFUNCTION("IMPORTRANGE(""https://docs.google.com/spreadsheets/d/1eHaY18a8A9IcSdp1K8H6x8fbOy06t2VsZHhMHf-1x7Y/edit?usp=sharing"",""แผน!AV87"")"),6400)</f>
        <v>6400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IFERROR(__xludf.DUMMYFUNCTION("IMPORTRANGE(""https://docs.google.com/spreadsheets/d/1eHaY18a8A9IcSdp1K8H6x8fbOy06t2VsZHhMHf-1x7Y/edit?usp=sharing"",""แผน!AV87"")"),6400)</f>
        <v>6400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IFERROR(__xludf.DUMMYFUNCTION("IMPORTRANGE(""https://docs.google.com/spreadsheets/d/1eHaY18a8A9IcSdp1K8H6x8fbOy06t2VsZHhMHf-1x7Y/edit?usp=sharing"",""แผน!AU87"")"),0)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222"/>
      <c r="B231" s="223"/>
      <c r="C231" s="224" t="s">
        <v>105</v>
      </c>
      <c r="D231" s="225"/>
      <c r="E231" s="225"/>
      <c r="F231" s="225"/>
      <c r="G231" s="226"/>
      <c r="H231" s="227" t="s">
        <v>35</v>
      </c>
      <c r="I231" s="228">
        <f ca="1">I242+I253</f>
        <v>0</v>
      </c>
      <c r="J231" s="228">
        <f>J242+J253</f>
        <v>0</v>
      </c>
      <c r="K231" s="229">
        <f ca="1">IF(I231&gt;0,J231*100/I231,0)</f>
        <v>0</v>
      </c>
      <c r="L231" s="687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128"/>
      <c r="B232" s="41"/>
      <c r="C232" s="129" t="s">
        <v>18</v>
      </c>
      <c r="D232" s="590" t="s">
        <v>19</v>
      </c>
      <c r="E232" s="41"/>
      <c r="F232" s="41"/>
      <c r="G232" s="43"/>
      <c r="H232" s="232" t="s">
        <v>14</v>
      </c>
      <c r="I232" s="135"/>
      <c r="J232" s="135"/>
      <c r="K232" s="136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128"/>
      <c r="B233" s="159"/>
      <c r="C233" s="41"/>
      <c r="D233" s="48" t="s">
        <v>86</v>
      </c>
      <c r="E233" s="41"/>
      <c r="F233" s="41"/>
      <c r="G233" s="43"/>
      <c r="H233" s="134" t="s">
        <v>14</v>
      </c>
      <c r="I233" s="135"/>
      <c r="J233" s="135"/>
      <c r="K233" s="136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217"/>
      <c r="B234" s="159"/>
      <c r="C234" s="159"/>
      <c r="D234" s="48" t="s">
        <v>88</v>
      </c>
      <c r="E234" s="41"/>
      <c r="F234" s="41"/>
      <c r="G234" s="43"/>
      <c r="H234" s="134" t="s">
        <v>14</v>
      </c>
      <c r="I234" s="45"/>
      <c r="J234" s="45"/>
      <c r="K234" s="46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217"/>
      <c r="B235" s="159"/>
      <c r="C235" s="159"/>
      <c r="D235" s="48" t="s">
        <v>106</v>
      </c>
      <c r="E235" s="41"/>
      <c r="F235" s="41"/>
      <c r="G235" s="43"/>
      <c r="H235" s="134" t="s">
        <v>14</v>
      </c>
      <c r="I235" s="45"/>
      <c r="J235" s="45"/>
      <c r="K235" s="46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217"/>
      <c r="B236" s="159"/>
      <c r="C236" s="159"/>
      <c r="D236" s="48" t="s">
        <v>107</v>
      </c>
      <c r="E236" s="41"/>
      <c r="F236" s="41"/>
      <c r="G236" s="43"/>
      <c r="H236" s="134" t="s">
        <v>14</v>
      </c>
      <c r="I236" s="45"/>
      <c r="J236" s="45"/>
      <c r="K236" s="46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138"/>
      <c r="B237" s="139"/>
      <c r="C237" s="162" t="s">
        <v>18</v>
      </c>
      <c r="D237" s="563" t="s">
        <v>38</v>
      </c>
      <c r="E237" s="141"/>
      <c r="F237" s="141"/>
      <c r="G237" s="142"/>
      <c r="H237" s="143"/>
      <c r="I237" s="135"/>
      <c r="J237" s="45"/>
      <c r="K237" s="46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52">
        <f ca="1">I249+I260</f>
        <v>0</v>
      </c>
      <c r="J238" s="152">
        <f>J249+J260</f>
        <v>0</v>
      </c>
      <c r="K238" s="47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138"/>
      <c r="B239" s="139"/>
      <c r="C239" s="139"/>
      <c r="D239" s="248" t="s">
        <v>43</v>
      </c>
      <c r="E239" s="145"/>
      <c r="F239" s="145"/>
      <c r="G239" s="143"/>
      <c r="H239" s="143"/>
      <c r="I239" s="45"/>
      <c r="J239" s="45"/>
      <c r="K239" s="46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52">
        <f>I251+I262</f>
        <v>0</v>
      </c>
      <c r="J240" s="152">
        <f>J251+J262</f>
        <v>0</v>
      </c>
      <c r="K240" s="47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52">
        <f>I252+I263</f>
        <v>0</v>
      </c>
      <c r="J241" s="152">
        <f>J252+J263</f>
        <v>0</v>
      </c>
      <c r="K241" s="47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7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IFERROR(__xludf.DUMMYFUNCTION("IMPORTRANGE(""https://docs.google.com/spreadsheets/d/1eHaY18a8A9IcSdp1K8H6x8fbOy06t2VsZHhMHf-1x7Y/edit?usp=sharing"",""แผน!AX87"")"),0)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IFERROR(__xludf.DUMMYFUNCTION("IMPORTRANGE(""https://docs.google.com/spreadsheets/d/1eHaY18a8A9IcSdp1K8H6x8fbOy06t2VsZHhMHf-1x7Y/edit?usp=sharing"",""แผน!AY87"")"),0)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IFERROR(__xludf.DUMMYFUNCTION("IMPORTRANGE(""https://docs.google.com/spreadsheets/d/1eHaY18a8A9IcSdp1K8H6x8fbOy06t2VsZHhMHf-1x7Y/edit?usp=sharing"",""แผน!AZ87"")"),0)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IFERROR(__xludf.DUMMYFUNCTION("IMPORTRANGE(""https://docs.google.com/spreadsheets/d/1eHaY18a8A9IcSdp1K8H6x8fbOy06t2VsZHhMHf-1x7Y/edit?usp=sharing"",""แผน!BA87"")"),0)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1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IFERROR(__xludf.DUMMYFUNCTION("IMPORTRANGE(""https://docs.google.com/spreadsheets/d/1eHaY18a8A9IcSdp1K8H6x8fbOy06t2VsZHhMHf-1x7Y/edit?usp=sharing"",""แผน!BG87"")"),0)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7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IFERROR(__xludf.DUMMYFUNCTION("IMPORTRANGE(""https://docs.google.com/spreadsheets/d/1eHaY18a8A9IcSdp1K8H6x8fbOy06t2VsZHhMHf-1x7Y/edit?usp=sharing"",""แผน!BB87"")"),0)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IFERROR(__xludf.DUMMYFUNCTION("IMPORTRANGE(""https://docs.google.com/spreadsheets/d/1eHaY18a8A9IcSdp1K8H6x8fbOy06t2VsZHhMHf-1x7Y/edit?usp=sharing"",""แผน!BC87"")"),0)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IFERROR(__xludf.DUMMYFUNCTION("IMPORTRANGE(""https://docs.google.com/spreadsheets/d/1eHaY18a8A9IcSdp1K8H6x8fbOy06t2VsZHhMHf-1x7Y/edit?usp=sharing"",""แผน!BD87"")"),0)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IFERROR(__xludf.DUMMYFUNCTION("IMPORTRANGE(""https://docs.google.com/spreadsheets/d/1eHaY18a8A9IcSdp1K8H6x8fbOy06t2VsZHhMHf-1x7Y/edit?usp=sharing"",""แผน!BE87"")"),0)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1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IFERROR(__xludf.DUMMYFUNCTION("IMPORTRANGE(""https://docs.google.com/spreadsheets/d/1eHaY18a8A9IcSdp1K8H6x8fbOy06t2VsZHhMHf-1x7Y/edit?usp=sharing"",""แผน!BH87"")"),0)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22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618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5000</v>
      </c>
      <c r="O266" s="421">
        <f ca="1">IF(L266&gt;0,N266*100/L266,0)</f>
        <v>100</v>
      </c>
      <c r="P266" s="421">
        <f ca="1">IF(M266&gt;0,N266*100/M266,0)</f>
        <v>100</v>
      </c>
      <c r="Q266" s="421">
        <f ca="1">Q267+Q268</f>
        <v>50660</v>
      </c>
      <c r="R266" s="421">
        <f ca="1">R267+R268</f>
        <v>50660</v>
      </c>
      <c r="S266" s="421">
        <f ca="1">S267+S268</f>
        <v>50660</v>
      </c>
      <c r="T266" s="421">
        <f ca="1">IF(Q266&gt;0,S266*100/Q266,0)</f>
        <v>100</v>
      </c>
      <c r="U266" s="421">
        <f ca="1">IF(R266&gt;0,S266*100/R266,0)</f>
        <v>100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5000</v>
      </c>
      <c r="O268" s="331">
        <f ca="1">IF(L268&gt;0,N268*100/L268,0)</f>
        <v>100</v>
      </c>
      <c r="P268" s="331">
        <f ca="1">IF(M268&gt;0,N268*100/M268,0)</f>
        <v>100</v>
      </c>
      <c r="Q268" s="331">
        <f ca="1">Q271+Q274</f>
        <v>50660</v>
      </c>
      <c r="R268" s="331">
        <f ca="1">R271+R274</f>
        <v>50660</v>
      </c>
      <c r="S268" s="331">
        <f ca="1">S271+S274</f>
        <v>50660</v>
      </c>
      <c r="T268" s="331">
        <f ca="1">IF(Q268&gt;0,S268*100/Q268,0)</f>
        <v>100</v>
      </c>
      <c r="U268" s="331">
        <f ca="1">IF(R268&gt;0,S268*100/R268,0)</f>
        <v>100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5000</v>
      </c>
      <c r="O269" s="331">
        <f ca="1">IF(L269&gt;0,N269*100/L269,0)</f>
        <v>100</v>
      </c>
      <c r="P269" s="331">
        <f ca="1">IF(M269&gt;0,N269*100/M269,0)</f>
        <v>100</v>
      </c>
      <c r="Q269" s="331">
        <f ca="1">Q270+Q271</f>
        <v>50660</v>
      </c>
      <c r="R269" s="331">
        <f ca="1">R270+R271</f>
        <v>50660</v>
      </c>
      <c r="S269" s="331">
        <f ca="1">S270+S271</f>
        <v>50660</v>
      </c>
      <c r="T269" s="331">
        <f ca="1">IF(Q269&gt;0,S269*100/Q269,0)</f>
        <v>100</v>
      </c>
      <c r="U269" s="331">
        <f ca="1">IF(R269&gt;0,S269*100/R269,0)</f>
        <v>100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IFERROR(__xludf.DUMMYFUNCTION("IMPORTRANGE(""https://docs.google.com/spreadsheets/d/1-uDff_7J0KD5mKrp0Vvzr7lt3OU09vwQwhkpOPPYv2Y/edit?usp=sharing"",""งบพรบ!DE87"")"),5000)</f>
        <v>5000</v>
      </c>
      <c r="M271" s="331">
        <f ca="1">IFERROR(__xludf.DUMMYFUNCTION("IMPORTRANGE(""https://docs.google.com/spreadsheets/d/1-uDff_7J0KD5mKrp0Vvzr7lt3OU09vwQwhkpOPPYv2Y/edit?usp=sharing"",""งบพรบ!DJ87"")"),5000)</f>
        <v>5000</v>
      </c>
      <c r="N271" s="331">
        <f ca="1">IFERROR(__xludf.DUMMYFUNCTION("IMPORTRANGE(""https://docs.google.com/spreadsheets/d/1-uDff_7J0KD5mKrp0Vvzr7lt3OU09vwQwhkpOPPYv2Y/edit?usp=sharing"",""งบพรบ!DL87"")"),5000)</f>
        <v>5000</v>
      </c>
      <c r="O271" s="331">
        <f ca="1">IF(L271&gt;0,N271*100/L271,0)</f>
        <v>100</v>
      </c>
      <c r="P271" s="331">
        <f ca="1">IF(M271&gt;0,N271*100/M271,0)</f>
        <v>100</v>
      </c>
      <c r="Q271" s="331">
        <f ca="1">IFERROR(__xludf.DUMMYFUNCTION("IMPORTRANGE(""https://docs.google.com/spreadsheets/d/1ItG2mGa2ceCfYo0BwxsXqNm01IGEUdYcSSLTEv9YCik/edit?usp=sharing"",""เบิกจ่ายกองทุน!AP87"")"),50660)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IFERROR(__xludf.DUMMYFUNCTION("IMPORTRANGE(""https://docs.google.com/spreadsheets/d/1ItG2mGa2ceCfYo0BwxsXqNm01IGEUdYcSSLTEv9YCik/edit?usp=sharing"",""เบิกจ่ายกองทุน!AQ87"")"),50660)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IFERROR(__xludf.DUMMYFUNCTION("IMPORTRANGE(""https://docs.google.com/spreadsheets/d/1ItG2mGa2ceCfYo0BwxsXqNm01IGEUdYcSSLTEv9YCik/edit?usp=sharing"",""เบิกจ่ายกองทุน!AR87"")"),50660)</f>
        <v>50660</v>
      </c>
      <c r="T271" s="331">
        <f ca="1">IF(Q271&gt;0,S271*100/Q271,0)</f>
        <v>100</v>
      </c>
      <c r="U271" s="331">
        <f ca="1">IF(R271&gt;0,S271*100/R271,0)</f>
        <v>100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IFERROR(__xludf.DUMMYFUNCTION("IMPORTRANGE(""https://docs.google.com/spreadsheets/d/1-uDff_7J0KD5mKrp0Vvzr7lt3OU09vwQwhkpOPPYv2Y/edit?usp=sharing"",""งบพรบ!DH87"")"),0)</f>
        <v>0</v>
      </c>
      <c r="M274" s="331">
        <f ca="1">IFERROR(__xludf.DUMMYFUNCTION("IMPORTRANGE(""https://docs.google.com/spreadsheets/d/1-uDff_7J0KD5mKrp0Vvzr7lt3OU09vwQwhkpOPPYv2Y/edit?usp=sharing"",""งบพรบ!DK87"")"),0)</f>
        <v>0</v>
      </c>
      <c r="N274" s="331">
        <f ca="1">IFERROR(__xludf.DUMMYFUNCTION("IMPORTRANGE(""https://docs.google.com/spreadsheets/d/1-uDff_7J0KD5mKrp0Vvzr7lt3OU09vwQwhkpOPPYv2Y/edit?usp=sharing"",""งบพรบ!DM87"")"),0)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423" t="s">
        <v>18</v>
      </c>
      <c r="D275" s="617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IFERROR(__xludf.DUMMYFUNCTION("IMPORTRANGE(""https://docs.google.com/spreadsheets/d/1eHaY18a8A9IcSdp1K8H6x8fbOy06t2VsZHhMHf-1x7Y/edit?usp=sharing"",""แผน!EC87"")"),22)</f>
        <v>22</v>
      </c>
      <c r="J276" s="175">
        <v>22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IFERROR(__xludf.DUMMYFUNCTION("IMPORTRANGE(""https://docs.google.com/spreadsheets/d/1-uDff_7J0KD5mKrp0Vvzr7lt3OU09vwQwhkpOPPYv2Y/edit?usp=sharing"",""งบพรบ!DO87"")"),0)</f>
        <v>0</v>
      </c>
      <c r="M287" s="47">
        <f ca="1">IFERROR(__xludf.DUMMYFUNCTION("IMPORTRANGE(""https://docs.google.com/spreadsheets/d/1-uDff_7J0KD5mKrp0Vvzr7lt3OU09vwQwhkpOPPYv2Y/edit?usp=sharing"",""งบพรบ!DT87"")"),0)</f>
        <v>0</v>
      </c>
      <c r="N287" s="47">
        <f ca="1">IFERROR(__xludf.DUMMYFUNCTION("IMPORTRANGE(""https://docs.google.com/spreadsheets/d/1-uDff_7J0KD5mKrp0Vvzr7lt3OU09vwQwhkpOPPYv2Y/edit?usp=sharing"",""งบพรบ!DV87"")"),0)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IFERROR(__xludf.DUMMYFUNCTION("IMPORTRANGE(""https://docs.google.com/spreadsheets/d/1-uDff_7J0KD5mKrp0Vvzr7lt3OU09vwQwhkpOPPYv2Y/edit?usp=sharing"",""งบพรบ!DR87"")"),0)</f>
        <v>0</v>
      </c>
      <c r="M290" s="47">
        <f ca="1">IFERROR(__xludf.DUMMYFUNCTION("IMPORTRANGE(""https://docs.google.com/spreadsheets/d/1-uDff_7J0KD5mKrp0Vvzr7lt3OU09vwQwhkpOPPYv2Y/edit?usp=sharing"",""งบพรบ!DU87"")"),0)</f>
        <v>0</v>
      </c>
      <c r="N290" s="47">
        <f ca="1">IFERROR(__xludf.DUMMYFUNCTION("IMPORTRANGE(""https://docs.google.com/spreadsheets/d/1-uDff_7J0KD5mKrp0Vvzr7lt3OU09vwQwhkpOPPYv2Y/edit?usp=sharing"",""งบพรบ!DW87"")"),0)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432"/>
      <c r="B291" s="433"/>
      <c r="C291" s="618" t="s">
        <v>18</v>
      </c>
      <c r="D291" s="617" t="s">
        <v>38</v>
      </c>
      <c r="E291" s="435"/>
      <c r="F291" s="435"/>
      <c r="G291" s="436"/>
      <c r="H291" s="439"/>
      <c r="I291" s="428"/>
      <c r="J291" s="428"/>
      <c r="K291" s="429"/>
      <c r="L291" s="720"/>
      <c r="M291" s="429"/>
      <c r="N291" s="429"/>
      <c r="O291" s="429"/>
      <c r="P291" s="429"/>
      <c r="Q291" s="429"/>
      <c r="R291" s="429"/>
      <c r="S291" s="429"/>
      <c r="T291" s="429"/>
      <c r="U291" s="429"/>
    </row>
    <row r="292" spans="1:21" ht="18.75" hidden="1" x14ac:dyDescent="0.25">
      <c r="A292" s="432"/>
      <c r="B292" s="433"/>
      <c r="C292" s="433"/>
      <c r="D292" s="555" t="s">
        <v>120</v>
      </c>
      <c r="E292" s="433"/>
      <c r="F292" s="422"/>
      <c r="G292" s="439"/>
      <c r="H292" s="895" t="s">
        <v>46</v>
      </c>
      <c r="I292" s="330">
        <f ca="1">IFERROR(__xludf.DUMMYFUNCTION("IMPORTRANGE(""https://docs.google.com/spreadsheets/d/1eHaY18a8A9IcSdp1K8H6x8fbOy06t2VsZHhMHf-1x7Y/edit?usp=sharing"",""แผน!EE87"")"),0)</f>
        <v>0</v>
      </c>
      <c r="J292" s="554">
        <v>0</v>
      </c>
      <c r="K292" s="889">
        <f ca="1">IF(I292&gt;0,J292*100/I292,0)</f>
        <v>0</v>
      </c>
      <c r="L292" s="720"/>
      <c r="M292" s="429"/>
      <c r="N292" s="429"/>
      <c r="O292" s="429"/>
      <c r="P292" s="429"/>
      <c r="Q292" s="429"/>
      <c r="R292" s="429"/>
      <c r="S292" s="429"/>
      <c r="T292" s="429"/>
      <c r="U292" s="429"/>
    </row>
    <row r="293" spans="1:21" ht="19.5" hidden="1" x14ac:dyDescent="0.3">
      <c r="A293" s="432"/>
      <c r="B293" s="433"/>
      <c r="C293" s="433"/>
      <c r="D293" s="555" t="s">
        <v>121</v>
      </c>
      <c r="E293" s="433"/>
      <c r="F293" s="422"/>
      <c r="G293" s="439"/>
      <c r="H293" s="894" t="s">
        <v>35</v>
      </c>
      <c r="I293" s="893">
        <f ca="1">IFERROR(__xludf.DUMMYFUNCTION("IMPORTRANGE(""https://docs.google.com/spreadsheets/d/1eHaY18a8A9IcSdp1K8H6x8fbOy06t2VsZHhMHf-1x7Y/edit?usp=sharing"",""แผน!ED87"")"),0)</f>
        <v>0</v>
      </c>
      <c r="J293" s="893">
        <f>J296</f>
        <v>0</v>
      </c>
      <c r="K293" s="892">
        <f ca="1">IF(I293&gt;0,J293*100/I293,0)</f>
        <v>0</v>
      </c>
      <c r="L293" s="720"/>
      <c r="M293" s="429"/>
      <c r="N293" s="429"/>
      <c r="O293" s="429"/>
      <c r="P293" s="429"/>
      <c r="Q293" s="429"/>
      <c r="R293" s="429"/>
      <c r="S293" s="429"/>
      <c r="T293" s="429"/>
      <c r="U293" s="429"/>
    </row>
    <row r="294" spans="1:21" ht="19.5" hidden="1" x14ac:dyDescent="0.3">
      <c r="A294" s="432"/>
      <c r="B294" s="433"/>
      <c r="C294" s="433"/>
      <c r="D294" s="422"/>
      <c r="E294" s="891" t="s">
        <v>329</v>
      </c>
      <c r="F294" s="422"/>
      <c r="G294" s="439"/>
      <c r="H294" s="439"/>
      <c r="I294" s="428"/>
      <c r="J294" s="420"/>
      <c r="K294" s="429"/>
      <c r="L294" s="720"/>
      <c r="M294" s="429"/>
      <c r="N294" s="429"/>
      <c r="O294" s="429"/>
      <c r="P294" s="429"/>
      <c r="Q294" s="429"/>
      <c r="R294" s="429"/>
      <c r="S294" s="429"/>
      <c r="T294" s="429"/>
      <c r="U294" s="429"/>
    </row>
    <row r="295" spans="1:21" ht="19.5" hidden="1" x14ac:dyDescent="0.3">
      <c r="A295" s="432"/>
      <c r="B295" s="433"/>
      <c r="C295" s="433"/>
      <c r="D295" s="422"/>
      <c r="E295" s="555" t="s">
        <v>328</v>
      </c>
      <c r="F295" s="422"/>
      <c r="G295" s="439"/>
      <c r="H295" s="853" t="s">
        <v>35</v>
      </c>
      <c r="I295" s="890">
        <f ca="1">IFERROR(__xludf.DUMMYFUNCTION("IMPORTRANGE(""https://docs.google.com/spreadsheets/d/1eHaY18a8A9IcSdp1K8H6x8fbOy06t2VsZHhMHf-1x7Y/edit?usp=sharing"",""แผน!ED87"")"),0)</f>
        <v>0</v>
      </c>
      <c r="J295" s="554">
        <v>0</v>
      </c>
      <c r="K295" s="889">
        <f ca="1">IF(I295&gt;0,J295*100/I295,0)</f>
        <v>0</v>
      </c>
      <c r="L295" s="720"/>
      <c r="M295" s="429"/>
      <c r="N295" s="429"/>
      <c r="O295" s="429"/>
      <c r="P295" s="429"/>
      <c r="Q295" s="429"/>
      <c r="R295" s="429"/>
      <c r="S295" s="429"/>
      <c r="T295" s="429"/>
      <c r="U295" s="429"/>
    </row>
    <row r="296" spans="1:21" ht="19.5" hidden="1" x14ac:dyDescent="0.3">
      <c r="A296" s="432"/>
      <c r="B296" s="433"/>
      <c r="C296" s="433"/>
      <c r="D296" s="422"/>
      <c r="E296" s="555" t="s">
        <v>327</v>
      </c>
      <c r="F296" s="422"/>
      <c r="G296" s="439"/>
      <c r="H296" s="853" t="s">
        <v>35</v>
      </c>
      <c r="I296" s="890">
        <f ca="1">IFERROR(__xludf.DUMMYFUNCTION("IMPORTRANGE(""https://docs.google.com/spreadsheets/d/1eHaY18a8A9IcSdp1K8H6x8fbOy06t2VsZHhMHf-1x7Y/edit?usp=sharing"",""แผน!ED87"")"),0)</f>
        <v>0</v>
      </c>
      <c r="J296" s="554">
        <v>0</v>
      </c>
      <c r="K296" s="889">
        <f ca="1">IF(I296&gt;0,J296*100/I296,0)</f>
        <v>0</v>
      </c>
      <c r="L296" s="720"/>
      <c r="M296" s="429"/>
      <c r="N296" s="429"/>
      <c r="O296" s="429"/>
      <c r="P296" s="429"/>
      <c r="Q296" s="429"/>
      <c r="R296" s="429"/>
      <c r="S296" s="429"/>
      <c r="T296" s="429"/>
      <c r="U296" s="429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1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1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700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9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226234.22</v>
      </c>
      <c r="R303" s="132">
        <f ca="1">R304+R305</f>
        <v>226234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226234.22</v>
      </c>
      <c r="R305" s="47">
        <f ca="1">R308+R311</f>
        <v>226234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226234.22</v>
      </c>
      <c r="R306" s="47">
        <f ca="1">R307+R308</f>
        <v>226234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IFERROR(__xludf.DUMMYFUNCTION("IMPORTRANGE(""https://docs.google.com/spreadsheets/d/1-uDff_7J0KD5mKrp0Vvzr7lt3OU09vwQwhkpOPPYv2Y/edit?usp=sharing"",""งบพรบ!DY87"")"),0)</f>
        <v>0</v>
      </c>
      <c r="M308" s="47">
        <f ca="1">IFERROR(__xludf.DUMMYFUNCTION("IMPORTRANGE(""https://docs.google.com/spreadsheets/d/1-uDff_7J0KD5mKrp0Vvzr7lt3OU09vwQwhkpOPPYv2Y/edit?usp=sharing"",""งบพรบ!ED87"")"),0)</f>
        <v>0</v>
      </c>
      <c r="N308" s="47">
        <f ca="1">IFERROR(__xludf.DUMMYFUNCTION("IMPORTRANGE(""https://docs.google.com/spreadsheets/d/1-uDff_7J0KD5mKrp0Vvzr7lt3OU09vwQwhkpOPPYv2Y/edit?usp=sharing"",""งบพรบ!EF87"")"),0)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IFERROR(__xludf.DUMMYFUNCTION("IMPORTRANGE(""https://docs.google.com/spreadsheets/d/1ItG2mGa2ceCfYo0BwxsXqNm01IGEUdYcSSLTEv9YCik/edit?usp=sharing"",""เบิกจ่ายกองทุน!BB87"")"),226234.22)</f>
        <v>226234.22</v>
      </c>
      <c r="R308" s="47">
        <f ca="1">IFERROR(__xludf.DUMMYFUNCTION("IMPORTRANGE(""https://docs.google.com/spreadsheets/d/1ItG2mGa2ceCfYo0BwxsXqNm01IGEUdYcSSLTEv9YCik/edit?usp=sharing"",""เบิกจ่ายกองทุน!BC87"")"),226234)</f>
        <v>226234</v>
      </c>
      <c r="S308" s="47">
        <f ca="1">IFERROR(__xludf.DUMMYFUNCTION("IMPORTRANGE(""https://docs.google.com/spreadsheets/d/1ItG2mGa2ceCfYo0BwxsXqNm01IGEUdYcSSLTEv9YCik/edit?usp=sharing"",""เบิกจ่ายกองทุน!BD87"")"),0)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IFERROR(__xludf.DUMMYFUNCTION("IMPORTRANGE(""https://docs.google.com/spreadsheets/d/1-uDff_7J0KD5mKrp0Vvzr7lt3OU09vwQwhkpOPPYv2Y/edit?usp=sharing"",""งบพรบ!EB87"")"),0)</f>
        <v>0</v>
      </c>
      <c r="M311" s="47">
        <f ca="1">IFERROR(__xludf.DUMMYFUNCTION("IMPORTRANGE(""https://docs.google.com/spreadsheets/d/1-uDff_7J0KD5mKrp0Vvzr7lt3OU09vwQwhkpOPPYv2Y/edit?usp=sharing"",""งบพรบ!EE87"")"),0)</f>
        <v>0</v>
      </c>
      <c r="N311" s="47">
        <f ca="1">IFERROR(__xludf.DUMMYFUNCTION("IMPORTRANGE(""https://docs.google.com/spreadsheets/d/1-uDff_7J0KD5mKrp0Vvzr7lt3OU09vwQwhkpOPPYv2Y/edit?usp=sharing"",""งบพรบ!EG87"")"),0)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9"/>
      <c r="E313" s="19"/>
      <c r="F313" s="19"/>
      <c r="G313" s="20"/>
      <c r="H313" s="20"/>
      <c r="I313" s="21"/>
      <c r="J313" s="707"/>
      <c r="K313" s="22"/>
      <c r="L313" s="701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IFERROR(__xludf.DUMMYFUNCTION("IMPORTRANGE(""https://docs.google.com/spreadsheets/d/1eHaY18a8A9IcSdp1K8H6x8fbOy06t2VsZHhMHf-1x7Y/edit?usp=sharing"",""แผน!EF87"")"),25)</f>
        <v>25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9"/>
      <c r="E315" s="19"/>
      <c r="F315" s="19"/>
      <c r="G315" s="20"/>
      <c r="H315" s="708"/>
      <c r="I315" s="707"/>
      <c r="J315" s="707"/>
      <c r="K315" s="706"/>
      <c r="L315" s="701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9"/>
      <c r="E316" s="19"/>
      <c r="F316" s="19"/>
      <c r="G316" s="20"/>
      <c r="H316" s="708"/>
      <c r="I316" s="707"/>
      <c r="J316" s="707"/>
      <c r="K316" s="706"/>
      <c r="L316" s="701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5"/>
      <c r="E317" s="19"/>
      <c r="F317" s="19"/>
      <c r="G317" s="20"/>
      <c r="H317" s="704"/>
      <c r="I317" s="703"/>
      <c r="J317" s="703"/>
      <c r="K317" s="702"/>
      <c r="L317" s="701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700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IFERROR(__xludf.DUMMYFUNCTION("IMPORTRANGE(""https://docs.google.com/spreadsheets/d/1-uDff_7J0KD5mKrp0Vvzr7lt3OU09vwQwhkpOPPYv2Y/edit?usp=sharing"",""งบพรบ!EI87"")"),0)</f>
        <v>0</v>
      </c>
      <c r="M325" s="47">
        <f ca="1">IFERROR(__xludf.DUMMYFUNCTION("IMPORTRANGE(""https://docs.google.com/spreadsheets/d/1-uDff_7J0KD5mKrp0Vvzr7lt3OU09vwQwhkpOPPYv2Y/edit?usp=sharing"",""งบพรบ!EN87"")"),0)</f>
        <v>0</v>
      </c>
      <c r="N325" s="47">
        <f ca="1">IFERROR(__xludf.DUMMYFUNCTION("IMPORTRANGE(""https://docs.google.com/spreadsheets/d/1-uDff_7J0KD5mKrp0Vvzr7lt3OU09vwQwhkpOPPYv2Y/edit?usp=sharing"",""งบพรบ!EP87"")"),0)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IFERROR(__xludf.DUMMYFUNCTION("IMPORTRANGE(""https://docs.google.com/spreadsheets/d/1-uDff_7J0KD5mKrp0Vvzr7lt3OU09vwQwhkpOPPYv2Y/edit?usp=sharing"",""งบพรบ!EL87"")"),0)</f>
        <v>0</v>
      </c>
      <c r="M328" s="47">
        <f ca="1">IFERROR(__xludf.DUMMYFUNCTION("IMPORTRANGE(""https://docs.google.com/spreadsheets/d/1-uDff_7J0KD5mKrp0Vvzr7lt3OU09vwQwhkpOPPYv2Y/edit?usp=sharing"",""งบพรบ!EO87"")"),0)</f>
        <v>0</v>
      </c>
      <c r="N328" s="47">
        <f ca="1">IFERROR(__xludf.DUMMYFUNCTION("IMPORTRANGE(""https://docs.google.com/spreadsheets/d/1-uDff_7J0KD5mKrp0Vvzr7lt3OU09vwQwhkpOPPYv2Y/edit?usp=sharing"",""งบพรบ!EQ87"")"),0)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IFERROR(__xludf.DUMMYFUNCTION("IMPORTRANGE(""https://docs.google.com/spreadsheets/d/1eHaY18a8A9IcSdp1K8H6x8fbOy06t2VsZHhMHf-1x7Y/edit?usp=sharing"",""แผน!EJ87"")"),0)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700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9">
        <f ca="1">I344</f>
        <v>140</v>
      </c>
      <c r="J332" s="698">
        <f ca="1">J344+J347+J348+J349+J353</f>
        <v>535</v>
      </c>
      <c r="K332" s="697">
        <f ca="1">IF(I332&gt;0,J332*100/I332,0)</f>
        <v>382.14285714285717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9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356800</v>
      </c>
      <c r="M333" s="132">
        <f ca="1">M334+M335</f>
        <v>356800</v>
      </c>
      <c r="N333" s="132">
        <f ca="1">N334+N335</f>
        <v>177492</v>
      </c>
      <c r="O333" s="132">
        <f ca="1">IF(L333&gt;0,N333*100/L333,0)</f>
        <v>49.745515695067262</v>
      </c>
      <c r="P333" s="132">
        <f ca="1">IF(M333&gt;0,N333*100/M333,0)</f>
        <v>49.745515695067262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356800</v>
      </c>
      <c r="M335" s="47">
        <f ca="1">M338+M341</f>
        <v>356800</v>
      </c>
      <c r="N335" s="47">
        <f ca="1">N338+N341</f>
        <v>177492</v>
      </c>
      <c r="O335" s="47">
        <f ca="1">IF(L335&gt;0,N335*100/L335,0)</f>
        <v>49.745515695067262</v>
      </c>
      <c r="P335" s="47">
        <f ca="1">IF(M335&gt;0,N335*100/M335,0)</f>
        <v>49.745515695067262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356800</v>
      </c>
      <c r="M336" s="47">
        <f ca="1">M337+M338</f>
        <v>356800</v>
      </c>
      <c r="N336" s="47">
        <f ca="1">N337+N338</f>
        <v>177492</v>
      </c>
      <c r="O336" s="47">
        <f ca="1">IF(L336&gt;0,N336*100/L336,0)</f>
        <v>49.745515695067262</v>
      </c>
      <c r="P336" s="47">
        <f ca="1">IF(M336&gt;0,N336*100/M336,0)</f>
        <v>49.745515695067262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IFERROR(__xludf.DUMMYFUNCTION("IMPORTRANGE(""https://docs.google.com/spreadsheets/d/1-uDff_7J0KD5mKrp0Vvzr7lt3OU09vwQwhkpOPPYv2Y/edit?usp=sharing"",""งบพรบ!ES87"")"),356800)</f>
        <v>356800</v>
      </c>
      <c r="M338" s="47">
        <f ca="1">IFERROR(__xludf.DUMMYFUNCTION("IMPORTRANGE(""https://docs.google.com/spreadsheets/d/1-uDff_7J0KD5mKrp0Vvzr7lt3OU09vwQwhkpOPPYv2Y/edit?usp=sharing"",""งบพรบ!EX87"")"),356800)</f>
        <v>356800</v>
      </c>
      <c r="N338" s="47">
        <f ca="1">IFERROR(__xludf.DUMMYFUNCTION("IMPORTRANGE(""https://docs.google.com/spreadsheets/d/1-uDff_7J0KD5mKrp0Vvzr7lt3OU09vwQwhkpOPPYv2Y/edit?usp=sharing"",""งบพรบ!EZ87"")"),177492)</f>
        <v>177492</v>
      </c>
      <c r="O338" s="47">
        <f ca="1">IF(L338&gt;0,N338*100/L338,0)</f>
        <v>49.745515695067262</v>
      </c>
      <c r="P338" s="47">
        <f ca="1">IF(M338&gt;0,N338*100/M338,0)</f>
        <v>49.745515695067262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IFERROR(__xludf.DUMMYFUNCTION("IMPORTRANGE(""https://docs.google.com/spreadsheets/d/1-uDff_7J0KD5mKrp0Vvzr7lt3OU09vwQwhkpOPPYv2Y/edit?usp=sharing"",""งบพรบ!EV87"")"),0)</f>
        <v>0</v>
      </c>
      <c r="M341" s="47">
        <f ca="1">IFERROR(__xludf.DUMMYFUNCTION("IMPORTRANGE(""https://docs.google.com/spreadsheets/d/1-uDff_7J0KD5mKrp0Vvzr7lt3OU09vwQwhkpOPPYv2Y/edit?usp=sharing"",""งบพรบ!EY87"")"),0)</f>
        <v>0</v>
      </c>
      <c r="N341" s="47">
        <f ca="1">IFERROR(__xludf.DUMMYFUNCTION("IMPORTRANGE(""https://docs.google.com/spreadsheets/d/1-uDff_7J0KD5mKrp0Vvzr7lt3OU09vwQwhkpOPPYv2Y/edit?usp=sharing"",""งบพรบ!FA87"")"),0)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6"/>
      <c r="B343" s="693"/>
      <c r="C343" s="695"/>
      <c r="D343" s="693"/>
      <c r="E343" s="694" t="s">
        <v>137</v>
      </c>
      <c r="F343" s="693"/>
      <c r="G343" s="692"/>
      <c r="H343" s="691" t="s">
        <v>35</v>
      </c>
      <c r="I343" s="690">
        <v>0</v>
      </c>
      <c r="J343" s="690">
        <f ca="1">J344+J347+J348+J349</f>
        <v>183</v>
      </c>
      <c r="K343" s="689">
        <v>0</v>
      </c>
      <c r="L343" s="687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IFERROR(__xludf.DUMMYFUNCTION("IMPORTRANGE(""https://docs.google.com/spreadsheets/d/1eHaY18a8A9IcSdp1K8H6x8fbOy06t2VsZHhMHf-1x7Y/edit?usp=sharing"",""แผน!EK87"")"),140)</f>
        <v>140</v>
      </c>
      <c r="J344" s="152">
        <f ca="1">IFERROR(__xludf.DUMMYFUNCTION("IMPORTRANGE(""https://docs.google.com/spreadsheets/d/1awYsYK3VOup2i3Pq_Yjnu8DRu_mYwSBnCR2QPthd0rU/edit?usp=sharing"",""ศูนย์ยกเว้นโฉนด!D87"")"),76)</f>
        <v>76</v>
      </c>
      <c r="K344" s="47">
        <f ca="1">IF(I344&gt;0,J344*100/I344,0)</f>
        <v>54.285714285714285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IFERROR(__xludf.DUMMYFUNCTION("IMPORTRANGE(""https://docs.google.com/spreadsheets/d/1eHaY18a8A9IcSdp1K8H6x8fbOy06t2VsZHhMHf-1x7Y/edit?usp=sharing"",""แผน!EL87"")"),1)</f>
        <v>1</v>
      </c>
      <c r="J346" s="152">
        <f ca="1">IFERROR(__xludf.DUMMYFUNCTION("IMPORTRANGE(""https://docs.google.com/spreadsheets/d/1awYsYK3VOup2i3Pq_Yjnu8DRu_mYwSBnCR2QPthd0rU/edit?usp=sharing"",""ศูนย์รวม!E87"")"),3)</f>
        <v>3</v>
      </c>
      <c r="K346" s="47">
        <f ca="1">IF(I346&gt;0,J346*100/I346,0)</f>
        <v>300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IFERROR(__xludf.DUMMYFUNCTION("IMPORTRANGE(""https://docs.google.com/spreadsheets/d/1awYsYK3VOup2i3Pq_Yjnu8DRu_mYwSBnCR2QPthd0rU/edit?usp=sharing"",""ศูนย์ยกเว้นโฉนด!F87"")"),107)</f>
        <v>107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IFERROR(__xludf.DUMMYFUNCTION("IMPORTRANGE(""https://docs.google.com/spreadsheets/d/1awYsYK3VOup2i3Pq_Yjnu8DRu_mYwSBnCR2QPthd0rU/edit?usp=sharing"",""ศูนย์ยกเว้นโฉนด!G87"")"),0)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IFERROR(__xludf.DUMMYFUNCTION("IMPORTRANGE(""https://docs.google.com/spreadsheets/d/1awYsYK3VOup2i3Pq_Yjnu8DRu_mYwSBnCR2QPthd0rU/edit?usp=sharing"",""ศูนย์ยกเว้นโฉนด!H87"")"),0)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8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399</v>
      </c>
      <c r="K351" s="229">
        <v>0</v>
      </c>
      <c r="L351" s="687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IFERROR(__xludf.DUMMYFUNCTION("IMPORTRANGE(""https://docs.google.com/spreadsheets/d/1awYsYK3VOup2i3Pq_Yjnu8DRu_mYwSBnCR2QPthd0rU/edit?usp=sharing"",""โฉนดM3!G87"")"),47)</f>
        <v>47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IFERROR(__xludf.DUMMYFUNCTION("IMPORTRANGE(""https://docs.google.com/spreadsheets/d/1awYsYK3VOup2i3Pq_Yjnu8DRu_mYwSBnCR2QPthd0rU/edit?usp=sharing"",""โฉนดM3!H87"")"),352)</f>
        <v>352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9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229590</v>
      </c>
      <c r="M356" s="132">
        <f ca="1">M357+M358</f>
        <v>229590</v>
      </c>
      <c r="N356" s="132">
        <f ca="1">N357+N358</f>
        <v>92034.74</v>
      </c>
      <c r="O356" s="132">
        <f ca="1">IF(L356&gt;0,N356*100/L356,0)</f>
        <v>40.08656300361514</v>
      </c>
      <c r="P356" s="132">
        <f ca="1">IF(M356&gt;0,N356*100/M356,0)</f>
        <v>40.08656300361514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229590</v>
      </c>
      <c r="M358" s="47">
        <f ca="1">M361+M364</f>
        <v>229590</v>
      </c>
      <c r="N358" s="47">
        <f ca="1">N361+N364</f>
        <v>92034.74</v>
      </c>
      <c r="O358" s="47">
        <f ca="1">IF(L358&gt;0,N358*100/L358,0)</f>
        <v>40.08656300361514</v>
      </c>
      <c r="P358" s="47">
        <f ca="1">IF(M358&gt;0,N358*100/M358,0)</f>
        <v>40.08656300361514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229590</v>
      </c>
      <c r="M359" s="47">
        <f ca="1">M360+M361</f>
        <v>229590</v>
      </c>
      <c r="N359" s="47">
        <f ca="1">N360+N361</f>
        <v>92034.74</v>
      </c>
      <c r="O359" s="47">
        <f ca="1">IF(L359&gt;0,N359*100/L359,0)</f>
        <v>40.08656300361514</v>
      </c>
      <c r="P359" s="47">
        <f ca="1">IF(M359&gt;0,N359*100/M359,0)</f>
        <v>40.08656300361514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IFERROR(__xludf.DUMMYFUNCTION("IMPORTRANGE(""https://docs.google.com/spreadsheets/d/1-uDff_7J0KD5mKrp0Vvzr7lt3OU09vwQwhkpOPPYv2Y/edit?usp=sharing"",""งบพรบ!FC87"")"),229590)</f>
        <v>229590</v>
      </c>
      <c r="M361" s="47">
        <f ca="1">IFERROR(__xludf.DUMMYFUNCTION("IMPORTRANGE(""https://docs.google.com/spreadsheets/d/1-uDff_7J0KD5mKrp0Vvzr7lt3OU09vwQwhkpOPPYv2Y/edit?usp=sharing"",""งบพรบ!FH87"")"),229590)</f>
        <v>229590</v>
      </c>
      <c r="N361" s="47">
        <f ca="1">IFERROR(__xludf.DUMMYFUNCTION("IMPORTRANGE(""https://docs.google.com/spreadsheets/d/1-uDff_7J0KD5mKrp0Vvzr7lt3OU09vwQwhkpOPPYv2Y/edit?usp=sharing"",""งบพรบ!FJ87"")"),92034.74)</f>
        <v>92034.74</v>
      </c>
      <c r="O361" s="47">
        <f ca="1">IF(L361&gt;0,N361*100/L361,0)</f>
        <v>40.08656300361514</v>
      </c>
      <c r="P361" s="47">
        <f ca="1">IF(M361&gt;0,N361*100/M361,0)</f>
        <v>40.08656300361514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IFERROR(__xludf.DUMMYFUNCTION("IMPORTRANGE(""https://docs.google.com/spreadsheets/d/1-uDff_7J0KD5mKrp0Vvzr7lt3OU09vwQwhkpOPPYv2Y/edit?usp=sharing"",""งบพรบ!FF87"")"),0)</f>
        <v>0</v>
      </c>
      <c r="M364" s="47">
        <f ca="1">IFERROR(__xludf.DUMMYFUNCTION("IMPORTRANGE(""https://docs.google.com/spreadsheets/d/1-uDff_7J0KD5mKrp0Vvzr7lt3OU09vwQwhkpOPPYv2Y/edit?usp=sharing"",""งบพรบ!FI87"")"),0)</f>
        <v>0</v>
      </c>
      <c r="N364" s="47">
        <f ca="1">IFERROR(__xludf.DUMMYFUNCTION("IMPORTRANGE(""https://docs.google.com/spreadsheets/d/1-uDff_7J0KD5mKrp0Vvzr7lt3OU09vwQwhkpOPPYv2Y/edit?usp=sharing"",""งบพรบ!FK87"")"),0)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8" t="s">
        <v>149</v>
      </c>
      <c r="E365" s="225"/>
      <c r="F365" s="225"/>
      <c r="G365" s="226"/>
      <c r="H365" s="234" t="s">
        <v>35</v>
      </c>
      <c r="I365" s="228">
        <f ca="1">I371</f>
        <v>77</v>
      </c>
      <c r="J365" s="228">
        <f ca="1">J371</f>
        <v>52</v>
      </c>
      <c r="K365" s="229">
        <f ca="1">IF(I365&gt;0,J365*100/I365,0)</f>
        <v>67.532467532467535</v>
      </c>
      <c r="L365" s="687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IFERROR(__xludf.DUMMYFUNCTION("IMPORTRANGE(""https://docs.google.com/spreadsheets/d/1tdoBKaGub7dwA3U6UFTqxio9LNnvDCQjHKmttSEBsFQ/edit?usp=sharing"",""จัดที่ดิน!AB87"")"),24)</f>
        <v>24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IFERROR(__xludf.DUMMYFUNCTION("IMPORTRANGE(""https://docs.google.com/spreadsheets/d/1eHaY18a8A9IcSdp1K8H6x8fbOy06t2VsZHhMHf-1x7Y/edit?usp=sharing"",""แผน!EW87"")"),230)</f>
        <v>230</v>
      </c>
      <c r="J368" s="686">
        <f ca="1">IFERROR(__xludf.DUMMYFUNCTION("IMPORTRANGE(""https://docs.google.com/spreadsheets/d/1tdoBKaGub7dwA3U6UFTqxio9LNnvDCQjHKmttSEBsFQ/edit?usp=sharing"",""จัดที่ดิน!AC87"")"),198.91)</f>
        <v>198.91</v>
      </c>
      <c r="K368" s="47">
        <f ca="1">IF(I368&gt;0,J368*100/I368,0)</f>
        <v>86.482608695652175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IFERROR(__xludf.DUMMYFUNCTION("IMPORTRANGE(""https://docs.google.com/spreadsheets/d/1eHaY18a8A9IcSdp1K8H6x8fbOy06t2VsZHhMHf-1x7Y/edit?usp=sharing"",""แผน!EX87"")"),77)</f>
        <v>77</v>
      </c>
      <c r="J369" s="152">
        <f ca="1">IFERROR(__xludf.DUMMYFUNCTION("IMPORTRANGE(""https://docs.google.com/spreadsheets/d/1tdoBKaGub7dwA3U6UFTqxio9LNnvDCQjHKmttSEBsFQ/edit?usp=sharing"",""จัดที่ดิน!AD87"")"),76)</f>
        <v>76</v>
      </c>
      <c r="K369" s="47">
        <f ca="1">IF(I369&gt;0,J369*100/I369,0)</f>
        <v>98.701298701298697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6">
        <f ca="1">IFERROR(__xludf.DUMMYFUNCTION("IMPORTRANGE(""https://docs.google.com/spreadsheets/d/1tdoBKaGub7dwA3U6UFTqxio9LNnvDCQjHKmttSEBsFQ/edit?usp=sharing"",""จัดที่ดิน!AE87"")"),578.9)</f>
        <v>578.9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IFERROR(__xludf.DUMMYFUNCTION("IMPORTRANGE(""https://docs.google.com/spreadsheets/d/1eHaY18a8A9IcSdp1K8H6x8fbOy06t2VsZHhMHf-1x7Y/edit?usp=sharing"",""แผน!EY87"")"),77)</f>
        <v>77</v>
      </c>
      <c r="J371" s="152">
        <f ca="1">IFERROR(__xludf.DUMMYFUNCTION("IMPORTRANGE(""https://docs.google.com/spreadsheets/d/1tdoBKaGub7dwA3U6UFTqxio9LNnvDCQjHKmttSEBsFQ/edit?usp=sharing"",""จัดที่ดิน!AF87"")"),52)</f>
        <v>52</v>
      </c>
      <c r="K371" s="47">
        <f ca="1">IF(I371&gt;0,J371*100/I371,0)</f>
        <v>67.532467532467535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6">
        <f ca="1">IFERROR(__xludf.DUMMYFUNCTION("IMPORTRANGE(""https://docs.google.com/spreadsheets/d/1tdoBKaGub7dwA3U6UFTqxio9LNnvDCQjHKmttSEBsFQ/edit?usp=sharing"",""จัดที่ดิน!AG87"")"),379.99)</f>
        <v>379.99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5"/>
      <c r="B374" s="684" t="s">
        <v>153</v>
      </c>
      <c r="C374" s="683"/>
      <c r="D374" s="682"/>
      <c r="E374" s="681"/>
      <c r="F374" s="681"/>
      <c r="G374" s="680"/>
      <c r="H374" s="679" t="s">
        <v>46</v>
      </c>
      <c r="I374" s="678">
        <f ca="1">I386+I388</f>
        <v>150</v>
      </c>
      <c r="J374" s="678">
        <f ca="1">J386+J388</f>
        <v>0</v>
      </c>
      <c r="K374" s="677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9375</v>
      </c>
      <c r="R375" s="132">
        <f ca="1">R376+R377</f>
        <v>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9375</v>
      </c>
      <c r="R377" s="47">
        <f ca="1">R380+R383</f>
        <v>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9375</v>
      </c>
      <c r="R378" s="47">
        <f ca="1">R379+R380</f>
        <v>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IFERROR(__xludf.DUMMYFUNCTION("IMPORTRANGE(""https://docs.google.com/spreadsheets/d/1-uDff_7J0KD5mKrp0Vvzr7lt3OU09vwQwhkpOPPYv2Y/edit?usp=sharing"",""งบพรบ!IE87"")"),0)</f>
        <v>0</v>
      </c>
      <c r="M380" s="47">
        <f ca="1">IFERROR(__xludf.DUMMYFUNCTION("IMPORTRANGE(""https://docs.google.com/spreadsheets/d/1-uDff_7J0KD5mKrp0Vvzr7lt3OU09vwQwhkpOPPYv2Y/edit?usp=sharing"",""งบพรบ!IJ87"")"),0)</f>
        <v>0</v>
      </c>
      <c r="N380" s="47">
        <f ca="1">IFERROR(__xludf.DUMMYFUNCTION("IMPORTRANGE(""https://docs.google.com/spreadsheets/d/1-uDff_7J0KD5mKrp0Vvzr7lt3OU09vwQwhkpOPPYv2Y/edit?usp=sharing"",""งบพรบ!IL87"")"),0)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IFERROR(__xludf.DUMMYFUNCTION("IMPORTRANGE(""https://docs.google.com/spreadsheets/d/1ItG2mGa2ceCfYo0BwxsXqNm01IGEUdYcSSLTEv9YCik/edit?usp=sharing"",""เบิกจ่ายกองทุน!BW87"")"),9375)</f>
        <v>9375</v>
      </c>
      <c r="R380" s="47">
        <f ca="1">IFERROR(__xludf.DUMMYFUNCTION("IMPORTRANGE(""https://docs.google.com/spreadsheets/d/1ItG2mGa2ceCfYo0BwxsXqNm01IGEUdYcSSLTEv9YCik/edit?usp=sharing"",""เบิกจ่ายกองทุน!BX87"")"),0)</f>
        <v>0</v>
      </c>
      <c r="S380" s="47">
        <f ca="1">IFERROR(__xludf.DUMMYFUNCTION("IMPORTRANGE(""https://docs.google.com/spreadsheets/d/1ItG2mGa2ceCfYo0BwxsXqNm01IGEUdYcSSLTEv9YCik/edit?usp=sharing"",""เบิกจ่ายกองทุน!BY87"")"),0)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IFERROR(__xludf.DUMMYFUNCTION("IMPORTRANGE(""https://docs.google.com/spreadsheets/d/1-uDff_7J0KD5mKrp0Vvzr7lt3OU09vwQwhkpOPPYv2Y/edit?usp=sharing"",""งบพรบ!IH87"")"),0)</f>
        <v>0</v>
      </c>
      <c r="M383" s="47">
        <f ca="1">IFERROR(__xludf.DUMMYFUNCTION("IMPORTRANGE(""https://docs.google.com/spreadsheets/d/1-uDff_7J0KD5mKrp0Vvzr7lt3OU09vwQwhkpOPPYv2Y/edit?usp=sharing"",""งบพรบ!IK87"")"),0)</f>
        <v>0</v>
      </c>
      <c r="N383" s="47">
        <f ca="1">IFERROR(__xludf.DUMMYFUNCTION("IMPORTRANGE(""https://docs.google.com/spreadsheets/d/1-uDff_7J0KD5mKrp0Vvzr7lt3OU09vwQwhkpOPPYv2Y/edit?usp=sharing"",""งบพรบ!IM87"")"),0)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IFERROR(__xludf.DUMMYFUNCTION("IMPORTRANGE(""https://docs.google.com/spreadsheets/d/1w5rwWK1o49a35cNtocGL0gxDwhFSTZUQu90BiH9_zqM/edit?usp=sharing"",""RTK!H87"")"),0)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IFERROR(__xludf.DUMMYFUNCTION("IMPORTRANGE(""https://docs.google.com/spreadsheets/d/1w5rwWK1o49a35cNtocGL0gxDwhFSTZUQu90BiH9_zqM/edit?usp=sharing"",""RTK!G87"")"),150)</f>
        <v>150</v>
      </c>
      <c r="J386" s="152">
        <f ca="1">IFERROR(__xludf.DUMMYFUNCTION("IMPORTRANGE(""https://docs.google.com/spreadsheets/d/1w5rwWK1o49a35cNtocGL0gxDwhFSTZUQu90BiH9_zqM/edit?usp=sharing"",""RTK!I87"")"),0)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326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IFERROR(__xludf.DUMMYFUNCTION("IMPORTRANGE(""https://docs.google.com/spreadsheets/d/1w5rwWK1o49a35cNtocGL0gxDwhFSTZUQu90BiH9_zqM/edit?usp=sharing"",""RTK!L87"")"),0)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326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IFERROR(__xludf.DUMMYFUNCTION("IMPORTRANGE(""https://docs.google.com/spreadsheets/d/1w5rwWK1o49a35cNtocGL0gxDwhFSTZUQu90BiH9_zqM/edit?usp=sharing"",""RTK!K87"")"),0)</f>
        <v>0</v>
      </c>
      <c r="J388" s="330">
        <f ca="1">IFERROR(__xludf.DUMMYFUNCTION("IMPORTRANGE(""https://docs.google.com/spreadsheets/d/1w5rwWK1o49a35cNtocGL0gxDwhFSTZUQu90BiH9_zqM/edit?usp=sharing"",""RTK!M87"")"),0)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89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33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IFERROR(__xludf.DUMMYFUNCTION("IMPORTRANGE(""https://docs.google.com/spreadsheets/d/1ItG2mGa2ceCfYo0BwxsXqNm01IGEUdYcSSLTEv9YCik/edit?usp=sharing"",""เบิกจ่ายกองทุน!CL87"")"),0)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IFERROR(__xludf.DUMMYFUNCTION("IMPORTRANGE(""https://docs.google.com/spreadsheets/d/1ItG2mGa2ceCfYo0BwxsXqNm01IGEUdYcSSLTEv9YCik/edit?usp=sharing"",""เบิกจ่ายกองทุน!CM87"")"),0)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IFERROR(__xludf.DUMMYFUNCTION("IMPORTRANGE(""https://docs.google.com/spreadsheets/d/1ItG2mGa2ceCfYo0BwxsXqNm01IGEUdYcSSLTEv9YCik/edit?usp=sharing"",""เบิกจ่ายกองทุน!CN87"")"),0)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89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89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89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89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89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89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89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89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89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33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40" t="s">
        <v>18</v>
      </c>
      <c r="D413" s="676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17560</v>
      </c>
      <c r="M413" s="132">
        <f ca="1">M414+M415</f>
        <v>17560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15150</v>
      </c>
      <c r="R413" s="132">
        <f ca="1">R414+R415</f>
        <v>15150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17560</v>
      </c>
      <c r="M415" s="47">
        <f ca="1">M418+M421</f>
        <v>17560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15150</v>
      </c>
      <c r="R415" s="47">
        <f ca="1">R418+R421</f>
        <v>15150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17560</v>
      </c>
      <c r="M416" s="47">
        <f ca="1">M417+M418</f>
        <v>17560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15150</v>
      </c>
      <c r="R416" s="47">
        <f ca="1">R417+R418</f>
        <v>15150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IFERROR(__xludf.DUMMYFUNCTION("IMPORTRANGE(""https://docs.google.com/spreadsheets/d/1-uDff_7J0KD5mKrp0Vvzr7lt3OU09vwQwhkpOPPYv2Y/edit?usp=sharing"",""งบพรบ!IO87"")"),17560)</f>
        <v>17560</v>
      </c>
      <c r="M418" s="47">
        <f ca="1">IFERROR(__xludf.DUMMYFUNCTION("IMPORTRANGE(""https://docs.google.com/spreadsheets/d/1-uDff_7J0KD5mKrp0Vvzr7lt3OU09vwQwhkpOPPYv2Y/edit?usp=sharing"",""งบพรบ!IT87"")"),17560)</f>
        <v>17560</v>
      </c>
      <c r="N418" s="47">
        <f ca="1">IFERROR(__xludf.DUMMYFUNCTION("IMPORTRANGE(""https://docs.google.com/spreadsheets/d/1-uDff_7J0KD5mKrp0Vvzr7lt3OU09vwQwhkpOPPYv2Y/edit?usp=sharing"",""งบพรบ!IV87"")"),0)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IFERROR(__xludf.DUMMYFUNCTION("IMPORTRANGE(""https://docs.google.com/spreadsheets/d/1ItG2mGa2ceCfYo0BwxsXqNm01IGEUdYcSSLTEv9YCik/edit?usp=sharing"",""เบิกจ่ายกองทุน!BZ87"")"),15150)</f>
        <v>15150</v>
      </c>
      <c r="R418" s="47">
        <f ca="1">IFERROR(__xludf.DUMMYFUNCTION("IMPORTRANGE(""https://docs.google.com/spreadsheets/d/1ItG2mGa2ceCfYo0BwxsXqNm01IGEUdYcSSLTEv9YCik/edit?usp=sharing"",""เบิกจ่ายกองทุน!CA87"")"),15150)</f>
        <v>15150</v>
      </c>
      <c r="S418" s="47">
        <f ca="1">IFERROR(__xludf.DUMMYFUNCTION("IMPORTRANGE(""https://docs.google.com/spreadsheets/d/1ItG2mGa2ceCfYo0BwxsXqNm01IGEUdYcSSLTEv9YCik/edit?usp=sharing"",""เบิกจ่ายกองทุน!CB87"")"),0)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IFERROR(__xludf.DUMMYFUNCTION("IMPORTRANGE(""https://docs.google.com/spreadsheets/d/1-uDff_7J0KD5mKrp0Vvzr7lt3OU09vwQwhkpOPPYv2Y/edit?usp=sharing"",""งบพรบ!IR87"")"),0)</f>
        <v>0</v>
      </c>
      <c r="M421" s="47">
        <f ca="1">IFERROR(__xludf.DUMMYFUNCTION("IMPORTRANGE(""https://docs.google.com/spreadsheets/d/1-uDff_7J0KD5mKrp0Vvzr7lt3OU09vwQwhkpOPPYv2Y/edit?usp=sharing"",""งบพรบ!IU87"")"),0)</f>
        <v>0</v>
      </c>
      <c r="N421" s="47">
        <f ca="1">IFERROR(__xludf.DUMMYFUNCTION("IMPORTRANGE(""https://docs.google.com/spreadsheets/d/1-uDff_7J0KD5mKrp0Vvzr7lt3OU09vwQwhkpOPPYv2Y/edit?usp=sharing"",""งบพรบ!IW87"")"),0)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40" t="s">
        <v>18</v>
      </c>
      <c r="D422" s="674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669"/>
      <c r="B423" s="464" t="s">
        <v>160</v>
      </c>
      <c r="C423" s="463"/>
      <c r="D423" s="463"/>
      <c r="E423" s="463"/>
      <c r="F423" s="463"/>
      <c r="G423" s="474"/>
      <c r="H423" s="671" t="s">
        <v>46</v>
      </c>
      <c r="I423" s="468">
        <f ca="1">I440</f>
        <v>0</v>
      </c>
      <c r="J423" s="673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IFERROR(__xludf.DUMMYFUNCTION("IMPORTRANGE(""https://docs.google.com/spreadsheets/d/1eHaY18a8A9IcSdp1K8H6x8fbOy06t2VsZHhMHf-1x7Y/edit?usp=sharing"",""แผน!HJ87"")"),0)</f>
        <v>0</v>
      </c>
      <c r="J424" s="670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IFERROR(__xludf.DUMMYFUNCTION("IMPORTRANGE(""https://docs.google.com/spreadsheets/d/1eHaY18a8A9IcSdp1K8H6x8fbOy06t2VsZHhMHf-1x7Y/edit?usp=sharing"",""แผน!HK87"")"),0)</f>
        <v>0</v>
      </c>
      <c r="J425" s="670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IFERROR(__xludf.DUMMYFUNCTION("IMPORTRANGE(""https://docs.google.com/spreadsheets/d/1eHaY18a8A9IcSdp1K8H6x8fbOy06t2VsZHhMHf-1x7Y/edit?usp=sharing"",""แผน!HJ87"")"),0)</f>
        <v>0</v>
      </c>
      <c r="J432" s="670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IFERROR(__xludf.DUMMYFUNCTION("IMPORTRANGE(""https://docs.google.com/spreadsheets/d/1eHaY18a8A9IcSdp1K8H6x8fbOy06t2VsZHhMHf-1x7Y/edit?usp=sharing"",""แผน!HK87"")"),0)</f>
        <v>0</v>
      </c>
      <c r="J433" s="670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IFERROR(__xludf.DUMMYFUNCTION("IMPORTRANGE(""https://docs.google.com/spreadsheets/d/1eHaY18a8A9IcSdp1K8H6x8fbOy06t2VsZHhMHf-1x7Y/edit?usp=sharing"",""แผน!HJ87"")"),0)</f>
        <v>0</v>
      </c>
      <c r="J440" s="670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IFERROR(__xludf.DUMMYFUNCTION("IMPORTRANGE(""https://docs.google.com/spreadsheets/d/1eHaY18a8A9IcSdp1K8H6x8fbOy06t2VsZHhMHf-1x7Y/edit?usp=sharing"",""แผน!HK87"")"),0)</f>
        <v>0</v>
      </c>
      <c r="J441" s="670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70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70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2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669"/>
      <c r="B456" s="464" t="s">
        <v>177</v>
      </c>
      <c r="C456" s="463"/>
      <c r="D456" s="463"/>
      <c r="E456" s="463"/>
      <c r="F456" s="463"/>
      <c r="G456" s="474"/>
      <c r="H456" s="671" t="s">
        <v>46</v>
      </c>
      <c r="I456" s="468">
        <f ca="1">I457</f>
        <v>6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IFERROR(__xludf.DUMMYFUNCTION("IMPORTRANGE(""https://docs.google.com/spreadsheets/d/1eHaY18a8A9IcSdp1K8H6x8fbOy06t2VsZHhMHf-1x7Y/edit?usp=sharing"",""แผน!HL87"")"),6)</f>
        <v>6</v>
      </c>
      <c r="J457" s="670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IFERROR(__xludf.DUMMYFUNCTION("IMPORTRANGE(""https://docs.google.com/spreadsheets/d/1eHaY18a8A9IcSdp1K8H6x8fbOy06t2VsZHhMHf-1x7Y/edit?usp=sharing"",""แผน!HM87"")"),0)</f>
        <v>0</v>
      </c>
      <c r="J458" s="670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669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650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IFERROR(__xludf.DUMMYFUNCTION("IMPORTRANGE(""https://docs.google.com/spreadsheets/d/1-uDff_7J0KD5mKrp0Vvzr7lt3OU09vwQwhkpOPPYv2Y/edit?usp=sharing"",""งบพรบ!HU87"")"),0)</f>
        <v>0</v>
      </c>
      <c r="M498" s="47">
        <f ca="1">IFERROR(__xludf.DUMMYFUNCTION("IMPORTRANGE(""https://docs.google.com/spreadsheets/d/1-uDff_7J0KD5mKrp0Vvzr7lt3OU09vwQwhkpOPPYv2Y/edit?usp=sharing"",""งบพรบ!HZ87"")"),0)</f>
        <v>0</v>
      </c>
      <c r="N498" s="47">
        <f ca="1">IFERROR(__xludf.DUMMYFUNCTION("IMPORTRANGE(""https://docs.google.com/spreadsheets/d/1-uDff_7J0KD5mKrp0Vvzr7lt3OU09vwQwhkpOPPYv2Y/edit?usp=sharing"",""งบพรบ!IB87"")"),0)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IFERROR(__xludf.DUMMYFUNCTION("IMPORTRANGE(""https://docs.google.com/spreadsheets/d/1ItG2mGa2ceCfYo0BwxsXqNm01IGEUdYcSSLTEv9YCik/edit?usp=sharing"",""เบิกจ่ายกองทุน!AD87"")"),0)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IFERROR(__xludf.DUMMYFUNCTION("IMPORTRANGE(""https://docs.google.com/spreadsheets/d/1ItG2mGa2ceCfYo0BwxsXqNm01IGEUdYcSSLTEv9YCik/edit?usp=sharing"",""เบิกจ่ายกองทุน!AE87"")"),0)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IFERROR(__xludf.DUMMYFUNCTION("IMPORTRANGE(""https://docs.google.com/spreadsheets/d/1ItG2mGa2ceCfYo0BwxsXqNm01IGEUdYcSSLTEv9YCik/edit?usp=sharing"",""เบิกจ่ายกองทุน!AF87"")"),0)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IFERROR(__xludf.DUMMYFUNCTION("IMPORTRANGE(""https://docs.google.com/spreadsheets/d/1-uDff_7J0KD5mKrp0Vvzr7lt3OU09vwQwhkpOPPYv2Y/edit?usp=sharing"",""งบพรบ!HX87"")"),0)</f>
        <v>0</v>
      </c>
      <c r="M501" s="47">
        <f ca="1">IFERROR(__xludf.DUMMYFUNCTION("IMPORTRANGE(""https://docs.google.com/spreadsheets/d/1-uDff_7J0KD5mKrp0Vvzr7lt3OU09vwQwhkpOPPYv2Y/edit?usp=sharing"",""งบพรบ!IA87"")"),0)</f>
        <v>0</v>
      </c>
      <c r="N501" s="47">
        <f ca="1">IFERROR(__xludf.DUMMYFUNCTION("IMPORTRANGE(""https://docs.google.com/spreadsheets/d/1-uDff_7J0KD5mKrp0Vvzr7lt3OU09vwQwhkpOPPYv2Y/edit?usp=sharing"",""งบพรบ!IC87"")"),0)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IFERROR(__xludf.DUMMYFUNCTION("IMPORTRANGE(""https://docs.google.com/spreadsheets/d/1eHaY18a8A9IcSdp1K8H6x8fbOy06t2VsZHhMHf-1x7Y/edit?usp=sharing"",""แผน!GX87"")"),0)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IFERROR(__xludf.DUMMYFUNCTION("IMPORTRANGE(""https://docs.google.com/spreadsheets/d/1eHaY18a8A9IcSdp1K8H6x8fbOy06t2VsZHhMHf-1x7Y/edit?usp=sharing"",""แผน!GY87"")"),0)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IFERROR(__xludf.DUMMYFUNCTION("IMPORTRANGE(""https://docs.google.com/spreadsheets/d/1eHaY18a8A9IcSdp1K8H6x8fbOy06t2VsZHhMHf-1x7Y/edit?usp=sharing"",""แผน!GZ87"")"),0)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IFERROR(__xludf.DUMMYFUNCTION("IMPORTRANGE(""https://docs.google.com/spreadsheets/d/1eHaY18a8A9IcSdp1K8H6x8fbOy06t2VsZHhMHf-1x7Y/edit?usp=sharing"",""แผน!HA87"")"),0)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IFERROR(__xludf.DUMMYFUNCTION("IMPORTRANGE(""https://docs.google.com/spreadsheets/d/1eHaY18a8A9IcSdp1K8H6x8fbOy06t2VsZHhMHf-1x7Y/edit?usp=sharing"",""แผน!HB87"")"),0)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IFERROR(__xludf.DUMMYFUNCTION("IMPORTRANGE(""https://docs.google.com/spreadsheets/d/1eHaY18a8A9IcSdp1K8H6x8fbOy06t2VsZHhMHf-1x7Y/edit?usp=sharing"",""แผน!HC87"")"),0)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29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26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25" t="s">
        <v>207</v>
      </c>
      <c r="C512" s="372"/>
      <c r="D512" s="373"/>
      <c r="E512" s="373"/>
      <c r="F512" s="373"/>
      <c r="G512" s="374"/>
      <c r="H512" s="824" t="s">
        <v>61</v>
      </c>
      <c r="I512" s="823">
        <f>I524</f>
        <v>0</v>
      </c>
      <c r="J512" s="823">
        <f>J524</f>
        <v>0</v>
      </c>
      <c r="K512" s="822">
        <f>IF(I512&gt;0,J512*100/I512,0)</f>
        <v>0</v>
      </c>
      <c r="L512" s="591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21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0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IFERROR(__xludf.DUMMYFUNCTION("IMPORTRANGE(""https://docs.google.com/spreadsheets/d/1-uDff_7J0KD5mKrp0Vvzr7lt3OU09vwQwhkpOPPYv2Y/edit?usp=sharing"",""งบพรบ!FM87"")"),0)</f>
        <v>0</v>
      </c>
      <c r="M518" s="47">
        <f ca="1">IFERROR(__xludf.DUMMYFUNCTION("IMPORTRANGE(""https://docs.google.com/spreadsheets/d/1-uDff_7J0KD5mKrp0Vvzr7lt3OU09vwQwhkpOPPYv2Y/edit?usp=sharing"",""งบพรบ!FR87"")"),0)</f>
        <v>0</v>
      </c>
      <c r="N518" s="47">
        <f ca="1">IFERROR(__xludf.DUMMYFUNCTION("IMPORTRANGE(""https://docs.google.com/spreadsheets/d/1-uDff_7J0KD5mKrp0Vvzr7lt3OU09vwQwhkpOPPYv2Y/edit?usp=sharing"",""งบพรบ!FT87"")"),0)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0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IFERROR(__xludf.DUMMYFUNCTION("IMPORTRANGE(""https://docs.google.com/spreadsheets/d/1-uDff_7J0KD5mKrp0Vvzr7lt3OU09vwQwhkpOPPYv2Y/edit?usp=sharing"",""งบพรบ!FP87"")"),0)</f>
        <v>0</v>
      </c>
      <c r="M521" s="47">
        <f ca="1">IFERROR(__xludf.DUMMYFUNCTION("IMPORTRANGE(""https://docs.google.com/spreadsheets/d/1-uDff_7J0KD5mKrp0Vvzr7lt3OU09vwQwhkpOPPYv2Y/edit?usp=sharing"",""งบพรบ!FS87"")"),0)</f>
        <v>0</v>
      </c>
      <c r="N521" s="47">
        <f ca="1">IFERROR(__xludf.DUMMYFUNCTION("IMPORTRANGE(""https://docs.google.com/spreadsheets/d/1-uDff_7J0KD5mKrp0Vvzr7lt3OU09vwQwhkpOPPYv2Y/edit?usp=sharing"",""งบพรบ!FU87"")"),0)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1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19" t="s">
        <v>209</v>
      </c>
      <c r="E524" s="264"/>
      <c r="F524" s="1"/>
      <c r="G524" s="53"/>
      <c r="H524" s="818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4"/>
      <c r="B525" s="613"/>
      <c r="C525" s="613"/>
      <c r="D525" s="612"/>
      <c r="E525" s="612"/>
      <c r="F525" s="612"/>
      <c r="G525" s="611"/>
      <c r="H525" s="610"/>
      <c r="I525" s="609"/>
      <c r="J525" s="609"/>
      <c r="K525" s="608"/>
      <c r="L525" s="589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89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89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89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89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89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89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2">
        <f>I545</f>
        <v>0</v>
      </c>
      <c r="J533" s="592">
        <f>J545</f>
        <v>0</v>
      </c>
      <c r="K533" s="377">
        <f>IF(I533&gt;0,J533*100/I533,0)</f>
        <v>0</v>
      </c>
      <c r="L533" s="591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IFERROR(__xludf.DUMMYFUNCTION("IMPORTRANGE(""https://docs.google.com/spreadsheets/d/1-uDff_7J0KD5mKrp0Vvzr7lt3OU09vwQwhkpOPPYv2Y/edit?usp=sharing"",""งบพรบ!FW87"")"),0)</f>
        <v>0</v>
      </c>
      <c r="M539" s="47">
        <f ca="1">IFERROR(__xludf.DUMMYFUNCTION("IMPORTRANGE(""https://docs.google.com/spreadsheets/d/1-uDff_7J0KD5mKrp0Vvzr7lt3OU09vwQwhkpOPPYv2Y/edit?usp=sharing"",""งบพรบ!GB87"")"),0)</f>
        <v>0</v>
      </c>
      <c r="N539" s="47">
        <f ca="1">IFERROR(__xludf.DUMMYFUNCTION("IMPORTRANGE(""https://docs.google.com/spreadsheets/d/1-uDff_7J0KD5mKrp0Vvzr7lt3OU09vwQwhkpOPPYv2Y/edit?usp=sharing"",""งบพรบ!GD87"")"),0)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IFERROR(__xludf.DUMMYFUNCTION("IMPORTRANGE(""https://docs.google.com/spreadsheets/d/1-uDff_7J0KD5mKrp0Vvzr7lt3OU09vwQwhkpOPPYv2Y/edit?usp=sharing"",""งบพรบ!FZ87"")"),0)</f>
        <v>0</v>
      </c>
      <c r="M542" s="47">
        <f ca="1">IFERROR(__xludf.DUMMYFUNCTION("IMPORTRANGE(""https://docs.google.com/spreadsheets/d/1-uDff_7J0KD5mKrp0Vvzr7lt3OU09vwQwhkpOPPYv2Y/edit?usp=sharing"",""งบพรบ!GC87"")"),0)</f>
        <v>0</v>
      </c>
      <c r="N542" s="47">
        <f ca="1">IFERROR(__xludf.DUMMYFUNCTION("IMPORTRANGE(""https://docs.google.com/spreadsheets/d/1-uDff_7J0KD5mKrp0Vvzr7lt3OU09vwQwhkpOPPYv2Y/edit?usp=sharing"",""งบพรบ!GE87"")"),0)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89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89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89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89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89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89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89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89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89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2">
        <f>I566</f>
        <v>0</v>
      </c>
      <c r="J554" s="592">
        <f>J566</f>
        <v>0</v>
      </c>
      <c r="K554" s="377">
        <f>IF(I554&gt;0,J554*100/I554,0)</f>
        <v>0</v>
      </c>
      <c r="L554" s="591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IFERROR(__xludf.DUMMYFUNCTION("IMPORTRANGE(""https://docs.google.com/spreadsheets/d/1-uDff_7J0KD5mKrp0Vvzr7lt3OU09vwQwhkpOPPYv2Y/edit?usp=sharing"",""งบพรบ!GG87"")"),0)</f>
        <v>0</v>
      </c>
      <c r="M560" s="47">
        <f ca="1">IFERROR(__xludf.DUMMYFUNCTION("IMPORTRANGE(""https://docs.google.com/spreadsheets/d/1-uDff_7J0KD5mKrp0Vvzr7lt3OU09vwQwhkpOPPYv2Y/edit?usp=sharing"",""งบพรบ!GL87"")"),0)</f>
        <v>0</v>
      </c>
      <c r="N560" s="47">
        <f ca="1">IFERROR(__xludf.DUMMYFUNCTION("IMPORTRANGE(""https://docs.google.com/spreadsheets/d/1-uDff_7J0KD5mKrp0Vvzr7lt3OU09vwQwhkpOPPYv2Y/edit?usp=sharing"",""งบพรบ!GN87"")"),0)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IFERROR(__xludf.DUMMYFUNCTION("IMPORTRANGE(""https://docs.google.com/spreadsheets/d/1-uDff_7J0KD5mKrp0Vvzr7lt3OU09vwQwhkpOPPYv2Y/edit?usp=sharing"",""งบพรบ!GJ87"")"),0)</f>
        <v>0</v>
      </c>
      <c r="M563" s="47">
        <f ca="1">IFERROR(__xludf.DUMMYFUNCTION("IMPORTRANGE(""https://docs.google.com/spreadsheets/d/1-uDff_7J0KD5mKrp0Vvzr7lt3OU09vwQwhkpOPPYv2Y/edit?usp=sharing"",""งบพรบ!GM87"")"),0)</f>
        <v>0</v>
      </c>
      <c r="N563" s="47">
        <f ca="1">IFERROR(__xludf.DUMMYFUNCTION("IMPORTRANGE(""https://docs.google.com/spreadsheets/d/1-uDff_7J0KD5mKrp0Vvzr7lt3OU09vwQwhkpOPPYv2Y/edit?usp=sharing"",""งบพรบ!GO87"")"),0)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89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89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89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89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89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89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89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89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89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2">
        <f>I587</f>
        <v>0</v>
      </c>
      <c r="J575" s="592">
        <f>J587</f>
        <v>0</v>
      </c>
      <c r="K575" s="377">
        <f>IF(I575&gt;0,J575*100/I575,0)</f>
        <v>0</v>
      </c>
      <c r="L575" s="591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IFERROR(__xludf.DUMMYFUNCTION("IMPORTRANGE(""https://docs.google.com/spreadsheets/d/1-uDff_7J0KD5mKrp0Vvzr7lt3OU09vwQwhkpOPPYv2Y/edit?usp=sharing"",""งบพรบ!GQ87"")"),0)</f>
        <v>0</v>
      </c>
      <c r="M581" s="47">
        <f ca="1">IFERROR(__xludf.DUMMYFUNCTION("IMPORTRANGE(""https://docs.google.com/spreadsheets/d/1-uDff_7J0KD5mKrp0Vvzr7lt3OU09vwQwhkpOPPYv2Y/edit?usp=sharing"",""งบพรบ!GV87"")"),0)</f>
        <v>0</v>
      </c>
      <c r="N581" s="47">
        <f ca="1">IFERROR(__xludf.DUMMYFUNCTION("IMPORTRANGE(""https://docs.google.com/spreadsheets/d/1-uDff_7J0KD5mKrp0Vvzr7lt3OU09vwQwhkpOPPYv2Y/edit?usp=sharing"",""งบพรบ!GX87"")"),0)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IFERROR(__xludf.DUMMYFUNCTION("IMPORTRANGE(""https://docs.google.com/spreadsheets/d/1-uDff_7J0KD5mKrp0Vvzr7lt3OU09vwQwhkpOPPYv2Y/edit?usp=sharing"",""งบพรบ!GT87"")"),0)</f>
        <v>0</v>
      </c>
      <c r="M584" s="47">
        <f ca="1">IFERROR(__xludf.DUMMYFUNCTION("IMPORTRANGE(""https://docs.google.com/spreadsheets/d/1-uDff_7J0KD5mKrp0Vvzr7lt3OU09vwQwhkpOPPYv2Y/edit?usp=sharing"",""งบพรบ!GW87"")"),0)</f>
        <v>0</v>
      </c>
      <c r="N584" s="47">
        <f ca="1">IFERROR(__xludf.DUMMYFUNCTION("IMPORTRANGE(""https://docs.google.com/spreadsheets/d/1-uDff_7J0KD5mKrp0Vvzr7lt3OU09vwQwhkpOPPYv2Y/edit?usp=sharing"",""งบพรบ!GY87"")"),0)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89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89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89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89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89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89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89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89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89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hidden="1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35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hidden="1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35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hidden="1" x14ac:dyDescent="0.3">
      <c r="A599" s="416"/>
      <c r="B599" s="326"/>
      <c r="C599" s="417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2">
        <f ca="1">L600+L601</f>
        <v>0</v>
      </c>
      <c r="M599" s="421">
        <f ca="1">M600+M601</f>
        <v>0</v>
      </c>
      <c r="N599" s="421">
        <f ca="1">N600+N601</f>
        <v>0</v>
      </c>
      <c r="O599" s="421">
        <f ca="1">IF(L599&gt;0,N599*100/L599,0)</f>
        <v>0</v>
      </c>
      <c r="P599" s="421">
        <f ca="1">IF(M599&gt;0,N599*100/M599,0)</f>
        <v>0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1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1">
        <f ca="1">L604+L607</f>
        <v>0</v>
      </c>
      <c r="M601" s="331">
        <f ca="1">M604+M607</f>
        <v>0</v>
      </c>
      <c r="N601" s="331">
        <f ca="1">N604+N607</f>
        <v>0</v>
      </c>
      <c r="O601" s="331">
        <f ca="1">IF(L601&gt;0,N601*100/L601,0)</f>
        <v>0</v>
      </c>
      <c r="P601" s="331">
        <f ca="1">IF(M601&gt;0,N601*100/M601,0)</f>
        <v>0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9.5" hidden="1" x14ac:dyDescent="0.3">
      <c r="A602" s="416"/>
      <c r="B602" s="326"/>
      <c r="C602" s="326"/>
      <c r="D602" s="418" t="s">
        <v>22</v>
      </c>
      <c r="E602" s="424"/>
      <c r="F602" s="424"/>
      <c r="G602" s="425"/>
      <c r="H602" s="419" t="s">
        <v>14</v>
      </c>
      <c r="I602" s="428"/>
      <c r="J602" s="428"/>
      <c r="K602" s="429"/>
      <c r="L602" s="721">
        <f ca="1">L603+L604</f>
        <v>0</v>
      </c>
      <c r="M602" s="331">
        <f ca="1">M603+M604</f>
        <v>0</v>
      </c>
      <c r="N602" s="331">
        <f ca="1">N603+N604</f>
        <v>0</v>
      </c>
      <c r="O602" s="331">
        <f ca="1">IF(L602&gt;0,N602*100/L602,0)</f>
        <v>0</v>
      </c>
      <c r="P602" s="331">
        <f ca="1">IF(M602&gt;0,N602*100/M602,0)</f>
        <v>0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1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1">
        <f ca="1">IFERROR(__xludf.DUMMYFUNCTION("IMPORTRANGE(""https://docs.google.com/spreadsheets/d/1-uDff_7J0KD5mKrp0Vvzr7lt3OU09vwQwhkpOPPYv2Y/edit?usp=sharing"",""งบพรบ!HK87"")"),0)</f>
        <v>0</v>
      </c>
      <c r="M604" s="331">
        <f ca="1">IFERROR(__xludf.DUMMYFUNCTION("IMPORTRANGE(""https://docs.google.com/spreadsheets/d/1-uDff_7J0KD5mKrp0Vvzr7lt3OU09vwQwhkpOPPYv2Y/edit?usp=sharing"",""งบพรบ!HP87"")"),0)</f>
        <v>0</v>
      </c>
      <c r="N604" s="331">
        <f ca="1">IFERROR(__xludf.DUMMYFUNCTION("IMPORTRANGE(""https://docs.google.com/spreadsheets/d/1-uDff_7J0KD5mKrp0Vvzr7lt3OU09vwQwhkpOPPYv2Y/edit?usp=sharing"",""งบพรบ!HR87"")"),0)</f>
        <v>0</v>
      </c>
      <c r="O604" s="331">
        <f ca="1">IF(L604&gt;0,N604*100/L604,0)</f>
        <v>0</v>
      </c>
      <c r="P604" s="331">
        <f ca="1">IF(M604&gt;0,N604*100/M604,0)</f>
        <v>0</v>
      </c>
      <c r="Q604" s="331">
        <f ca="1">IFERROR(__xludf.DUMMYFUNCTION("IMPORTRANGE(""https://docs.google.com/spreadsheets/d/1ItG2mGa2ceCfYo0BwxsXqNm01IGEUdYcSSLTEv9YCik/edit?usp=sharing"",""เบิกจ่ายกองทุน!AV87"")"),0)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IFERROR(__xludf.DUMMYFUNCTION("IMPORTRANGE(""https://docs.google.com/spreadsheets/d/1ItG2mGa2ceCfYo0BwxsXqNm01IGEUdYcSSLTEv9YCik/edit?usp=sharing"",""เบิกจ่ายกองทุน!AW87"")"),0)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IFERROR(__xludf.DUMMYFUNCTION("IMPORTRANGE(""https://docs.google.com/spreadsheets/d/1ItG2mGa2ceCfYo0BwxsXqNm01IGEUdYcSSLTEv9YCik/edit?usp=sharing"",""เบิกจ่ายกองทุน!AX87"")"),0)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9.5" hidden="1" x14ac:dyDescent="0.3">
      <c r="A605" s="416"/>
      <c r="B605" s="326"/>
      <c r="C605" s="326"/>
      <c r="D605" s="418" t="s">
        <v>23</v>
      </c>
      <c r="E605" s="326"/>
      <c r="F605" s="424"/>
      <c r="G605" s="425"/>
      <c r="H605" s="430" t="s">
        <v>14</v>
      </c>
      <c r="I605" s="428"/>
      <c r="J605" s="428"/>
      <c r="K605" s="429"/>
      <c r="L605" s="721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IFERROR(__xludf.DUMMYFUNCTION("IMPORTRANGE(""https://docs.google.com/spreadsheets/d/1-uDff_7J0KD5mKrp0Vvzr7lt3OU09vwQwhkpOPPYv2Y/edit?usp=sharing"",""งบพรบ!HN87"")"),0)</f>
        <v>0</v>
      </c>
      <c r="M607" s="47">
        <f ca="1">IFERROR(__xludf.DUMMYFUNCTION("IMPORTRANGE(""https://docs.google.com/spreadsheets/d/1-uDff_7J0KD5mKrp0Vvzr7lt3OU09vwQwhkpOPPYv2Y/edit?usp=sharing"",""งบพรบ!HQ87"")"),0)</f>
        <v>0</v>
      </c>
      <c r="N607" s="47">
        <f ca="1">IFERROR(__xludf.DUMMYFUNCTION("IMPORTRANGE(""https://docs.google.com/spreadsheets/d/1-uDff_7J0KD5mKrp0Vvzr7lt3OU09vwQwhkpOPPYv2Y/edit?usp=sharing"",""งบพรบ!HS87"")"),0)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IFERROR(__xludf.DUMMYFUNCTION("IMPORTRANGE(""https://docs.google.com/spreadsheets/d/1ItG2mGa2ceCfYo0BwxsXqNm01IGEUdYcSSLTEv9YCik/edit?usp=sharing"",""เบิกจ่ายกองทุน!AY87"")"),0)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IFERROR(__xludf.DUMMYFUNCTION("IMPORTRANGE(""https://docs.google.com/spreadsheets/d/1ItG2mGa2ceCfYo0BwxsXqNm01IGEUdYcSSLTEv9YCik/edit?usp=sharing"",""เบิกจ่ายกองทุน!AZ87"")"),0)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IFERROR(__xludf.DUMMYFUNCTION("IMPORTRANGE(""https://docs.google.com/spreadsheets/d/1ItG2mGa2ceCfYo0BwxsXqNm01IGEUdYcSSLTEv9YCik/edit?usp=sharing"",""เบิกจ่ายกองทุน!BA87"")"),0)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1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0"/>
      <c r="B612" s="579"/>
      <c r="C612" s="579"/>
      <c r="D612" s="579"/>
      <c r="E612" s="578" t="s">
        <v>222</v>
      </c>
      <c r="F612" s="577"/>
      <c r="G612" s="576"/>
      <c r="H612" s="575" t="s">
        <v>35</v>
      </c>
      <c r="I612" s="574"/>
      <c r="J612" s="574"/>
      <c r="K612" s="573"/>
      <c r="L612" s="572"/>
      <c r="M612" s="571"/>
      <c r="N612" s="571"/>
      <c r="O612" s="571"/>
      <c r="P612" s="571"/>
      <c r="Q612" s="571"/>
      <c r="R612" s="571"/>
      <c r="S612" s="571"/>
      <c r="T612" s="571"/>
      <c r="U612" s="571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0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56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463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188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7275</v>
      </c>
      <c r="R616" s="132">
        <f ca="1">R617+R618</f>
        <v>7275</v>
      </c>
      <c r="S616" s="132">
        <f ca="1">S617+S618</f>
        <v>5850</v>
      </c>
      <c r="T616" s="132">
        <f ca="1">IF(Q616&gt;0,S616*100/Q616,0)</f>
        <v>80.412371134020617</v>
      </c>
      <c r="U616" s="132">
        <f ca="1">IF(R616&gt;0,S616*100/R616,0)</f>
        <v>80.412371134020617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7275</v>
      </c>
      <c r="R618" s="47">
        <f ca="1">R621+R624</f>
        <v>7275</v>
      </c>
      <c r="S618" s="47">
        <f ca="1">S621+S624</f>
        <v>5850</v>
      </c>
      <c r="T618" s="47">
        <f ca="1">IF(Q618&gt;0,S618*100/Q618,0)</f>
        <v>80.412371134020617</v>
      </c>
      <c r="U618" s="47">
        <f ca="1">IF(R618&gt;0,S618*100/R618,0)</f>
        <v>80.412371134020617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7275</v>
      </c>
      <c r="R619" s="47">
        <f ca="1">R620+R621</f>
        <v>7275</v>
      </c>
      <c r="S619" s="47">
        <f ca="1">S620+S621</f>
        <v>5850</v>
      </c>
      <c r="T619" s="47">
        <f ca="1">IF(Q619&gt;0,S619*100/Q619,0)</f>
        <v>80.412371134020617</v>
      </c>
      <c r="U619" s="47">
        <f ca="1">IF(R619&gt;0,S619*100/R619,0)</f>
        <v>80.412371134020617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IFERROR(__xludf.DUMMYFUNCTION("IMPORTRANGE(""https://docs.google.com/spreadsheets/d/1ItG2mGa2ceCfYo0BwxsXqNm01IGEUdYcSSLTEv9YCik/edit?usp=sharing"",""เบิกจ่ายกองทุน!F87"")"),7275)</f>
        <v>7275</v>
      </c>
      <c r="R621" s="47">
        <f ca="1">IFERROR(__xludf.DUMMYFUNCTION("IMPORTRANGE(""https://docs.google.com/spreadsheets/d/1ItG2mGa2ceCfYo0BwxsXqNm01IGEUdYcSSLTEv9YCik/edit?usp=sharing"",""เบิกจ่ายกองทุน!G87"")"),7275)</f>
        <v>7275</v>
      </c>
      <c r="S621" s="47">
        <f ca="1">IFERROR(__xludf.DUMMYFUNCTION("IMPORTRANGE(""https://docs.google.com/spreadsheets/d/1ItG2mGa2ceCfYo0BwxsXqNm01IGEUdYcSSLTEv9YCik/edit?usp=sharing"",""เบิกจ่ายกองทุน!H87"")"),5850)</f>
        <v>5850</v>
      </c>
      <c r="T621" s="47">
        <f ca="1">IF(Q621&gt;0,S621*100/Q621,0)</f>
        <v>80.412371134020617</v>
      </c>
      <c r="U621" s="47">
        <f ca="1">IF(R621&gt;0,S621*100/R621,0)</f>
        <v>80.412371134020617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IFERROR(__xludf.DUMMYFUNCTION("IMPORTRANGE(""https://docs.google.com/spreadsheets/d/1eHaY18a8A9IcSdp1K8H6x8fbOy06t2VsZHhMHf-1x7Y/edit?usp=sharing"",""แผน!ID87"")"),50)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IFERROR(__xludf.DUMMYFUNCTION("IMPORTRANGE(""https://docs.google.com/spreadsheets/d/1eHaY18a8A9IcSdp1K8H6x8fbOy06t2VsZHhMHf-1x7Y/edit?usp=sharing"",""แผน!IC87"")"),1)</f>
        <v>1</v>
      </c>
      <c r="J627" s="167">
        <v>7</v>
      </c>
      <c r="K627" s="47">
        <f ca="1">IF(I627&gt;0,(J627*100)/I627,0)</f>
        <v>700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IFERROR(__xludf.DUMMYFUNCTION("IMPORTRANGE(""https://docs.google.com/spreadsheets/d/1eHaY18a8A9IcSdp1K8H6x8fbOy06t2VsZHhMHf-1x7Y/edit?usp=sharing"",""แผน!IC87"")"),1)</f>
        <v>1</v>
      </c>
      <c r="J628" s="167">
        <v>7</v>
      </c>
      <c r="K628" s="47">
        <f ca="1">IF(I628&gt;0,(J628*100)/I628,0)</f>
        <v>700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IFERROR(__xludf.DUMMYFUNCTION("IMPORTRANGE(""https://docs.google.com/spreadsheets/d/1eHaY18a8A9IcSdp1K8H6x8fbOy06t2VsZHhMHf-1x7Y/edit?usp=sharing"",""แผน!IE87"")"),0)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63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IFERROR(__xludf.DUMMYFUNCTION("IMPORTRANGE(""https://docs.google.com/spreadsheets/d/1ItG2mGa2ceCfYo0BwxsXqNm01IGEUdYcSSLTEv9YCik/edit?usp=sharing"",""เบิกจ่ายกองทุน!I87"")"),0)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IFERROR(__xludf.DUMMYFUNCTION("IMPORTRANGE(""https://docs.google.com/spreadsheets/d/1ItG2mGa2ceCfYo0BwxsXqNm01IGEUdYcSSLTEv9YCik/edit?usp=sharing"",""เบิกจ่ายกองทุน!J87"")"),0)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IFERROR(__xludf.DUMMYFUNCTION("IMPORTRANGE(""https://docs.google.com/spreadsheets/d/1ItG2mGa2ceCfYo0BwxsXqNm01IGEUdYcSSLTEv9YCik/edit?usp=sharing"",""เบิกจ่ายกองทุน!K87"")"),0)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IFERROR(__xludf.DUMMYFUNCTION("IMPORTRANGE(""https://docs.google.com/spreadsheets/d/1eHaY18a8A9IcSdp1K8H6x8fbOy06t2VsZHhMHf-1x7Y/edit?usp=sharing"",""แผน!IF87"")"),0)</f>
        <v>0</v>
      </c>
      <c r="J652" s="152">
        <f ca="1">IFERROR(__xludf.DUMMYFUNCTION("IMPORTRANGE(""https://docs.google.com/spreadsheets/d/1tdoBKaGub7dwA3U6UFTqxio9LNnvDCQjHKmttSEBsFQ/edit?usp=sharing"",""จัดที่ดิน!AU87"")"),0)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IFERROR(__xludf.DUMMYFUNCTION("IMPORTRANGE(""https://docs.google.com/spreadsheets/d/1eHaY18a8A9IcSdp1K8H6x8fbOy06t2VsZHhMHf-1x7Y/edit?usp=sharing"",""แผน!IG87"")"),0)</f>
        <v>0</v>
      </c>
      <c r="J653" s="152">
        <f ca="1">IFERROR(__xludf.DUMMYFUNCTION("IMPORTRANGE(""https://docs.google.com/spreadsheets/d/1tdoBKaGub7dwA3U6UFTqxio9LNnvDCQjHKmttSEBsFQ/edit?usp=sharing"",""จัดที่ดิน!AW87"")"),0)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IFERROR(__xludf.DUMMYFUNCTION("IMPORTRANGE(""https://docs.google.com/spreadsheets/d/1eHaY18a8A9IcSdp1K8H6x8fbOy06t2VsZHhMHf-1x7Y/edit?usp=sharing"",""แผน!IH87"")"),0)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IFERROR(__xludf.DUMMYFUNCTION("IMPORTRANGE(""https://docs.google.com/spreadsheets/d/1eHaY18a8A9IcSdp1K8H6x8fbOy06t2VsZHhMHf-1x7Y/edit?usp=sharing"",""แผน!II87"")"),0)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IFERROR(__xludf.DUMMYFUNCTION("IMPORTRANGE(""https://docs.google.com/spreadsheets/d/1eHaY18a8A9IcSdp1K8H6x8fbOy06t2VsZHhMHf-1x7Y/edit?usp=sharing"",""แผน!IJ87"")"),0)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IFERROR(__xludf.DUMMYFUNCTION("IMPORTRANGE(""https://docs.google.com/spreadsheets/d/1eHaY18a8A9IcSdp1K8H6x8fbOy06t2VsZHhMHf-1x7Y/edit?usp=sharing"",""แผน!IK87"")"),0)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IFERROR(__xludf.DUMMYFUNCTION("IMPORTRANGE(""https://docs.google.com/spreadsheets/d/1tdoBKaGub7dwA3U6UFTqxio9LNnvDCQjHKmttSEBsFQ/edit?usp=sharing"",""จัดที่ดิน!AY87"")"),0)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IFERROR(__xludf.DUMMYFUNCTION("IMPORTRANGE(""https://docs.google.com/spreadsheets/d/1tdoBKaGub7dwA3U6UFTqxio9LNnvDCQjHKmttSEBsFQ/edit?usp=sharing"",""จัดที่ดิน!AZ87"")"),0)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IFERROR(__xludf.DUMMYFUNCTION("IMPORTRANGE(""https://docs.google.com/spreadsheets/d/1eHaY18a8A9IcSdp1K8H6x8fbOy06t2VsZHhMHf-1x7Y/edit?usp=sharing"",""แผน!IL87"")"),0)</f>
        <v>0</v>
      </c>
      <c r="J673" s="152">
        <f ca="1">IFERROR(__xludf.DUMMYFUNCTION("IMPORTRANGE(""https://docs.google.com/spreadsheets/d/1tdoBKaGub7dwA3U6UFTqxio9LNnvDCQjHKmttSEBsFQ/edit?usp=sharing"",""จัดที่ดิน!BA87"")"),0)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IFERROR(__xludf.DUMMYFUNCTION("IMPORTRANGE(""https://docs.google.com/spreadsheets/d/1eHaY18a8A9IcSdp1K8H6x8fbOy06t2VsZHhMHf-1x7Y/edit?usp=sharing"",""แผน!IM87"")"),0)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IFERROR(__xludf.DUMMYFUNCTION("IMPORTRANGE(""https://docs.google.com/spreadsheets/d/1eHaY18a8A9IcSdp1K8H6x8fbOy06t2VsZHhMHf-1x7Y/edit?usp=sharing"",""แผน!IN87"")"),0)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IFERROR(__xludf.DUMMYFUNCTION("IMPORTRANGE(""https://docs.google.com/spreadsheets/d/1eHaY18a8A9IcSdp1K8H6x8fbOy06t2VsZHhMHf-1x7Y/edit?usp=sharing"",""แผน!IO87"")"),0)</f>
        <v>0</v>
      </c>
      <c r="J676" s="152">
        <f ca="1">IFERROR(__xludf.DUMMYFUNCTION("IMPORTRANGE(""https://docs.google.com/spreadsheets/d/1tdoBKaGub7dwA3U6UFTqxio9LNnvDCQjHKmttSEBsFQ/edit?usp=sharing"",""จัดที่ดิน!BF87"")"),0)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IFERROR(__xludf.DUMMYFUNCTION("IMPORTRANGE(""https://docs.google.com/spreadsheets/d/1tdoBKaGub7dwA3U6UFTqxio9LNnvDCQjHKmttSEBsFQ/edit?usp=sharing"",""จัดที่ดิน!BG87"")"),0)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IFERROR(__xludf.DUMMYFUNCTION("IMPORTRANGE(""https://docs.google.com/spreadsheets/d/1eHaY18a8A9IcSdp1K8H6x8fbOy06t2VsZHhMHf-1x7Y/edit?usp=sharing"",""แผน!IP87"")"),0)</f>
        <v>0</v>
      </c>
      <c r="J678" s="152">
        <f ca="1">IFERROR(__xludf.DUMMYFUNCTION("IMPORTRANGE(""https://docs.google.com/spreadsheets/d/1tdoBKaGub7dwA3U6UFTqxio9LNnvDCQjHKmttSEBsFQ/edit?usp=sharing"",""จัดที่ดิน!BH87"")"),0)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IFERROR(__xludf.DUMMYFUNCTION("IMPORTRANGE(""https://docs.google.com/spreadsheets/d/1eHaY18a8A9IcSdp1K8H6x8fbOy06t2VsZHhMHf-1x7Y/edit?usp=sharing"",""แผน!IQ87"")"),0)</f>
        <v>0</v>
      </c>
      <c r="J679" s="152">
        <f ca="1">IFERROR(__xludf.DUMMYFUNCTION("IMPORTRANGE(""https://docs.google.com/spreadsheets/d/1tdoBKaGub7dwA3U6UFTqxio9LNnvDCQjHKmttSEBsFQ/edit?usp=sharing"",""จัดที่ดิน!BK87"")"),0)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IFERROR(__xludf.DUMMYFUNCTION("IMPORTRANGE(""https://docs.google.com/spreadsheets/d/1tdoBKaGub7dwA3U6UFTqxio9LNnvDCQjHKmttSEBsFQ/edit?usp=sharing"",""จัดที่ดิน!BL87"")"),0)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IFERROR(__xludf.DUMMYFUNCTION("IMPORTRANGE(""https://docs.google.com/spreadsheets/d/1eHaY18a8A9IcSdp1K8H6x8fbOy06t2VsZHhMHf-1x7Y/edit?usp=sharing"",""แผน!IR87"")"),0)</f>
        <v>0</v>
      </c>
      <c r="J681" s="152">
        <f ca="1">IFERROR(__xludf.DUMMYFUNCTION("IMPORTRANGE(""https://docs.google.com/spreadsheets/d/1tdoBKaGub7dwA3U6UFTqxio9LNnvDCQjHKmttSEBsFQ/edit?usp=sharing"",""จัดที่ดิน!BM87"")"),0)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IFERROR(__xludf.DUMMYFUNCTION("IMPORTRANGE(""https://docs.google.com/spreadsheets/d/1eHaY18a8A9IcSdp1K8H6x8fbOy06t2VsZHhMHf-1x7Y/edit?usp=sharing"",""แผน!IS87"")"),0)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56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62580</v>
      </c>
      <c r="R690" s="132">
        <f ca="1">R691+R692</f>
        <v>62580</v>
      </c>
      <c r="S690" s="132">
        <f ca="1">S691+S692</f>
        <v>21021.95</v>
      </c>
      <c r="T690" s="132">
        <f ca="1">IF(Q690&gt;0,S690*100/Q690,0)</f>
        <v>33.592122083732825</v>
      </c>
      <c r="U690" s="132">
        <f ca="1">IF(R690&gt;0,S690*100/R690,0)</f>
        <v>33.592122083732825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62580</v>
      </c>
      <c r="R692" s="47">
        <f ca="1">R695+R698</f>
        <v>62580</v>
      </c>
      <c r="S692" s="47">
        <f ca="1">S695+S698</f>
        <v>21021.95</v>
      </c>
      <c r="T692" s="47">
        <f ca="1">IF(Q692&gt;0,S692*100/Q692,0)</f>
        <v>33.592122083732825</v>
      </c>
      <c r="U692" s="47">
        <f ca="1">IF(R692&gt;0,S692*100/R692,0)</f>
        <v>33.592122083732825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62580</v>
      </c>
      <c r="R693" s="47">
        <f ca="1">R694+R695</f>
        <v>62580</v>
      </c>
      <c r="S693" s="47">
        <f ca="1">S694+S695</f>
        <v>21021.95</v>
      </c>
      <c r="T693" s="47">
        <f ca="1">IF(Q693&gt;0,S693*100/Q693,0)</f>
        <v>33.592122083732825</v>
      </c>
      <c r="U693" s="47">
        <f ca="1">IF(R693&gt;0,S693*100/R693,0)</f>
        <v>33.592122083732825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IFERROR(__xludf.DUMMYFUNCTION("IMPORTRANGE(""https://docs.google.com/spreadsheets/d/1ItG2mGa2ceCfYo0BwxsXqNm01IGEUdYcSSLTEv9YCik/edit?usp=sharing"",""เบิกจ่ายกองทุน!L87"")"),62580)</f>
        <v>62580</v>
      </c>
      <c r="R695" s="47">
        <f ca="1">IFERROR(__xludf.DUMMYFUNCTION("IMPORTRANGE(""https://docs.google.com/spreadsheets/d/1ItG2mGa2ceCfYo0BwxsXqNm01IGEUdYcSSLTEv9YCik/edit?usp=sharing"",""เบิกจ่ายกองทุน!M87"")"),62580)</f>
        <v>62580</v>
      </c>
      <c r="S695" s="47">
        <f ca="1">IFERROR(__xludf.DUMMYFUNCTION("IMPORTRANGE(""https://docs.google.com/spreadsheets/d/1ItG2mGa2ceCfYo0BwxsXqNm01IGEUdYcSSLTEv9YCik/edit?usp=sharing"",""เบิกจ่ายกองทุน!N87"")"),21021.95)</f>
        <v>21021.95</v>
      </c>
      <c r="T695" s="47">
        <f ca="1">IF(Q695&gt;0,S695*100/Q695,0)</f>
        <v>33.592122083732825</v>
      </c>
      <c r="U695" s="47">
        <f ca="1">IF(R695&gt;0,S695*100/R695,0)</f>
        <v>33.592122083732825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IFERROR(__xludf.DUMMYFUNCTION("IMPORTRANGE(""https://docs.google.com/spreadsheets/d/1eHaY18a8A9IcSdp1K8H6x8fbOy06t2VsZHhMHf-1x7Y/edit?usp=sharing"",""แผน!LC87"")"),0)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IFERROR(__xludf.DUMMYFUNCTION("IMPORTRANGE(""https://docs.google.com/spreadsheets/d/1eHaY18a8A9IcSdp1K8H6x8fbOy06t2VsZHhMHf-1x7Y/edit?usp=sharing"",""แผน!LJ87"")"),0)</f>
        <v>0</v>
      </c>
      <c r="J703" s="152">
        <f ca="1">IFERROR(__xludf.DUMMYFUNCTION("IMPORTRANGE(""https://docs.google.com/spreadsheets/d/1tdoBKaGub7dwA3U6UFTqxio9LNnvDCQjHKmttSEBsFQ/edit?usp=sharing"",""จัดที่ดิน!AP87"")"),0)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IFERROR(__xludf.DUMMYFUNCTION("IMPORTRANGE(""https://docs.google.com/spreadsheets/d/1tdoBKaGub7dwA3U6UFTqxio9LNnvDCQjHKmttSEBsFQ/edit?usp=sharing"",""จัดที่ดิน!AQ87"")"),0)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IFERROR(__xludf.DUMMYFUNCTION("IMPORTRANGE(""https://docs.google.com/spreadsheets/d/1eHaY18a8A9IcSdp1K8H6x8fbOy06t2VsZHhMHf-1x7Y/edit?usp=sharing"",""แผน!LK87"")"),5)</f>
        <v>5</v>
      </c>
      <c r="J705" s="152">
        <f ca="1">IFERROR(__xludf.DUMMYFUNCTION("IMPORTRANGE(""https://docs.google.com/spreadsheets/d/1tdoBKaGub7dwA3U6UFTqxio9LNnvDCQjHKmttSEBsFQ/edit?usp=sharing"",""จัดที่ดิน!AR87"")"),0)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IFERROR(__xludf.DUMMYFUNCTION("IMPORTRANGE(""https://docs.google.com/spreadsheets/d/1tdoBKaGub7dwA3U6UFTqxio9LNnvDCQjHKmttSEBsFQ/edit?usp=sharing"",""จัดที่ดิน!AS87"")"),0)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IFERROR(__xludf.DUMMYFUNCTION("IMPORTRANGE(""https://docs.google.com/spreadsheets/d/1eHaY18a8A9IcSdp1K8H6x8fbOy06t2VsZHhMHf-1x7Y/edit?usp=sharing"",""แผน!LJ87"")"),0)</f>
        <v>0</v>
      </c>
      <c r="J707" s="152">
        <f ca="1">IFERROR(__xludf.DUMMYFUNCTION("IMPORTRANGE(""https://docs.google.com/spreadsheets/d/1tdoBKaGub7dwA3U6UFTqxio9LNnvDCQjHKmttSEBsFQ/edit?usp=sharing"",""จัดที่ดิน!BN87"")"),0)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IFERROR(__xludf.DUMMYFUNCTION("IMPORTRANGE(""https://docs.google.com/spreadsheets/d/1tdoBKaGub7dwA3U6UFTqxio9LNnvDCQjHKmttSEBsFQ/edit?usp=sharing"",""จัดที่ดิน!BO87"")"),0)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IFERROR(__xludf.DUMMYFUNCTION("IMPORTRANGE(""https://docs.google.com/spreadsheets/d/1eHaY18a8A9IcSdp1K8H6x8fbOy06t2VsZHhMHf-1x7Y/edit?usp=sharing"",""แผน!LK87"")"),5)</f>
        <v>5</v>
      </c>
      <c r="J709" s="152">
        <f ca="1">IFERROR(__xludf.DUMMYFUNCTION("IMPORTRANGE(""https://docs.google.com/spreadsheets/d/1tdoBKaGub7dwA3U6UFTqxio9LNnvDCQjHKmttSEBsFQ/edit?usp=sharing"",""จัดที่ดิน!BP87"")"),2)</f>
        <v>2</v>
      </c>
      <c r="K709" s="47">
        <f ca="1">IF(I709&gt;0,J709*100/I709,0)</f>
        <v>40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IFERROR(__xludf.DUMMYFUNCTION("IMPORTRANGE(""https://docs.google.com/spreadsheets/d/1tdoBKaGub7dwA3U6UFTqxio9LNnvDCQjHKmttSEBsFQ/edit?usp=sharing"",""จัดที่ดิน!BQ87"")"),0)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56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56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56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IFERROR(__xludf.DUMMYFUNCTION("IMPORTRANGE(""https://docs.google.com/spreadsheets/d/1eHaY18a8A9IcSdp1K8H6x8fbOy06t2VsZHhMHf-1x7Y/edit?usp=sharing"",""แผน!GA87"")"),6)</f>
        <v>6</v>
      </c>
      <c r="J726" s="483">
        <f>J742+J746+J749</f>
        <v>16</v>
      </c>
      <c r="K726" s="484">
        <f ca="1">IF(I726&gt;0,J726*100/I726,0)</f>
        <v>266.66666666666669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IFERROR(__xludf.DUMMYFUNCTION("IMPORTRANGE(""https://docs.google.com/spreadsheets/d/1eHaY18a8A9IcSdp1K8H6x8fbOy06t2VsZHhMHf-1x7Y/edit?usp=sharing"",""แผน!FZ87"")"),50)</f>
        <v>50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188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79606</v>
      </c>
      <c r="R728" s="132">
        <f ca="1">R729+R730</f>
        <v>79606</v>
      </c>
      <c r="S728" s="132">
        <f ca="1">S729+S730</f>
        <v>39336.6</v>
      </c>
      <c r="T728" s="132">
        <f ca="1">IF(Q728&gt;0,S728*100/Q728,0)</f>
        <v>49.41411451398136</v>
      </c>
      <c r="U728" s="132">
        <f ca="1">IF(R728&gt;0,S728*100/R728,0)</f>
        <v>49.41411451398136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79606</v>
      </c>
      <c r="R730" s="47">
        <f ca="1">R733+R736</f>
        <v>79606</v>
      </c>
      <c r="S730" s="47">
        <f ca="1">S733+S736</f>
        <v>39336.6</v>
      </c>
      <c r="T730" s="47">
        <f ca="1">IF(Q730&gt;0,S730*100/Q730,0)</f>
        <v>49.41411451398136</v>
      </c>
      <c r="U730" s="47">
        <f ca="1">IF(R730&gt;0,S730*100/R730,0)</f>
        <v>49.41411451398136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79606</v>
      </c>
      <c r="R731" s="47">
        <f ca="1">R732+R733</f>
        <v>79606</v>
      </c>
      <c r="S731" s="47">
        <f ca="1">S732+S733</f>
        <v>39336.6</v>
      </c>
      <c r="T731" s="47">
        <f ca="1">IF(Q731&gt;0,S731*100/Q731,0)</f>
        <v>49.41411451398136</v>
      </c>
      <c r="U731" s="47">
        <f ca="1">IF(R731&gt;0,S731*100/R731,0)</f>
        <v>49.41411451398136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IFERROR(__xludf.DUMMYFUNCTION("IMPORTRANGE(""https://docs.google.com/spreadsheets/d/1ItG2mGa2ceCfYo0BwxsXqNm01IGEUdYcSSLTEv9YCik/edit?usp=sharing"",""เบิกจ่ายกองทุน!O87"")"),79606)</f>
        <v>79606</v>
      </c>
      <c r="R733" s="47">
        <f ca="1">IFERROR(__xludf.DUMMYFUNCTION("IMPORTRANGE(""https://docs.google.com/spreadsheets/d/1ItG2mGa2ceCfYo0BwxsXqNm01IGEUdYcSSLTEv9YCik/edit?usp=sharing"",""เบิกจ่ายกองทุน!P87"")"),79606)</f>
        <v>79606</v>
      </c>
      <c r="S733" s="47">
        <f ca="1">IFERROR(__xludf.DUMMYFUNCTION("IMPORTRANGE(""https://docs.google.com/spreadsheets/d/1ItG2mGa2ceCfYo0BwxsXqNm01IGEUdYcSSLTEv9YCik/edit?usp=sharing"",""เบิกจ่ายกองทุน!Q87"")"),39336.6)</f>
        <v>39336.6</v>
      </c>
      <c r="T733" s="47">
        <f ca="1">IF(Q733&gt;0,S733*100/Q733,0)</f>
        <v>49.41411451398136</v>
      </c>
      <c r="U733" s="47">
        <f ca="1">IF(R733&gt;0,S733*100/R733,0)</f>
        <v>49.41411451398136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72" t="s">
        <v>274</v>
      </c>
      <c r="G740" s="143"/>
      <c r="H740" s="133" t="s">
        <v>46</v>
      </c>
      <c r="I740" s="152">
        <f ca="1">IFERROR(__xludf.DUMMYFUNCTION("IMPORTRANGE(""https://docs.google.com/spreadsheets/d/1eHaY18a8A9IcSdp1K8H6x8fbOy06t2VsZHhMHf-1x7Y/edit?usp=sharing"",""แผน!GB87"")"),40)</f>
        <v>40</v>
      </c>
      <c r="J740" s="167">
        <v>40</v>
      </c>
      <c r="K740" s="47">
        <f ca="1">IF(I740&gt;0,J740*100/I740,0)</f>
        <v>100</v>
      </c>
      <c r="L740" s="546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8"/>
      <c r="B741" s="139"/>
      <c r="C741" s="139"/>
      <c r="D741" s="139"/>
      <c r="E741" s="139"/>
      <c r="F741" s="472" t="s">
        <v>275</v>
      </c>
      <c r="G741" s="143"/>
      <c r="H741" s="133" t="s">
        <v>35</v>
      </c>
      <c r="I741" s="45"/>
      <c r="J741" s="167">
        <v>0</v>
      </c>
      <c r="K741" s="46"/>
      <c r="L741" s="546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8"/>
      <c r="B742" s="139"/>
      <c r="C742" s="139"/>
      <c r="D742" s="139"/>
      <c r="E742" s="139"/>
      <c r="F742" s="472" t="s">
        <v>276</v>
      </c>
      <c r="G742" s="143"/>
      <c r="H742" s="133" t="s">
        <v>35</v>
      </c>
      <c r="I742" s="152">
        <f ca="1">IFERROR(__xludf.DUMMYFUNCTION("IMPORTRANGE(""https://docs.google.com/spreadsheets/d/1eHaY18a8A9IcSdp1K8H6x8fbOy06t2VsZHhMHf-1x7Y/edit?usp=sharing"",""แผน!GC87"")"),4)</f>
        <v>4</v>
      </c>
      <c r="J742" s="167">
        <v>5</v>
      </c>
      <c r="K742" s="47">
        <f ca="1">IF(I742&gt;0,J742*100/I742,0)</f>
        <v>125</v>
      </c>
      <c r="L742" s="546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8"/>
      <c r="B743" s="139"/>
      <c r="C743" s="139"/>
      <c r="D743" s="139"/>
      <c r="E743" s="472" t="s">
        <v>277</v>
      </c>
      <c r="F743" s="139"/>
      <c r="G743" s="143"/>
      <c r="H743" s="191"/>
      <c r="I743" s="45"/>
      <c r="J743" s="45"/>
      <c r="K743" s="46"/>
      <c r="L743" s="546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8"/>
      <c r="B744" s="139"/>
      <c r="C744" s="139"/>
      <c r="D744" s="139"/>
      <c r="E744" s="139"/>
      <c r="F744" s="472" t="s">
        <v>274</v>
      </c>
      <c r="G744" s="143"/>
      <c r="H744" s="133" t="s">
        <v>46</v>
      </c>
      <c r="I744" s="152">
        <f ca="1">IFERROR(__xludf.DUMMYFUNCTION("IMPORTRANGE(""https://docs.google.com/spreadsheets/d/1eHaY18a8A9IcSdp1K8H6x8fbOy06t2VsZHhMHf-1x7Y/edit?usp=sharing"",""แผน!GD87"")"),10)</f>
        <v>10</v>
      </c>
      <c r="J744" s="167">
        <v>10</v>
      </c>
      <c r="K744" s="47">
        <f ca="1">IF(I744&gt;0,J744*100/I744,0)</f>
        <v>100</v>
      </c>
      <c r="L744" s="546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8"/>
      <c r="B745" s="139"/>
      <c r="C745" s="139"/>
      <c r="D745" s="139"/>
      <c r="E745" s="139"/>
      <c r="F745" s="472" t="s">
        <v>278</v>
      </c>
      <c r="G745" s="143"/>
      <c r="H745" s="133" t="s">
        <v>35</v>
      </c>
      <c r="I745" s="45"/>
      <c r="J745" s="167">
        <v>0</v>
      </c>
      <c r="K745" s="46"/>
      <c r="L745" s="546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8"/>
      <c r="B746" s="139"/>
      <c r="C746" s="139"/>
      <c r="D746" s="139"/>
      <c r="E746" s="139"/>
      <c r="F746" s="472" t="s">
        <v>279</v>
      </c>
      <c r="G746" s="143"/>
      <c r="H746" s="133" t="s">
        <v>35</v>
      </c>
      <c r="I746" s="152">
        <f ca="1">IFERROR(__xludf.DUMMYFUNCTION("IMPORTRANGE(""https://docs.google.com/spreadsheets/d/1eHaY18a8A9IcSdp1K8H6x8fbOy06t2VsZHhMHf-1x7Y/edit?usp=sharing"",""แผน!GE87"")"),1)</f>
        <v>1</v>
      </c>
      <c r="J746" s="167">
        <v>2</v>
      </c>
      <c r="K746" s="47">
        <f ca="1">IF(I746&gt;0,J746*100/I746,0)</f>
        <v>200</v>
      </c>
      <c r="L746" s="546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8"/>
      <c r="B747" s="139"/>
      <c r="C747" s="139"/>
      <c r="D747" s="139"/>
      <c r="E747" s="472" t="s">
        <v>280</v>
      </c>
      <c r="F747" s="145"/>
      <c r="G747" s="143"/>
      <c r="H747" s="191"/>
      <c r="I747" s="45"/>
      <c r="J747" s="45"/>
      <c r="K747" s="46"/>
      <c r="L747" s="546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8"/>
      <c r="B748" s="139"/>
      <c r="C748" s="139"/>
      <c r="D748" s="139"/>
      <c r="E748" s="139"/>
      <c r="F748" s="472" t="s">
        <v>281</v>
      </c>
      <c r="G748" s="143"/>
      <c r="H748" s="133" t="s">
        <v>35</v>
      </c>
      <c r="I748" s="45"/>
      <c r="J748" s="167">
        <v>0</v>
      </c>
      <c r="K748" s="46"/>
      <c r="L748" s="546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8"/>
      <c r="B749" s="139"/>
      <c r="C749" s="139"/>
      <c r="D749" s="139"/>
      <c r="E749" s="139"/>
      <c r="F749" s="472" t="s">
        <v>282</v>
      </c>
      <c r="G749" s="143"/>
      <c r="H749" s="133" t="s">
        <v>35</v>
      </c>
      <c r="I749" s="152">
        <f ca="1">IFERROR(__xludf.DUMMYFUNCTION("IMPORTRANGE(""https://docs.google.com/spreadsheets/d/1eHaY18a8A9IcSdp1K8H6x8fbOy06t2VsZHhMHf-1x7Y/edit?usp=sharing"",""แผน!GF87"")"),1)</f>
        <v>1</v>
      </c>
      <c r="J749" s="167">
        <v>9</v>
      </c>
      <c r="K749" s="47">
        <f ca="1">IF(I749&gt;0,J749*100/I749,0)</f>
        <v>900</v>
      </c>
      <c r="L749" s="546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9.5" x14ac:dyDescent="0.3">
      <c r="A750" s="138"/>
      <c r="B750" s="139"/>
      <c r="C750" s="139"/>
      <c r="D750" s="500" t="s">
        <v>50</v>
      </c>
      <c r="E750" s="139"/>
      <c r="F750" s="145"/>
      <c r="G750" s="143"/>
      <c r="H750" s="191"/>
      <c r="I750" s="45"/>
      <c r="J750" s="45"/>
      <c r="K750" s="46"/>
      <c r="L750" s="546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8.75" x14ac:dyDescent="0.25">
      <c r="A751" s="138"/>
      <c r="B751" s="139"/>
      <c r="C751" s="139"/>
      <c r="D751" s="139"/>
      <c r="E751" s="472" t="s">
        <v>273</v>
      </c>
      <c r="F751" s="145"/>
      <c r="G751" s="143"/>
      <c r="H751" s="191"/>
      <c r="I751" s="45"/>
      <c r="J751" s="45"/>
      <c r="K751" s="46"/>
      <c r="L751" s="546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8"/>
      <c r="B752" s="139"/>
      <c r="C752" s="139"/>
      <c r="D752" s="139"/>
      <c r="E752" s="139"/>
      <c r="F752" s="149" t="s">
        <v>283</v>
      </c>
      <c r="G752" s="143"/>
      <c r="H752" s="133" t="s">
        <v>46</v>
      </c>
      <c r="I752" s="152">
        <f ca="1">IFERROR(__xludf.DUMMYFUNCTION("IMPORTRANGE(""https://docs.google.com/spreadsheets/d/1eHaY18a8A9IcSdp1K8H6x8fbOy06t2VsZHhMHf-1x7Y/edit?usp=sharing"",""แผน!GB87"")"),40)</f>
        <v>40</v>
      </c>
      <c r="J752" s="167">
        <v>0</v>
      </c>
      <c r="K752" s="47">
        <f ca="1">IF(I752&gt;0,J752*100/I752,0)</f>
        <v>0</v>
      </c>
      <c r="L752" s="546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8"/>
      <c r="B753" s="139"/>
      <c r="C753" s="139"/>
      <c r="D753" s="139"/>
      <c r="E753" s="139"/>
      <c r="F753" s="149" t="s">
        <v>284</v>
      </c>
      <c r="G753" s="143"/>
      <c r="H753" s="133" t="s">
        <v>46</v>
      </c>
      <c r="I753" s="45"/>
      <c r="J753" s="167">
        <v>0</v>
      </c>
      <c r="K753" s="46"/>
      <c r="L753" s="546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8"/>
      <c r="B754" s="139"/>
      <c r="C754" s="139"/>
      <c r="D754" s="139"/>
      <c r="E754" s="472" t="s">
        <v>277</v>
      </c>
      <c r="F754" s="145"/>
      <c r="G754" s="143"/>
      <c r="H754" s="191"/>
      <c r="I754" s="45"/>
      <c r="J754" s="45"/>
      <c r="K754" s="46"/>
      <c r="L754" s="546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8"/>
      <c r="B755" s="139"/>
      <c r="C755" s="139"/>
      <c r="D755" s="139"/>
      <c r="E755" s="145"/>
      <c r="F755" s="149" t="s">
        <v>285</v>
      </c>
      <c r="G755" s="143"/>
      <c r="H755" s="133" t="s">
        <v>46</v>
      </c>
      <c r="I755" s="152">
        <f ca="1">IFERROR(__xludf.DUMMYFUNCTION("IMPORTRANGE(""https://docs.google.com/spreadsheets/d/1eHaY18a8A9IcSdp1K8H6x8fbOy06t2VsZHhMHf-1x7Y/edit?usp=sharing"",""แผน!GD87"")"),10)</f>
        <v>10</v>
      </c>
      <c r="J755" s="167">
        <v>0</v>
      </c>
      <c r="K755" s="47">
        <f ca="1">IF(I755&gt;0,J755*100/I755,0)</f>
        <v>0</v>
      </c>
      <c r="L755" s="546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8"/>
      <c r="B756" s="139"/>
      <c r="C756" s="139"/>
      <c r="D756" s="139"/>
      <c r="E756" s="145"/>
      <c r="F756" s="149" t="s">
        <v>286</v>
      </c>
      <c r="G756" s="143"/>
      <c r="H756" s="133" t="s">
        <v>46</v>
      </c>
      <c r="I756" s="45"/>
      <c r="J756" s="167">
        <v>0</v>
      </c>
      <c r="K756" s="46"/>
      <c r="L756" s="546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69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hidden="1" x14ac:dyDescent="0.3">
      <c r="A758" s="456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hidden="1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hidden="1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IFERROR(__xludf.DUMMYFUNCTION("IMPORTRANGE(""https://docs.google.com/spreadsheets/d/1ItG2mGa2ceCfYo0BwxsXqNm01IGEUdYcSSLTEv9YCik/edit?usp=sharing"",""เบิกจ่ายกองทุน!AA87"")"),0)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IFERROR(__xludf.DUMMYFUNCTION("IMPORTRANGE(""https://docs.google.com/spreadsheets/d/1ItG2mGa2ceCfYo0BwxsXqNm01IGEUdYcSSLTEv9YCik/edit?usp=sharing"",""เบิกจ่ายกองทุน!AB87"")"),0)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IFERROR(__xludf.DUMMYFUNCTION("IMPORTRANGE(""https://docs.google.com/spreadsheets/d/1ItG2mGa2ceCfYo0BwxsXqNm01IGEUdYcSSLTEv9YCik/edit?usp=sharing"",""เบิกจ่ายกองทุน!AC87"")"),0)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hidden="1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IFERROR(__xludf.DUMMYFUNCTION("IMPORTRANGE(""https://docs.google.com/spreadsheets/d/1eHaY18a8A9IcSdp1K8H6x8fbOy06t2VsZHhMHf-1x7Y/edit?usp=sharing"",""แผน!FI87"")"),0)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IFERROR(__xludf.DUMMYFUNCTION("IMPORTRANGE(""https://docs.google.com/spreadsheets/d/1eHaY18a8A9IcSdp1K8H6x8fbOy06t2VsZHhMHf-1x7Y/edit?usp=sharing"",""แผน!FQ87"")"),0)</f>
        <v>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IFERROR(__xludf.DUMMYFUNCTION("IMPORTRANGE(""https://docs.google.com/spreadsheets/d/1eHaY18a8A9IcSdp1K8H6x8fbOy06t2VsZHhMHf-1x7Y/edit?usp=sharing"",""แผน!FR87"")"),0)</f>
        <v>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IFERROR(__xludf.DUMMYFUNCTION("IMPORTRANGE(""https://docs.google.com/spreadsheets/d/1eHaY18a8A9IcSdp1K8H6x8fbOy06t2VsZHhMHf-1x7Y/edit?usp=sharing"",""แผน!FS87"")"),0)</f>
        <v>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IFERROR(__xludf.DUMMYFUNCTION("IMPORTRANGE(""https://docs.google.com/spreadsheets/d/1eHaY18a8A9IcSdp1K8H6x8fbOy06t2VsZHhMHf-1x7Y/edit?usp=sharing"",""แผน!FT87"")"),0)</f>
        <v>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IFERROR(__xludf.DUMMYFUNCTION("IMPORTRANGE(""https://docs.google.com/spreadsheets/d/10OvvATaaLtwErnr3qtWFcTmtbfpFEt5Bsqel9sXx0uE/edit?usp=sharing"",""งานกองทุน!D87"")"),581053.77)</f>
        <v>581053.77</v>
      </c>
      <c r="J778" s="152">
        <f ca="1">IFERROR(__xludf.DUMMYFUNCTION("IMPORTRANGE(""https://docs.google.com/spreadsheets/d/10OvvATaaLtwErnr3qtWFcTmtbfpFEt5Bsqel9sXx0uE/edit?usp=sharing"",""งานกองทุน!F87"")"),381346.57)</f>
        <v>381346.57</v>
      </c>
      <c r="K778" s="47">
        <f ca="1">IF(I778&gt;0,J778*100/I778,0)</f>
        <v>65.630168787993583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IFERROR(__xludf.DUMMYFUNCTION("IMPORTRANGE(""https://docs.google.com/spreadsheets/d/10OvvATaaLtwErnr3qtWFcTmtbfpFEt5Bsqel9sXx0uE/edit?usp=sharing"",""งานกองทุน!C87"")"),57)</f>
        <v>57</v>
      </c>
      <c r="J779" s="152">
        <f ca="1">IFERROR(__xludf.DUMMYFUNCTION("IMPORTRANGE(""https://docs.google.com/spreadsheets/d/10OvvATaaLtwErnr3qtWFcTmtbfpFEt5Bsqel9sXx0uE/edit?usp=sharing"",""งานกองทุน!E87"")"),35)</f>
        <v>35</v>
      </c>
      <c r="K779" s="47">
        <f ca="1">IF(I779&gt;0,J779*100/I779,0)</f>
        <v>61.403508771929822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IFERROR(__xludf.DUMMYFUNCTION("IMPORTRANGE(""https://docs.google.com/spreadsheets/d/10OvvATaaLtwErnr3qtWFcTmtbfpFEt5Bsqel9sXx0uE/edit?usp=sharing"",""งานกองทุน!I87"")"),7000)</f>
        <v>7000</v>
      </c>
      <c r="J780" s="152">
        <f ca="1">IFERROR(__xludf.DUMMYFUNCTION("IMPORTRANGE(""https://docs.google.com/spreadsheets/d/10OvvATaaLtwErnr3qtWFcTmtbfpFEt5Bsqel9sXx0uE/edit?usp=sharing"",""งานกองทุน!K87"")"),1132)</f>
        <v>1132</v>
      </c>
      <c r="K780" s="47">
        <f ca="1">IF(I780&gt;0,J780*100/I780,0)</f>
        <v>16.171428571428571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IFERROR(__xludf.DUMMYFUNCTION("IMPORTRANGE(""https://docs.google.com/spreadsheets/d/10OvvATaaLtwErnr3qtWFcTmtbfpFEt5Bsqel9sXx0uE/edit?usp=sharing"",""งานกองทุน!H87"")"),1)</f>
        <v>1</v>
      </c>
      <c r="J781" s="152">
        <f ca="1">IFERROR(__xludf.DUMMYFUNCTION("IMPORTRANGE(""https://docs.google.com/spreadsheets/d/10OvvATaaLtwErnr3qtWFcTmtbfpFEt5Bsqel9sXx0uE/edit?usp=sharing"",""งานกองทุน!J87"")"),1)</f>
        <v>1</v>
      </c>
      <c r="K781" s="47">
        <f ca="1">IF(I781&gt;0,J781*100/I781,0)</f>
        <v>100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IFERROR(__xludf.DUMMYFUNCTION("IMPORTRANGE(""https://docs.google.com/spreadsheets/d/10OvvATaaLtwErnr3qtWFcTmtbfpFEt5Bsqel9sXx0uE/edit?usp=sharing"",""งานกองทุน!N87"")"),0)</f>
        <v>0</v>
      </c>
      <c r="J782" s="152">
        <f ca="1">IFERROR(__xludf.DUMMYFUNCTION("IMPORTRANGE(""https://docs.google.com/spreadsheets/d/10OvvATaaLtwErnr3qtWFcTmtbfpFEt5Bsqel9sXx0uE/edit?usp=sharing"",""งานกองทุน!P87"")"),0)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IFERROR(__xludf.DUMMYFUNCTION("IMPORTRANGE(""https://docs.google.com/spreadsheets/d/10OvvATaaLtwErnr3qtWFcTmtbfpFEt5Bsqel9sXx0uE/edit?usp=sharing"",""งานกองทุน!M87"")"),0)</f>
        <v>0</v>
      </c>
      <c r="J783" s="152">
        <f ca="1">IFERROR(__xludf.DUMMYFUNCTION("IMPORTRANGE(""https://docs.google.com/spreadsheets/d/10OvvATaaLtwErnr3qtWFcTmtbfpFEt5Bsqel9sXx0uE/edit?usp=sharing"",""งานกองทุน!O87"")"),0)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IFERROR(__xludf.DUMMYFUNCTION("IMPORTRANGE(""https://docs.google.com/spreadsheets/d/10OvvATaaLtwErnr3qtWFcTmtbfpFEt5Bsqel9sXx0uE/edit?usp=sharing"",""งานกองทุน!S87"")"),924000)</f>
        <v>924000</v>
      </c>
      <c r="J784" s="152">
        <f ca="1">IFERROR(__xludf.DUMMYFUNCTION("IMPORTRANGE(""https://docs.google.com/spreadsheets/d/10OvvATaaLtwErnr3qtWFcTmtbfpFEt5Bsqel9sXx0uE/edit?usp=sharing"",""งานกองทุน!U87"")"),450000)</f>
        <v>450000</v>
      </c>
      <c r="K784" s="47">
        <f ca="1">IF(I784&gt;0,J784*100/I784,0)</f>
        <v>48.701298701298704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IFERROR(__xludf.DUMMYFUNCTION("IMPORTRANGE(""https://docs.google.com/spreadsheets/d/10OvvATaaLtwErnr3qtWFcTmtbfpFEt5Bsqel9sXx0uE/edit?usp=sharing"",""งานกองทุน!R87"")"),33)</f>
        <v>33</v>
      </c>
      <c r="J785" s="197">
        <f ca="1">IFERROR(__xludf.DUMMYFUNCTION("IMPORTRANGE(""https://docs.google.com/spreadsheets/d/10OvvATaaLtwErnr3qtWFcTmtbfpFEt5Bsqel9sXx0uE/edit?usp=sharing"",""งานกองทุน!T87"")"),15)</f>
        <v>15</v>
      </c>
      <c r="K785" s="111">
        <f ca="1">IF(I785&gt;0,J785*100/I785,0)</f>
        <v>45.454545454545453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4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5F785-982C-411E-A074-07C8577639BA}">
  <sheetPr>
    <outlinePr summaryBelow="0" summaryRight="0"/>
  </sheetPr>
  <dimension ref="A1:U789"/>
  <sheetViews>
    <sheetView tabSelected="1" view="pageBreakPreview" zoomScale="50" zoomScaleNormal="100" zoomScaleSheetLayoutView="50" workbookViewId="0">
      <pane xSplit="8" ySplit="6" topLeftCell="I53" activePane="bottomRight" state="frozen"/>
      <selection pane="topRight" activeCell="I1" sqref="I1"/>
      <selection pane="bottomLeft" activeCell="A7" sqref="A7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 x14ac:dyDescent="0.3">
      <c r="A1" s="817" t="s">
        <v>0</v>
      </c>
      <c r="B1" s="817"/>
      <c r="C1" s="817"/>
      <c r="D1" s="817"/>
      <c r="E1" s="817"/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7"/>
      <c r="R1" s="817"/>
      <c r="S1" s="817"/>
      <c r="T1" s="817"/>
      <c r="U1" s="817"/>
    </row>
    <row r="2" spans="1:21" s="897" customFormat="1" ht="19.5" x14ac:dyDescent="0.3">
      <c r="A2" s="817" t="s">
        <v>331</v>
      </c>
      <c r="B2" s="817"/>
      <c r="C2" s="817"/>
      <c r="D2" s="817"/>
      <c r="E2" s="817"/>
      <c r="F2" s="817"/>
      <c r="G2" s="817"/>
      <c r="H2" s="817"/>
      <c r="I2" s="817"/>
      <c r="J2" s="817"/>
      <c r="K2" s="817"/>
      <c r="L2" s="817"/>
      <c r="M2" s="817"/>
      <c r="N2" s="817"/>
      <c r="O2" s="817"/>
      <c r="P2" s="817"/>
      <c r="Q2" s="817"/>
      <c r="R2" s="817"/>
      <c r="S2" s="817"/>
      <c r="T2" s="817"/>
      <c r="U2" s="817"/>
    </row>
    <row r="3" spans="1:21" ht="19.5" x14ac:dyDescent="0.3">
      <c r="A3" s="817" t="s">
        <v>332</v>
      </c>
      <c r="B3" s="817"/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  <c r="S3" s="817"/>
      <c r="T3" s="817"/>
      <c r="U3" s="817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816"/>
      <c r="L4" s="815" t="s">
        <v>2</v>
      </c>
      <c r="M4" s="518"/>
      <c r="N4" s="518"/>
      <c r="O4" s="518"/>
      <c r="P4" s="519"/>
      <c r="Q4" s="814" t="s">
        <v>3</v>
      </c>
      <c r="R4" s="518"/>
      <c r="S4" s="518"/>
      <c r="T4" s="518"/>
      <c r="U4" s="519"/>
    </row>
    <row r="5" spans="1:21" ht="19.5" x14ac:dyDescent="0.3">
      <c r="A5" s="813" t="s">
        <v>4</v>
      </c>
      <c r="B5" s="522"/>
      <c r="C5" s="522"/>
      <c r="D5" s="522"/>
      <c r="E5" s="522"/>
      <c r="F5" s="522"/>
      <c r="G5" s="535"/>
      <c r="H5" s="812" t="s">
        <v>5</v>
      </c>
      <c r="I5" s="527" t="s">
        <v>6</v>
      </c>
      <c r="J5" s="518"/>
      <c r="K5" s="519"/>
      <c r="L5" s="811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0"/>
      <c r="I6" s="7" t="s">
        <v>9</v>
      </c>
      <c r="J6" s="8" t="s">
        <v>10</v>
      </c>
      <c r="K6" s="7" t="s">
        <v>11</v>
      </c>
      <c r="L6" s="809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2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1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1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1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1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1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1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1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1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08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7">
        <f ca="1">L19+L20</f>
        <v>3667148</v>
      </c>
      <c r="M18" s="35">
        <f ca="1">M19+M20</f>
        <v>3804076</v>
      </c>
      <c r="N18" s="35">
        <f ca="1">N19+N20</f>
        <v>2605758.9800000004</v>
      </c>
      <c r="O18" s="35">
        <f ca="1">IF(L18&gt;0,N18*100/L18,0)</f>
        <v>71.056826176636463</v>
      </c>
      <c r="P18" s="35">
        <f ca="1">IF(M18&gt;0,N18*100/M18,0)</f>
        <v>68.499130406437743</v>
      </c>
      <c r="Q18" s="35">
        <f ca="1">Q19+Q20</f>
        <v>2850109.24</v>
      </c>
      <c r="R18" s="35">
        <f ca="1">R19+R20</f>
        <v>2850109</v>
      </c>
      <c r="S18" s="35">
        <f ca="1">S19+S20</f>
        <v>908293.8</v>
      </c>
      <c r="T18" s="35">
        <f ca="1">IF(Q18&gt;0,S18*100/Q18,0)</f>
        <v>31.86873637166272</v>
      </c>
      <c r="U18" s="35">
        <f ca="1">IF(R18&gt;0,S18*100/R18,0)</f>
        <v>31.86873905524315</v>
      </c>
    </row>
    <row r="19" spans="1:21" ht="18.75" hidden="1" x14ac:dyDescent="0.25">
      <c r="A19" s="27"/>
      <c r="B19" s="28"/>
      <c r="C19" s="28"/>
      <c r="D19" s="28"/>
      <c r="E19" s="806" t="s">
        <v>20</v>
      </c>
      <c r="F19" s="28"/>
      <c r="G19" s="31"/>
      <c r="H19" s="805" t="s">
        <v>14</v>
      </c>
      <c r="I19" s="33"/>
      <c r="J19" s="33"/>
      <c r="K19" s="34"/>
      <c r="L19" s="804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3">
        <f ca="1">L23+L26</f>
        <v>3667148</v>
      </c>
      <c r="M20" s="39">
        <f ca="1">M23+M26</f>
        <v>3804076</v>
      </c>
      <c r="N20" s="39">
        <f ca="1">N23+N26</f>
        <v>2605758.9800000004</v>
      </c>
      <c r="O20" s="39">
        <f ca="1">IF(L20&gt;0,N20*100/L20,0)</f>
        <v>71.056826176636463</v>
      </c>
      <c r="P20" s="39">
        <f ca="1">IF(M20&gt;0,N20*100/M20,0)</f>
        <v>68.499130406437743</v>
      </c>
      <c r="Q20" s="39">
        <f ca="1">Q23+Q26</f>
        <v>2850109.24</v>
      </c>
      <c r="R20" s="39">
        <f ca="1">R23+R26</f>
        <v>2850109</v>
      </c>
      <c r="S20" s="39">
        <f ca="1">S23+S26</f>
        <v>908293.8</v>
      </c>
      <c r="T20" s="39">
        <f ca="1">IF(Q20&gt;0,S20*100/Q20,0)</f>
        <v>31.86873637166272</v>
      </c>
      <c r="U20" s="39">
        <f ca="1">IF(R20&gt;0,S20*100/R20,0)</f>
        <v>31.86873905524315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3667148</v>
      </c>
      <c r="M21" s="47">
        <f ca="1">M22+M23</f>
        <v>3804076</v>
      </c>
      <c r="N21" s="47">
        <f ca="1">N22+N23</f>
        <v>2605758.9800000004</v>
      </c>
      <c r="O21" s="47">
        <f ca="1">IF(L21&gt;0,N21*100/L21,0)</f>
        <v>71.056826176636463</v>
      </c>
      <c r="P21" s="47">
        <f ca="1">IF(M21&gt;0,N21*100/M21,0)</f>
        <v>68.499130406437743</v>
      </c>
      <c r="Q21" s="47">
        <f ca="1">Q22+Q23</f>
        <v>2850109.24</v>
      </c>
      <c r="R21" s="47">
        <f ca="1">R22+R23</f>
        <v>2850109</v>
      </c>
      <c r="S21" s="47">
        <f ca="1">S22+S23</f>
        <v>908293.8</v>
      </c>
      <c r="T21" s="47">
        <f ca="1">IF(Q21&gt;0,S21*100/Q21,0)</f>
        <v>31.86873637166272</v>
      </c>
      <c r="U21" s="47">
        <f ca="1">IF(R21&gt;0,S21*100/R21,0)</f>
        <v>31.86873905524315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L49+L64+L77+L99+L130+L144+L162+L191+L178+L271+L287+L308+L325+L338+L361+L518</f>
        <v>3667148</v>
      </c>
      <c r="M23" s="47">
        <f ca="1">M49+M64+M77+M99+M130+M144+M162+M191+M178+M271+M287+M308+M325+M338+M361+M518</f>
        <v>3804076</v>
      </c>
      <c r="N23" s="47">
        <f ca="1">N49+N64+N77+N99+N130+N144+N162+N191+N178+N271+N287+N308+N325+N338+N361+N518</f>
        <v>2605758.9800000004</v>
      </c>
      <c r="O23" s="47">
        <f ca="1">IF(L23&gt;0,N23*100/L23,0)</f>
        <v>71.056826176636463</v>
      </c>
      <c r="P23" s="47">
        <f ca="1">IF(M23&gt;0,N23*100/M23,0)</f>
        <v>68.499130406437743</v>
      </c>
      <c r="Q23" s="47">
        <f ca="1">Q77+Q99+Q122+Q144+Q162+Q178+Q191+Q271+Q287+Q308+Q338+Q380+Q397+Q418+Q498+Q604+Q621+Q647+Q695+Q719+Q733+Q765</f>
        <v>2850109.24</v>
      </c>
      <c r="R23" s="47">
        <f ca="1">R77+R99+R122+R144+R162+R178+R191+R271+R287+R308+R338+R380+R397+R418+R498+R604+R621+R647+R695+R719+R733+R765</f>
        <v>2850109</v>
      </c>
      <c r="S23" s="47">
        <f ca="1">S77+S99+S122+S144+S162+S178+S191+S271+S287+S308+S338+S380+S397+S418+S498+S604+S621+S647+S695+S719+S733+S765</f>
        <v>908293.8</v>
      </c>
      <c r="T23" s="47">
        <f ca="1">IF(Q23&gt;0,S23*100/Q23,0)</f>
        <v>31.86873637166272</v>
      </c>
      <c r="U23" s="47">
        <f ca="1">IF(R23&gt;0,S23*100/R23,0)</f>
        <v>31.86873905524315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L52+L67+L80+L102+L133+L147+L165+L194+L181+L274+L290+L311+L328+L341+L364+L521</f>
        <v>0</v>
      </c>
      <c r="M26" s="47">
        <f ca="1">M52+M67+M80+M102+M133+M147+M165+M194+M181+M274+M290+M311+M328+M341+M364+M521</f>
        <v>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2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1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1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1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1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1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1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1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1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1">
        <f ca="1">L44+L59+L72+L94+L125+L139+L157+L173+L186+L266+L282+L303+L320+L333+L356</f>
        <v>3667148</v>
      </c>
      <c r="M40" s="800">
        <f ca="1">M44+M59+M72+M94+M125+M139+M157+M173+M186+M266+M282+M303+M320+M333+M356</f>
        <v>3804076</v>
      </c>
      <c r="N40" s="800">
        <f ca="1">N44+N59+N72+N94+N125+N139+N157+N173+N186+N266+N282+N303+N320+N333+N356</f>
        <v>2605758.9800000004</v>
      </c>
      <c r="O40" s="800">
        <f ca="1">IF(L40&gt;0,N40*100/L40,0)</f>
        <v>71.056826176636463</v>
      </c>
      <c r="P40" s="800">
        <f ca="1">IF(M40&gt;0,N40*100/M40,0)</f>
        <v>68.499130406437743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99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1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693258</v>
      </c>
      <c r="M44" s="79">
        <f ca="1">M45+M46</f>
        <v>727486</v>
      </c>
      <c r="N44" s="79">
        <f ca="1">N45+N46</f>
        <v>457172</v>
      </c>
      <c r="O44" s="79">
        <f ca="1">IF(L44&gt;0,N44*100/L44,0)</f>
        <v>65.945434455859143</v>
      </c>
      <c r="P44" s="79">
        <f ca="1">IF(M44&gt;0,N44*100/M44,0)</f>
        <v>62.842721371957673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693258</v>
      </c>
      <c r="M46" s="83">
        <f ca="1">M49+M52</f>
        <v>727486</v>
      </c>
      <c r="N46" s="83">
        <f ca="1">N49+N52</f>
        <v>457172</v>
      </c>
      <c r="O46" s="83">
        <f ca="1">IF(L46&gt;0,N46*100/L46,0)</f>
        <v>65.945434455859143</v>
      </c>
      <c r="P46" s="83">
        <f ca="1">IF(M46&gt;0,N46*100/M46,0)</f>
        <v>62.842721371957673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693258</v>
      </c>
      <c r="M47" s="47">
        <f ca="1">M48+M49</f>
        <v>727486</v>
      </c>
      <c r="N47" s="47">
        <f ca="1">N48+N49</f>
        <v>457172</v>
      </c>
      <c r="O47" s="47">
        <f ca="1">IF(L47&gt;0,N47*100/L47,0)</f>
        <v>65.945434455859143</v>
      </c>
      <c r="P47" s="47">
        <f ca="1">IF(M47&gt;0,N47*100/M47,0)</f>
        <v>62.842721371957673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IFERROR(__xludf.DUMMYFUNCTION("IMPORTRANGE(""https://docs.google.com/spreadsheets/d/1-uDff_7J0KD5mKrp0Vvzr7lt3OU09vwQwhkpOPPYv2Y/edit?usp=sharing"",""งบพรบ!P88"")"),693258)</f>
        <v>693258</v>
      </c>
      <c r="M49" s="47">
        <f ca="1">IFERROR(__xludf.DUMMYFUNCTION("IMPORTRANGE(""https://docs.google.com/spreadsheets/d/1-uDff_7J0KD5mKrp0Vvzr7lt3OU09vwQwhkpOPPYv2Y/edit?usp=sharing"",""งบพรบ!V88"")"),727486)</f>
        <v>727486</v>
      </c>
      <c r="N49" s="47">
        <f ca="1">IFERROR(__xludf.DUMMYFUNCTION("IMPORTRANGE(""https://docs.google.com/spreadsheets/d/1-uDff_7J0KD5mKrp0Vvzr7lt3OU09vwQwhkpOPPYv2Y/edit?usp=sharing"",""งบพรบ!Y88"")"),457172)</f>
        <v>457172</v>
      </c>
      <c r="O49" s="47">
        <f ca="1">IF(L49&gt;0,N49*100/L49,0)</f>
        <v>65.945434455859143</v>
      </c>
      <c r="P49" s="47">
        <f ca="1">IF(M49&gt;0,N49*100/M49,0)</f>
        <v>62.842721371957673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IFERROR(__xludf.DUMMYFUNCTION("IMPORTRANGE(""https://docs.google.com/spreadsheets/d/1-uDff_7J0KD5mKrp0Vvzr7lt3OU09vwQwhkpOPPYv2Y/edit?usp=sharing"",""งบพรบ!S88"")"),0)</f>
        <v>0</v>
      </c>
      <c r="M52" s="47">
        <f ca="1">IFERROR(__xludf.DUMMYFUNCTION("IMPORTRANGE(""https://docs.google.com/spreadsheets/d/1-uDff_7J0KD5mKrp0Vvzr7lt3OU09vwQwhkpOPPYv2Y/edit?usp=sharing"",""งบพรบ!W88"")"),0)</f>
        <v>0</v>
      </c>
      <c r="N52" s="47">
        <f ca="1">IFERROR(__xludf.DUMMYFUNCTION("IMPORTRANGE(""https://docs.google.com/spreadsheets/d/1-uDff_7J0KD5mKrp0Vvzr7lt3OU09vwQwhkpOPPYv2Y/edit?usp=sharing"",""งบพรบ!Z88"")"),0)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541400</v>
      </c>
      <c r="M59" s="106">
        <f ca="1">M60+M61</f>
        <v>541400</v>
      </c>
      <c r="N59" s="106">
        <f ca="1">N60+N61</f>
        <v>384646.77</v>
      </c>
      <c r="O59" s="106">
        <f ca="1">IF(L59&gt;0,N59*100/L59,0)</f>
        <v>71.046688215736978</v>
      </c>
      <c r="P59" s="106">
        <f ca="1">IF(M59&gt;0,N59*100/M59,0)</f>
        <v>71.046688215736978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541400</v>
      </c>
      <c r="M61" s="109">
        <f ca="1">M64+M67</f>
        <v>541400</v>
      </c>
      <c r="N61" s="109">
        <f ca="1">N64+N67</f>
        <v>384646.77</v>
      </c>
      <c r="O61" s="109">
        <f ca="1">IF(L61&gt;0,N61*100/L61,0)</f>
        <v>71.046688215736978</v>
      </c>
      <c r="P61" s="109">
        <f ca="1">IF(M61&gt;0,N61*100/M61,0)</f>
        <v>71.046688215736978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541400</v>
      </c>
      <c r="M62" s="47">
        <f ca="1">M63+M64</f>
        <v>541400</v>
      </c>
      <c r="N62" s="47">
        <f ca="1">N63+N64</f>
        <v>384646.77</v>
      </c>
      <c r="O62" s="47">
        <f ca="1">IF(L62&gt;0,N62*100/L62,0)</f>
        <v>71.046688215736978</v>
      </c>
      <c r="P62" s="47">
        <f ca="1">IF(M62&gt;0,N62*100/M62,0)</f>
        <v>71.046688215736978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IFERROR(__xludf.DUMMYFUNCTION("IMPORTRANGE(""https://docs.google.com/spreadsheets/d/1-uDff_7J0KD5mKrp0Vvzr7lt3OU09vwQwhkpOPPYv2Y/edit?usp=sharing"",""งบพรบ!AC88"")"),541400)</f>
        <v>541400</v>
      </c>
      <c r="M64" s="47">
        <f ca="1">IFERROR(__xludf.DUMMYFUNCTION("IMPORTRANGE(""https://docs.google.com/spreadsheets/d/1-uDff_7J0KD5mKrp0Vvzr7lt3OU09vwQwhkpOPPYv2Y/edit?usp=sharing"",""งบพรบ!AH88"")"),541400)</f>
        <v>541400</v>
      </c>
      <c r="N64" s="47">
        <f ca="1">IFERROR(__xludf.DUMMYFUNCTION("IMPORTRANGE(""https://docs.google.com/spreadsheets/d/1-uDff_7J0KD5mKrp0Vvzr7lt3OU09vwQwhkpOPPYv2Y/edit?usp=sharing"",""งบพรบ!AJ88"")"),384646.77)</f>
        <v>384646.77</v>
      </c>
      <c r="O64" s="47">
        <f ca="1">IF(L64&gt;0,N64*100/L64,0)</f>
        <v>71.046688215736978</v>
      </c>
      <c r="P64" s="47">
        <f ca="1">IF(M64&gt;0,N64*100/M64,0)</f>
        <v>71.046688215736978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IFERROR(__xludf.DUMMYFUNCTION("IMPORTRANGE(""https://docs.google.com/spreadsheets/d/1-uDff_7J0KD5mKrp0Vvzr7lt3OU09vwQwhkpOPPYv2Y/edit?usp=sharing"",""งบพรบ!AF88"")"),0)</f>
        <v>0</v>
      </c>
      <c r="M67" s="111">
        <f ca="1">IFERROR(__xludf.DUMMYFUNCTION("IMPORTRANGE(""https://docs.google.com/spreadsheets/d/1-uDff_7J0KD5mKrp0Vvzr7lt3OU09vwQwhkpOPPYv2Y/edit?usp=sharing"",""งบพรบ!AI88"")"),0)</f>
        <v>0</v>
      </c>
      <c r="N67" s="111">
        <f ca="1">IFERROR(__xludf.DUMMYFUNCTION("IMPORTRANGE(""https://docs.google.com/spreadsheets/d/1-uDff_7J0KD5mKrp0Vvzr7lt3OU09vwQwhkpOPPYv2Y/edit?usp=sharing"",""งบพรบ!AK88"")"),0)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2</v>
      </c>
      <c r="J70" s="127">
        <f>J82</f>
        <v>1</v>
      </c>
      <c r="K70" s="35">
        <f ca="1">IF(I70&gt;0,J70*100/I70,0)</f>
        <v>50</v>
      </c>
      <c r="L70" s="58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61</v>
      </c>
      <c r="J71" s="127">
        <f>J83</f>
        <v>31</v>
      </c>
      <c r="K71" s="35">
        <f ca="1">IF(I71&gt;0,J71*100/I71,0)</f>
        <v>50.819672131147541</v>
      </c>
      <c r="L71" s="58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590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98000</v>
      </c>
      <c r="M72" s="132">
        <f ca="1">M73+M74</f>
        <v>150000</v>
      </c>
      <c r="N72" s="132">
        <f ca="1">N73+N74</f>
        <v>98000</v>
      </c>
      <c r="O72" s="132">
        <f ca="1">IF(L72&gt;0,N72*100/L72,0)</f>
        <v>100</v>
      </c>
      <c r="P72" s="132">
        <f ca="1">IF(M72&gt;0,N72*100/M72,0)</f>
        <v>65.333333333333329</v>
      </c>
      <c r="Q72" s="132">
        <f ca="1">Q73+Q74</f>
        <v>792520</v>
      </c>
      <c r="R72" s="132">
        <f ca="1">R73+R74</f>
        <v>792520</v>
      </c>
      <c r="S72" s="132">
        <f ca="1">S73+S74</f>
        <v>160674</v>
      </c>
      <c r="T72" s="132">
        <f ca="1">IF(Q72&gt;0,S72*100/Q72,0)</f>
        <v>20.273810124665623</v>
      </c>
      <c r="U72" s="132">
        <f ca="1">IF(R72&gt;0,S72*100/R72,0)</f>
        <v>20.273810124665623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98000</v>
      </c>
      <c r="M74" s="47">
        <f ca="1">M77+M80</f>
        <v>150000</v>
      </c>
      <c r="N74" s="47">
        <f ca="1">N77+N80</f>
        <v>98000</v>
      </c>
      <c r="O74" s="47">
        <f ca="1">IF(L74&gt;0,N74*100/L74,0)</f>
        <v>100</v>
      </c>
      <c r="P74" s="47">
        <f ca="1">IF(M74&gt;0,N74*100/M74,0)</f>
        <v>65.333333333333329</v>
      </c>
      <c r="Q74" s="47">
        <f ca="1">Q77+Q80</f>
        <v>792520</v>
      </c>
      <c r="R74" s="47">
        <f ca="1">R77+R80</f>
        <v>792520</v>
      </c>
      <c r="S74" s="47">
        <f ca="1">S77+S80</f>
        <v>160674</v>
      </c>
      <c r="T74" s="47">
        <f ca="1">IF(Q74&gt;0,S74*100/Q74,0)</f>
        <v>20.273810124665623</v>
      </c>
      <c r="U74" s="47">
        <f ca="1">IF(R74&gt;0,S74*100/R74,0)</f>
        <v>20.273810124665623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98000</v>
      </c>
      <c r="M75" s="47">
        <f ca="1">M76+M77</f>
        <v>150000</v>
      </c>
      <c r="N75" s="47">
        <f ca="1">N76+N77</f>
        <v>98000</v>
      </c>
      <c r="O75" s="47">
        <f ca="1">IF(L75&gt;0,N75*100/L75,0)</f>
        <v>100</v>
      </c>
      <c r="P75" s="47">
        <f ca="1">IF(M75&gt;0,N75*100/M75,0)</f>
        <v>65.333333333333329</v>
      </c>
      <c r="Q75" s="47">
        <f ca="1">Q76+Q77</f>
        <v>792520</v>
      </c>
      <c r="R75" s="47">
        <f ca="1">R76+R77</f>
        <v>792520</v>
      </c>
      <c r="S75" s="47">
        <f ca="1">S76+S77</f>
        <v>160674</v>
      </c>
      <c r="T75" s="47">
        <f ca="1">IF(Q75&gt;0,S75*100/Q75,0)</f>
        <v>20.273810124665623</v>
      </c>
      <c r="U75" s="47">
        <f ca="1">IF(R75&gt;0,S75*100/R75,0)</f>
        <v>20.273810124665623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IFERROR(__xludf.DUMMYFUNCTION("IMPORTRANGE(""https://docs.google.com/spreadsheets/d/1-uDff_7J0KD5mKrp0Vvzr7lt3OU09vwQwhkpOPPYv2Y/edit?usp=sharing"",""งบพรบ!AM88"")"),98000)</f>
        <v>98000</v>
      </c>
      <c r="M77" s="47">
        <f ca="1">IFERROR(__xludf.DUMMYFUNCTION("IMPORTRANGE(""https://docs.google.com/spreadsheets/d/1-uDff_7J0KD5mKrp0Vvzr7lt3OU09vwQwhkpOPPYv2Y/edit?usp=sharing"",""งบพรบ!AR88"")"),150000)</f>
        <v>150000</v>
      </c>
      <c r="N77" s="47">
        <f ca="1">IFERROR(__xludf.DUMMYFUNCTION("IMPORTRANGE(""https://docs.google.com/spreadsheets/d/1-uDff_7J0KD5mKrp0Vvzr7lt3OU09vwQwhkpOPPYv2Y/edit?usp=sharing"",""งบพรบ!AT88"")"),98000)</f>
        <v>98000</v>
      </c>
      <c r="O77" s="47">
        <f ca="1">IF(L77&gt;0,N77*100/L77,0)</f>
        <v>100</v>
      </c>
      <c r="P77" s="47">
        <f ca="1">IF(M77&gt;0,N77*100/M77,0)</f>
        <v>65.333333333333329</v>
      </c>
      <c r="Q77" s="47">
        <f ca="1">IFERROR(__xludf.DUMMYFUNCTION("IMPORTRANGE(""https://docs.google.com/spreadsheets/d/1ItG2mGa2ceCfYo0BwxsXqNm01IGEUdYcSSLTEv9YCik/edit?usp=sharing"",""เบิกจ่ายกองทุน!BH88"")"),792520)</f>
        <v>792520</v>
      </c>
      <c r="R77" s="47">
        <f ca="1">IFERROR(__xludf.DUMMYFUNCTION("IMPORTRANGE(""https://docs.google.com/spreadsheets/d/1ItG2mGa2ceCfYo0BwxsXqNm01IGEUdYcSSLTEv9YCik/edit?usp=sharing"",""เบิกจ่ายกองทุน!BI88"")"),792520)</f>
        <v>792520</v>
      </c>
      <c r="S77" s="47">
        <f ca="1">IFERROR(__xludf.DUMMYFUNCTION("IMPORTRANGE(""https://docs.google.com/spreadsheets/d/1ItG2mGa2ceCfYo0BwxsXqNm01IGEUdYcSSLTEv9YCik/edit?usp=sharing"",""เบิกจ่ายกองทุน!BJ88"")"),160674)</f>
        <v>160674</v>
      </c>
      <c r="T77" s="47">
        <f ca="1">IF(Q77&gt;0,S77*100/Q77,0)</f>
        <v>20.273810124665623</v>
      </c>
      <c r="U77" s="47">
        <f ca="1">IF(R77&gt;0,S77*100/R77,0)</f>
        <v>20.273810124665623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IFERROR(__xludf.DUMMYFUNCTION("IMPORTRANGE(""https://docs.google.com/spreadsheets/d/1-uDff_7J0KD5mKrp0Vvzr7lt3OU09vwQwhkpOPPYv2Y/edit?usp=sharing"",""งบพรบ!AP88"")"),0)</f>
        <v>0</v>
      </c>
      <c r="M80" s="47">
        <f ca="1">IFERROR(__xludf.DUMMYFUNCTION("IMPORTRANGE(""https://docs.google.com/spreadsheets/d/1-uDff_7J0KD5mKrp0Vvzr7lt3OU09vwQwhkpOPPYv2Y/edit?usp=sharing"",""งบพรบ!AS88"")"),0)</f>
        <v>0</v>
      </c>
      <c r="N80" s="47">
        <f ca="1">IFERROR(__xludf.DUMMYFUNCTION("IMPORTRANGE(""https://docs.google.com/spreadsheets/d/1-uDff_7J0KD5mKrp0Vvzr7lt3OU09vwQwhkpOPPYv2Y/edit?usp=sharing"",""งบพรบ!AU88"")"),0)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IFERROR(__xludf.DUMMYFUNCTION("IMPORTRANGE(""https://docs.google.com/spreadsheets/d/1ItG2mGa2ceCfYo0BwxsXqNm01IGEUdYcSSLTEv9YCik/edit?usp=sharing"",""เบิกจ่ายกองทุน!BK88"")"),0)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IFERROR(__xludf.DUMMYFUNCTION("IMPORTRANGE(""https://docs.google.com/spreadsheets/d/1ItG2mGa2ceCfYo0BwxsXqNm01IGEUdYcSSLTEv9YCik/edit?usp=sharing"",""เบิกจ่ายกองทุน!BL88"")"),0)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IFERROR(__xludf.DUMMYFUNCTION("IMPORTRANGE(""https://docs.google.com/spreadsheets/d/1ItG2mGa2ceCfYo0BwxsXqNm01IGEUdYcSSLTEv9YCik/edit?usp=sharing"",""เบิกจ่ายกองทุน!BM88"")"),0)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2</v>
      </c>
      <c r="J82" s="147">
        <f>J84+J86+J88</f>
        <v>1</v>
      </c>
      <c r="K82" s="148">
        <f ca="1">IF(I82&gt;0,J82*100/I82,0)</f>
        <v>50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61</v>
      </c>
      <c r="J83" s="147">
        <f>J85+J87+J89</f>
        <v>31</v>
      </c>
      <c r="K83" s="148">
        <f ca="1">IF(I83&gt;0,J83*100/I83,0)</f>
        <v>50.819672131147541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IFERROR(__xludf.DUMMYFUNCTION("IMPORTRANGE(""https://docs.google.com/spreadsheets/d/1eHaY18a8A9IcSdp1K8H6x8fbOy06t2VsZHhMHf-1x7Y/edit?usp=sharing"",""แผน!H88"")"),1)</f>
        <v>1</v>
      </c>
      <c r="J84" s="167">
        <v>1</v>
      </c>
      <c r="K84" s="153">
        <f ca="1">IF(I84&gt;0,J84*100/I84,0)</f>
        <v>100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IFERROR(__xludf.DUMMYFUNCTION("IMPORTRANGE(""https://docs.google.com/spreadsheets/d/1eHaY18a8A9IcSdp1K8H6x8fbOy06t2VsZHhMHf-1x7Y/edit?usp=sharing"",""แผน!I88"")"),31)</f>
        <v>31</v>
      </c>
      <c r="J85" s="167">
        <v>31</v>
      </c>
      <c r="K85" s="153">
        <f ca="1">IF(I85&gt;0,J85*100/I85,0)</f>
        <v>100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IFERROR(__xludf.DUMMYFUNCTION("IMPORTRANGE(""https://docs.google.com/spreadsheets/d/1eHaY18a8A9IcSdp1K8H6x8fbOy06t2VsZHhMHf-1x7Y/edit?usp=sharing"",""แผน!F88"")"),1)</f>
        <v>1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IFERROR(__xludf.DUMMYFUNCTION("IMPORTRANGE(""https://docs.google.com/spreadsheets/d/1eHaY18a8A9IcSdp1K8H6x8fbOy06t2VsZHhMHf-1x7Y/edit?usp=sharing"",""แผน!G88"")"),30)</f>
        <v>30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IFERROR(__xludf.DUMMYFUNCTION("IMPORTRANGE(""https://docs.google.com/spreadsheets/d/1eHaY18a8A9IcSdp1K8H6x8fbOy06t2VsZHhMHf-1x7Y/edit?usp=sharing"",""แผน!D88"")"),0)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IFERROR(__xludf.DUMMYFUNCTION("IMPORTRANGE(""https://docs.google.com/spreadsheets/d/1eHaY18a8A9IcSdp1K8H6x8fbOy06t2VsZHhMHf-1x7Y/edit?usp=sharing"",""แผน!E88"")"),0)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IFERROR(__xludf.DUMMYFUNCTION("IMPORTRANGE(""https://docs.google.com/spreadsheets/d/1eHaY18a8A9IcSdp1K8H6x8fbOy06t2VsZHhMHf-1x7Y/edit?usp=sharing"",""แผน!J88"")"),2)</f>
        <v>2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30</v>
      </c>
      <c r="K92" s="35">
        <f ca="1">IF(I92&gt;0,J92*100/I92,0)</f>
        <v>100</v>
      </c>
      <c r="L92" s="58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10</v>
      </c>
      <c r="K93" s="35">
        <f ca="1">IF(I93&gt;0,J93*100/I93,0)</f>
        <v>100</v>
      </c>
      <c r="L93" s="58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590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6000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27800</v>
      </c>
      <c r="T94" s="132">
        <f ca="1">IF(Q94&gt;0,S94*100/Q94,0)</f>
        <v>32.930585169391136</v>
      </c>
      <c r="U94" s="132">
        <f ca="1">IF(R94&gt;0,S94*100/R94,0)</f>
        <v>32.930585169391136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6000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84420</v>
      </c>
      <c r="R96" s="47">
        <f ca="1">R99+R102</f>
        <v>84420</v>
      </c>
      <c r="S96" s="47">
        <f ca="1">S99+S102</f>
        <v>27800</v>
      </c>
      <c r="T96" s="47">
        <f ca="1">IF(Q96&gt;0,S96*100/Q96,0)</f>
        <v>32.930585169391136</v>
      </c>
      <c r="U96" s="47">
        <f ca="1">IF(R96&gt;0,S96*100/R96,0)</f>
        <v>32.930585169391136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6000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84420</v>
      </c>
      <c r="R97" s="47">
        <f ca="1">R98+R99</f>
        <v>84420</v>
      </c>
      <c r="S97" s="47">
        <f ca="1">S98+S99</f>
        <v>27800</v>
      </c>
      <c r="T97" s="47">
        <f ca="1">IF(Q97&gt;0,S97*100/Q97,0)</f>
        <v>32.930585169391136</v>
      </c>
      <c r="U97" s="47">
        <f ca="1">IF(R97&gt;0,S97*100/R97,0)</f>
        <v>32.930585169391136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IFERROR(__xludf.DUMMYFUNCTION("IMPORTRANGE(""https://docs.google.com/spreadsheets/d/1-uDff_7J0KD5mKrp0Vvzr7lt3OU09vwQwhkpOPPYv2Y/edit?usp=sharing"",""งบพรบ!AW88"")"),0)</f>
        <v>0</v>
      </c>
      <c r="M99" s="47">
        <f ca="1">IFERROR(__xludf.DUMMYFUNCTION("IMPORTRANGE(""https://docs.google.com/spreadsheets/d/1-uDff_7J0KD5mKrp0Vvzr7lt3OU09vwQwhkpOPPYv2Y/edit?usp=sharing"",""งบพรบ!BB88"")"),6000)</f>
        <v>6000</v>
      </c>
      <c r="N99" s="47">
        <f ca="1">IFERROR(__xludf.DUMMYFUNCTION("IMPORTRANGE(""https://docs.google.com/spreadsheets/d/1-uDff_7J0KD5mKrp0Vvzr7lt3OU09vwQwhkpOPPYv2Y/edit?usp=sharing"",""งบพรบ!BD88"")"),0)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IFERROR(__xludf.DUMMYFUNCTION("IMPORTRANGE(""https://docs.google.com/spreadsheets/d/1ItG2mGa2ceCfYo0BwxsXqNm01IGEUdYcSSLTEv9YCik/edit?usp=sharing"",""เบิกจ่ายกองทุน!AJ88"")"),84420)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IFERROR(__xludf.DUMMYFUNCTION("IMPORTRANGE(""https://docs.google.com/spreadsheets/d/1ItG2mGa2ceCfYo0BwxsXqNm01IGEUdYcSSLTEv9YCik/edit?usp=sharing"",""เบิกจ่ายกองทุน!AK88"")"),84420)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IFERROR(__xludf.DUMMYFUNCTION("IMPORTRANGE(""https://docs.google.com/spreadsheets/d/1ItG2mGa2ceCfYo0BwxsXqNm01IGEUdYcSSLTEv9YCik/edit?usp=sharing"",""เบิกจ่ายกองทุน!AL88"")"),27800)</f>
        <v>27800</v>
      </c>
      <c r="T99" s="47">
        <f ca="1">IF(Q99&gt;0,S99*100/Q99,0)</f>
        <v>32.930585169391136</v>
      </c>
      <c r="U99" s="47">
        <f ca="1">IF(R99&gt;0,S99*100/R99,0)</f>
        <v>32.930585169391136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IFERROR(__xludf.DUMMYFUNCTION("IMPORTRANGE(""https://docs.google.com/spreadsheets/d/1-uDff_7J0KD5mKrp0Vvzr7lt3OU09vwQwhkpOPPYv2Y/edit?usp=sharing"",""งบพรบ!AZ88"")"),0)</f>
        <v>0</v>
      </c>
      <c r="M102" s="47">
        <f ca="1">IFERROR(__xludf.DUMMYFUNCTION("IMPORTRANGE(""https://docs.google.com/spreadsheets/d/1-uDff_7J0KD5mKrp0Vvzr7lt3OU09vwQwhkpOPPYv2Y/edit?usp=sharing"",""งบพรบ!BC88"")"),0)</f>
        <v>0</v>
      </c>
      <c r="N102" s="47">
        <f ca="1">IFERROR(__xludf.DUMMYFUNCTION("IMPORTRANGE(""https://docs.google.com/spreadsheets/d/1-uDff_7J0KD5mKrp0Vvzr7lt3OU09vwQwhkpOPPYv2Y/edit?usp=sharing"",""งบพรบ!BE88"")"),0)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1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1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1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IFERROR(__xludf.DUMMYFUNCTION("IMPORTRANGE(""https://docs.google.com/spreadsheets/d/1eHaY18a8A9IcSdp1K8H6x8fbOy06t2VsZHhMHf-1x7Y/edit?usp=sharing"",""แผน!N88"")"),30)</f>
        <v>30</v>
      </c>
      <c r="J108" s="167">
        <v>30</v>
      </c>
      <c r="K108" s="47">
        <f ca="1">IF(I108&gt;0,J108*100/I108,0)</f>
        <v>100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IFERROR(__xludf.DUMMYFUNCTION("IMPORTRANGE(""https://docs.google.com/spreadsheets/d/1eHaY18a8A9IcSdp1K8H6x8fbOy06t2VsZHhMHf-1x7Y/edit?usp=sharing"",""แผน!O88"")"),10)</f>
        <v>10</v>
      </c>
      <c r="J109" s="167">
        <v>10</v>
      </c>
      <c r="K109" s="47">
        <f ca="1">IF(I109&gt;0,J109*100/I109,0)</f>
        <v>100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1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1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1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IFERROR(__xludf.DUMMYFUNCTION("IMPORTRANGE(""https://docs.google.com/spreadsheets/d/1eHaY18a8A9IcSdp1K8H6x8fbOy06t2VsZHhMHf-1x7Y/edit?usp=sharing"",""แผน!N88"")"),30)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IFERROR(__xludf.DUMMYFUNCTION("IMPORTRANGE(""https://docs.google.com/spreadsheets/d/1eHaY18a8A9IcSdp1K8H6x8fbOy06t2VsZHhMHf-1x7Y/edit?usp=sharing"",""แผน!O88"")"),10)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50</v>
      </c>
      <c r="J116" s="127">
        <f>J127</f>
        <v>50</v>
      </c>
      <c r="K116" s="35">
        <f ca="1">IF(I116&gt;0,J116*100/I116,0)</f>
        <v>100</v>
      </c>
      <c r="L116" s="58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9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284520</v>
      </c>
      <c r="R117" s="132">
        <f ca="1">R118+R119</f>
        <v>284520</v>
      </c>
      <c r="S117" s="132">
        <f ca="1">S118+S119</f>
        <v>198130</v>
      </c>
      <c r="T117" s="132">
        <f ca="1">IF(Q117&gt;0,S117*100/Q117,0)</f>
        <v>69.636580908196265</v>
      </c>
      <c r="U117" s="132">
        <f ca="1">IF(R117&gt;0,S117*100/R117,0)</f>
        <v>69.636580908196265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284520</v>
      </c>
      <c r="R119" s="47">
        <f ca="1">R122+R125</f>
        <v>284520</v>
      </c>
      <c r="S119" s="47">
        <f ca="1">S122+S125</f>
        <v>198130</v>
      </c>
      <c r="T119" s="47">
        <f ca="1">IF(Q119&gt;0,S119*100/Q119,0)</f>
        <v>69.636580908196265</v>
      </c>
      <c r="U119" s="47">
        <f ca="1">IF(R119&gt;0,S119*100/R119,0)</f>
        <v>69.636580908196265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284520</v>
      </c>
      <c r="R120" s="47">
        <f ca="1">R121+R122</f>
        <v>284520</v>
      </c>
      <c r="S120" s="47">
        <f ca="1">S121+S122</f>
        <v>198130</v>
      </c>
      <c r="T120" s="47">
        <f ca="1">IF(Q120&gt;0,S120*100/Q120,0)</f>
        <v>69.636580908196265</v>
      </c>
      <c r="U120" s="47">
        <f ca="1">IF(R120&gt;0,S120*100/R120,0)</f>
        <v>69.636580908196265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IFERROR(__xludf.DUMMYFUNCTION("IMPORTRANGE(""https://docs.google.com/spreadsheets/d/1-uDff_7J0KD5mKrp0Vvzr7lt3OU09vwQwhkpOPPYv2Y/edit?usp=sharing"",""งบพรบ!BG88"")"),0)</f>
        <v>0</v>
      </c>
      <c r="M122" s="47">
        <f ca="1">IFERROR(__xludf.DUMMYFUNCTION("IMPORTRANGE(""https://docs.google.com/spreadsheets/d/1-uDff_7J0KD5mKrp0Vvzr7lt3OU09vwQwhkpOPPYv2Y/edit?usp=sharing"",""งบพรบ!BL88"")"),0)</f>
        <v>0</v>
      </c>
      <c r="N122" s="47">
        <f ca="1">IFERROR(__xludf.DUMMYFUNCTION("IMPORTRANGE(""https://docs.google.com/spreadsheets/d/1-uDff_7J0KD5mKrp0Vvzr7lt3OU09vwQwhkpOPPYv2Y/edit?usp=sharing"",""งบพรบ!BN88"")"),0)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IFERROR(__xludf.DUMMYFUNCTION("IMPORTRANGE(""https://docs.google.com/spreadsheets/d/1ItG2mGa2ceCfYo0BwxsXqNm01IGEUdYcSSLTEv9YCik/edit?usp=sharing"",""เบิกจ่ายกองทุน!U88"")"),284520)</f>
        <v>284520</v>
      </c>
      <c r="R122" s="47">
        <f ca="1">IFERROR(__xludf.DUMMYFUNCTION("IMPORTRANGE(""https://docs.google.com/spreadsheets/d/1ItG2mGa2ceCfYo0BwxsXqNm01IGEUdYcSSLTEv9YCik/edit?usp=sharing"",""เบิกจ่ายกองทุน!V88"")"),284520)</f>
        <v>284520</v>
      </c>
      <c r="S122" s="47">
        <f ca="1">IFERROR(__xludf.DUMMYFUNCTION("IMPORTRANGE(""https://docs.google.com/spreadsheets/d/1ItG2mGa2ceCfYo0BwxsXqNm01IGEUdYcSSLTEv9YCik/edit?usp=sharing"",""เบิกจ่ายกองทุน!W88"")"),198130)</f>
        <v>198130</v>
      </c>
      <c r="T122" s="47">
        <f ca="1">IF(Q122&gt;0,S122*100/Q122,0)</f>
        <v>69.636580908196265</v>
      </c>
      <c r="U122" s="47">
        <f ca="1">IF(R122&gt;0,S122*100/R122,0)</f>
        <v>69.636580908196265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IFERROR(__xludf.DUMMYFUNCTION("IMPORTRANGE(""https://docs.google.com/spreadsheets/d/1-uDff_7J0KD5mKrp0Vvzr7lt3OU09vwQwhkpOPPYv2Y/edit?usp=sharing"",""งบพรบ!BJ88"")"),0)</f>
        <v>0</v>
      </c>
      <c r="M125" s="47">
        <f ca="1">IFERROR(__xludf.DUMMYFUNCTION("IMPORTRANGE(""https://docs.google.com/spreadsheets/d/1-uDff_7J0KD5mKrp0Vvzr7lt3OU09vwQwhkpOPPYv2Y/edit?usp=sharing"",""งบพรบ!BM88"")"),0)</f>
        <v>0</v>
      </c>
      <c r="N125" s="47">
        <f ca="1">IFERROR(__xludf.DUMMYFUNCTION("IMPORTRANGE(""https://docs.google.com/spreadsheets/d/1-uDff_7J0KD5mKrp0Vvzr7lt3OU09vwQwhkpOPPYv2Y/edit?usp=sharing"",""งบพรบ!BO88"")"),0)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IFERROR(__xludf.DUMMYFUNCTION("IMPORTRANGE(""https://docs.google.com/spreadsheets/d/1ItG2mGa2ceCfYo0BwxsXqNm01IGEUdYcSSLTEv9YCik/edit?usp=sharing"",""เบิกจ่ายกองทุน!X88"")"),0)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IFERROR(__xludf.DUMMYFUNCTION("IMPORTRANGE(""https://docs.google.com/spreadsheets/d/1ItG2mGa2ceCfYo0BwxsXqNm01IGEUdYcSSLTEv9YCik/edit?usp=sharing"",""เบิกจ่ายกองทุน!Y88"")"),0)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IFERROR(__xludf.DUMMYFUNCTION("IMPORTRANGE(""https://docs.google.com/spreadsheets/d/1ItG2mGa2ceCfYo0BwxsXqNm01IGEUdYcSSLTEv9YCik/edit?usp=sharing"",""เบิกจ่ายกองทุน!Z88"")"),0)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IFERROR(__xludf.DUMMYFUNCTION("IMPORTRANGE(""https://docs.google.com/spreadsheets/d/1eHaY18a8A9IcSdp1K8H6x8fbOy06t2VsZHhMHf-1x7Y/edit?usp=sharing"",""แผน!FF88"")"),50)</f>
        <v>50</v>
      </c>
      <c r="J127" s="167">
        <v>50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IFERROR(__xludf.DUMMYFUNCTION("IMPORTRANGE(""https://docs.google.com/spreadsheets/d/1eHaY18a8A9IcSdp1K8H6x8fbOy06t2VsZHhMHf-1x7Y/edit?usp=sharing"",""แผน!FG88"")"),0)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IFERROR(__xludf.DUMMYFUNCTION("IMPORTRANGE(""https://docs.google.com/spreadsheets/d/1eHaY18a8A9IcSdp1K8H6x8fbOy06t2VsZHhMHf-1x7Y/edit?usp=sharing"",""แผน!FH88"")"),20)</f>
        <v>20</v>
      </c>
      <c r="J129" s="167">
        <v>20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IFERROR(__xludf.DUMMYFUNCTION("IMPORTRANGE(""https://docs.google.com/spreadsheets/d/1eHaY18a8A9IcSdp1K8H6x8fbOy06t2VsZHhMHf-1x7Y/edit?usp=sharing"",""แผน!FI88"")"),0)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1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20</v>
      </c>
      <c r="J137" s="127">
        <f>J152</f>
        <v>20</v>
      </c>
      <c r="K137" s="35">
        <f ca="1">IF(I137&gt;0,J137*100/I137,0)</f>
        <v>100</v>
      </c>
      <c r="L137" s="58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2</v>
      </c>
      <c r="J138" s="127">
        <f>J153</f>
        <v>2</v>
      </c>
      <c r="K138" s="35">
        <f ca="1">IF(I138&gt;0,J138*100/I138,0)</f>
        <v>100</v>
      </c>
      <c r="L138" s="58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59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31600</v>
      </c>
      <c r="M139" s="132">
        <f ca="1">M140+M141</f>
        <v>26600</v>
      </c>
      <c r="N139" s="132">
        <f ca="1">N140+N141</f>
        <v>20930</v>
      </c>
      <c r="O139" s="132">
        <f ca="1">IF(L139&gt;0,N139*100/L139,0)</f>
        <v>66.234177215189874</v>
      </c>
      <c r="P139" s="132">
        <f ca="1">IF(M139&gt;0,N139*100/M139,0)</f>
        <v>78.684210526315795</v>
      </c>
      <c r="Q139" s="132">
        <f ca="1">Q140+Q141</f>
        <v>39860</v>
      </c>
      <c r="R139" s="132">
        <f ca="1">R140+R141</f>
        <v>39860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31600</v>
      </c>
      <c r="M141" s="47">
        <f ca="1">M144+M147</f>
        <v>26600</v>
      </c>
      <c r="N141" s="47">
        <f ca="1">N144+N147</f>
        <v>20930</v>
      </c>
      <c r="O141" s="47">
        <f ca="1">IF(L141&gt;0,N141*100/L141,0)</f>
        <v>66.234177215189874</v>
      </c>
      <c r="P141" s="47">
        <f ca="1">IF(M141&gt;0,N141*100/M141,0)</f>
        <v>78.684210526315795</v>
      </c>
      <c r="Q141" s="47">
        <f ca="1">Q144+Q147</f>
        <v>39860</v>
      </c>
      <c r="R141" s="47">
        <f ca="1">R144+R147</f>
        <v>39860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31600</v>
      </c>
      <c r="M142" s="47">
        <f ca="1">M143+M144</f>
        <v>26600</v>
      </c>
      <c r="N142" s="47">
        <f ca="1">N143+N144</f>
        <v>20930</v>
      </c>
      <c r="O142" s="47">
        <f ca="1">IF(L142&gt;0,N142*100/L142,0)</f>
        <v>66.234177215189874</v>
      </c>
      <c r="P142" s="47">
        <f ca="1">IF(M142&gt;0,N142*100/M142,0)</f>
        <v>78.684210526315795</v>
      </c>
      <c r="Q142" s="47">
        <f ca="1">Q143+Q144</f>
        <v>39860</v>
      </c>
      <c r="R142" s="47">
        <f ca="1">R143+R144</f>
        <v>39860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IFERROR(__xludf.DUMMYFUNCTION("IMPORTRANGE(""https://docs.google.com/spreadsheets/d/1-uDff_7J0KD5mKrp0Vvzr7lt3OU09vwQwhkpOPPYv2Y/edit?usp=sharing"",""งบพรบ!BQ88"")"),31600)</f>
        <v>31600</v>
      </c>
      <c r="M144" s="47">
        <f ca="1">IFERROR(__xludf.DUMMYFUNCTION("IMPORTRANGE(""https://docs.google.com/spreadsheets/d/1-uDff_7J0KD5mKrp0Vvzr7lt3OU09vwQwhkpOPPYv2Y/edit?usp=sharing"",""งบพรบ!BV88"")"),26600)</f>
        <v>26600</v>
      </c>
      <c r="N144" s="47">
        <f ca="1">IFERROR(__xludf.DUMMYFUNCTION("IMPORTRANGE(""https://docs.google.com/spreadsheets/d/1-uDff_7J0KD5mKrp0Vvzr7lt3OU09vwQwhkpOPPYv2Y/edit?usp=sharing"",""งบพรบ!BX88"")"),20930)</f>
        <v>20930</v>
      </c>
      <c r="O144" s="47">
        <f ca="1">IF(L144&gt;0,N144*100/L144,0)</f>
        <v>66.234177215189874</v>
      </c>
      <c r="P144" s="47">
        <f ca="1">IF(M144&gt;0,N144*100/M144,0)</f>
        <v>78.684210526315795</v>
      </c>
      <c r="Q144" s="47">
        <f ca="1">IFERROR(__xludf.DUMMYFUNCTION("IMPORTRANGE(""https://docs.google.com/spreadsheets/d/1ItG2mGa2ceCfYo0BwxsXqNm01IGEUdYcSSLTEv9YCik/edit?usp=sharing"",""เบิกจ่ายกองทุน!CF88"")"),39860)</f>
        <v>39860</v>
      </c>
      <c r="R144" s="47">
        <f ca="1">IFERROR(__xludf.DUMMYFUNCTION("IMPORTRANGE(""https://docs.google.com/spreadsheets/d/1ItG2mGa2ceCfYo0BwxsXqNm01IGEUdYcSSLTEv9YCik/edit?usp=sharing"",""เบิกจ่ายกองทุน!CG88"")"),39860)</f>
        <v>39860</v>
      </c>
      <c r="S144" s="47">
        <f ca="1">IFERROR(__xludf.DUMMYFUNCTION("IMPORTRANGE(""https://docs.google.com/spreadsheets/d/1ItG2mGa2ceCfYo0BwxsXqNm01IGEUdYcSSLTEv9YCik/edit?usp=sharing"",""เบิกจ่ายกองทุน!CH88"")"),0)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IFERROR(__xludf.DUMMYFUNCTION("IMPORTRANGE(""https://docs.google.com/spreadsheets/d/1-uDff_7J0KD5mKrp0Vvzr7lt3OU09vwQwhkpOPPYv2Y/edit?usp=sharing"",""งบพรบ!BT88"")"),0)</f>
        <v>0</v>
      </c>
      <c r="M147" s="47">
        <f ca="1">IFERROR(__xludf.DUMMYFUNCTION("IMPORTRANGE(""https://docs.google.com/spreadsheets/d/1-uDff_7J0KD5mKrp0Vvzr7lt3OU09vwQwhkpOPPYv2Y/edit?usp=sharing"",""งบพรบ!BW88"")"),0)</f>
        <v>0</v>
      </c>
      <c r="N147" s="47">
        <f ca="1">IFERROR(__xludf.DUMMYFUNCTION("IMPORTRANGE(""https://docs.google.com/spreadsheets/d/1-uDff_7J0KD5mKrp0Vvzr7lt3OU09vwQwhkpOPPYv2Y/edit?usp=sharing"",""งบพรบ!BY88"")"),0)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IFERROR(__xludf.DUMMYFUNCTION("IMPORTRANGE(""https://docs.google.com/spreadsheets/d/1ItG2mGa2ceCfYo0BwxsXqNm01IGEUdYcSSLTEv9YCik/edit?usp=sharing"",""เบิกจ่ายกองทุน!CI88"")"),0)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IFERROR(__xludf.DUMMYFUNCTION("IMPORTRANGE(""https://docs.google.com/spreadsheets/d/1ItG2mGa2ceCfYo0BwxsXqNm01IGEUdYcSSLTEv9YCik/edit?usp=sharing"",""เบิกจ่ายกองทุน!CJ88"")"),0)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IFERROR(__xludf.DUMMYFUNCTION("IMPORTRANGE(""https://docs.google.com/spreadsheets/d/1ItG2mGa2ceCfYo0BwxsXqNm01IGEUdYcSSLTEv9YCik/edit?usp=sharing"",""เบิกจ่ายกองทุน!CK88"")"),0)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IFERROR(__xludf.DUMMYFUNCTION("IMPORTRANGE(""https://docs.google.com/spreadsheets/d/1eHaY18a8A9IcSdp1K8H6x8fbOy06t2VsZHhMHf-1x7Y/edit?usp=sharing"",""แผน!U88"")"),0)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IFERROR(__xludf.DUMMYFUNCTION("IMPORTRANGE(""https://docs.google.com/spreadsheets/d/1eHaY18a8A9IcSdp1K8H6x8fbOy06t2VsZHhMHf-1x7Y/edit?usp=sharing"",""แผน!V88"")"),0)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IFERROR(__xludf.DUMMYFUNCTION("IMPORTRANGE(""https://docs.google.com/spreadsheets/d/1eHaY18a8A9IcSdp1K8H6x8fbOy06t2VsZHhMHf-1x7Y/edit?usp=sharing"",""แผน!W88"")"),20)</f>
        <v>20</v>
      </c>
      <c r="J152" s="167">
        <v>20</v>
      </c>
      <c r="K152" s="47">
        <f ca="1">IF(I152&gt;0,J152*100/I152,0)</f>
        <v>100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IFERROR(__xludf.DUMMYFUNCTION("IMPORTRANGE(""https://docs.google.com/spreadsheets/d/1eHaY18a8A9IcSdp1K8H6x8fbOy06t2VsZHhMHf-1x7Y/edit?usp=sharing"",""แผน!X88"")"),2)</f>
        <v>2</v>
      </c>
      <c r="J153" s="167">
        <v>2</v>
      </c>
      <c r="K153" s="47">
        <f ca="1">IF(I153&gt;0,J153*100/I153,0)</f>
        <v>100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IFERROR(__xludf.DUMMYFUNCTION("IMPORTRANGE(""https://docs.google.com/spreadsheets/d/1eHaY18a8A9IcSdp1K8H6x8fbOy06t2VsZHhMHf-1x7Y/edit?usp=sharing"",""แผน!Y88"")"),0)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I167</f>
        <v>15</v>
      </c>
      <c r="J156" s="127">
        <f>J167</f>
        <v>15</v>
      </c>
      <c r="K156" s="35">
        <f ca="1">IF(I156&gt;0,J156*100/I156,0)</f>
        <v>100</v>
      </c>
      <c r="L156" s="58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59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4500</v>
      </c>
      <c r="M157" s="132">
        <f ca="1">M158+M159</f>
        <v>2250</v>
      </c>
      <c r="N157" s="132">
        <f ca="1">N158+N159</f>
        <v>2250</v>
      </c>
      <c r="O157" s="132">
        <f ca="1">IF(L157&gt;0,N157*100/L157,0)</f>
        <v>50</v>
      </c>
      <c r="P157" s="132">
        <f ca="1">IF(M157&gt;0,N157*100/M157,0)</f>
        <v>100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4500</v>
      </c>
      <c r="M159" s="47">
        <f ca="1">M162+M165</f>
        <v>2250</v>
      </c>
      <c r="N159" s="47">
        <f ca="1">N162+N165</f>
        <v>2250</v>
      </c>
      <c r="O159" s="47">
        <f ca="1">IF(L159&gt;0,N159*100/L159,0)</f>
        <v>50</v>
      </c>
      <c r="P159" s="47">
        <f ca="1">IF(M159&gt;0,N159*100/M159,0)</f>
        <v>100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4500</v>
      </c>
      <c r="M160" s="47">
        <f ca="1">M161+M162</f>
        <v>2250</v>
      </c>
      <c r="N160" s="47">
        <f ca="1">N161+N162</f>
        <v>2250</v>
      </c>
      <c r="O160" s="47">
        <f ca="1">IF(L160&gt;0,N160*100/L160,0)</f>
        <v>50</v>
      </c>
      <c r="P160" s="47">
        <f ca="1">IF(M160&gt;0,N160*100/M160,0)</f>
        <v>100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IFERROR(__xludf.DUMMYFUNCTION("IMPORTRANGE(""https://docs.google.com/spreadsheets/d/1-uDff_7J0KD5mKrp0Vvzr7lt3OU09vwQwhkpOPPYv2Y/edit?usp=sharing"",""งบพรบ!CA88"")"),4500)</f>
        <v>4500</v>
      </c>
      <c r="M162" s="47">
        <f ca="1">IFERROR(__xludf.DUMMYFUNCTION("IMPORTRANGE(""https://docs.google.com/spreadsheets/d/1-uDff_7J0KD5mKrp0Vvzr7lt3OU09vwQwhkpOPPYv2Y/edit?usp=sharing"",""งบพรบ!CF88"")"),2250)</f>
        <v>2250</v>
      </c>
      <c r="N162" s="47">
        <f ca="1">IFERROR(__xludf.DUMMYFUNCTION("IMPORTRANGE(""https://docs.google.com/spreadsheets/d/1-uDff_7J0KD5mKrp0Vvzr7lt3OU09vwQwhkpOPPYv2Y/edit?usp=sharing"",""งบพรบ!CH88"")"),2250)</f>
        <v>2250</v>
      </c>
      <c r="O162" s="47">
        <f ca="1">IF(L162&gt;0,N162*100/L162,0)</f>
        <v>50</v>
      </c>
      <c r="P162" s="47">
        <f ca="1">IF(M162&gt;0,N162*100/M162,0)</f>
        <v>100</v>
      </c>
      <c r="Q162" s="47">
        <f ca="1">IFERROR(__xludf.DUMMYFUNCTION("IMPORTRANGE(""https://docs.google.com/spreadsheets/d/1ItG2mGa2ceCfYo0BwxsXqNm01IGEUdYcSSLTEv9YCik/edit?usp=sharing"",""เบิกจ่ายกองทุน!AM88"")"),0)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IFERROR(__xludf.DUMMYFUNCTION("IMPORTRANGE(""https://docs.google.com/spreadsheets/d/1ItG2mGa2ceCfYo0BwxsXqNm01IGEUdYcSSLTEv9YCik/edit?usp=sharing"",""เบิกจ่ายกองทุน!AN88"")"),0)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IFERROR(__xludf.DUMMYFUNCTION("IMPORTRANGE(""https://docs.google.com/spreadsheets/d/1ItG2mGa2ceCfYo0BwxsXqNm01IGEUdYcSSLTEv9YCik/edit?usp=sharing"",""เบิกจ่ายกองทุน!AO88"")"),0)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IFERROR(__xludf.DUMMYFUNCTION("IMPORTRANGE(""https://docs.google.com/spreadsheets/d/1-uDff_7J0KD5mKrp0Vvzr7lt3OU09vwQwhkpOPPYv2Y/edit?usp=sharing"",""งบพรบ!CD88"")"),0)</f>
        <v>0</v>
      </c>
      <c r="M165" s="47">
        <f ca="1">IFERROR(__xludf.DUMMYFUNCTION("IMPORTRANGE(""https://docs.google.com/spreadsheets/d/1-uDff_7J0KD5mKrp0Vvzr7lt3OU09vwQwhkpOPPYv2Y/edit?usp=sharing"",""งบพรบ!CG88"")"),0)</f>
        <v>0</v>
      </c>
      <c r="N165" s="47">
        <f ca="1">IFERROR(__xludf.DUMMYFUNCTION("IMPORTRANGE(""https://docs.google.com/spreadsheets/d/1-uDff_7J0KD5mKrp0Vvzr7lt3OU09vwQwhkpOPPYv2Y/edit?usp=sharing"",""งบพรบ!CI88"")"),0)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IFERROR(__xludf.DUMMYFUNCTION("IMPORTRANGE(""https://docs.google.com/spreadsheets/d/1eHaY18a8A9IcSdp1K8H6x8fbOy06t2VsZHhMHf-1x7Y/edit?usp=sharing"",""แผน!Z88"")"),15)</f>
        <v>15</v>
      </c>
      <c r="J167" s="167">
        <v>15</v>
      </c>
      <c r="K167" s="47">
        <f ca="1">IF(I167&gt;0,J167*100/I167,0)</f>
        <v>100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I167</f>
        <v>15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I167</f>
        <v>15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15</v>
      </c>
      <c r="J172" s="214">
        <f>J183+J184</f>
        <v>7</v>
      </c>
      <c r="K172" s="215">
        <f ca="1">IF(I172&gt;0,J172*100/I172,0)</f>
        <v>46.666666666666664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9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35640</v>
      </c>
      <c r="N173" s="132">
        <f ca="1">N174+N175</f>
        <v>35640</v>
      </c>
      <c r="O173" s="132">
        <f ca="1">IF(L173&gt;0,N173*100/L173,0)</f>
        <v>181.92955589586524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35640</v>
      </c>
      <c r="N175" s="47">
        <f ca="1">N178+N181</f>
        <v>35640</v>
      </c>
      <c r="O175" s="47">
        <f ca="1">IF(L175&gt;0,N175*100/L175,0)</f>
        <v>181.92955589586524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35640</v>
      </c>
      <c r="N176" s="47">
        <f ca="1">N177+N178</f>
        <v>35640</v>
      </c>
      <c r="O176" s="47">
        <f ca="1">IF(L176&gt;0,N176*100/L176,0)</f>
        <v>181.92955589586524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IFERROR(__xludf.DUMMYFUNCTION("IMPORTRANGE(""https://docs.google.com/spreadsheets/d/1-uDff_7J0KD5mKrp0Vvzr7lt3OU09vwQwhkpOPPYv2Y/edit?usp=sharing"",""งบพรบ!CK88"")"),19590)</f>
        <v>19590</v>
      </c>
      <c r="M178" s="47">
        <f ca="1">IFERROR(__xludf.DUMMYFUNCTION("IMPORTRANGE(""https://docs.google.com/spreadsheets/d/1-uDff_7J0KD5mKrp0Vvzr7lt3OU09vwQwhkpOPPYv2Y/edit?usp=sharing"",""งบพรบ!CP88"")"),35640)</f>
        <v>35640</v>
      </c>
      <c r="N178" s="47">
        <f ca="1">IFERROR(__xludf.DUMMYFUNCTION("IMPORTRANGE(""https://docs.google.com/spreadsheets/d/1-uDff_7J0KD5mKrp0Vvzr7lt3OU09vwQwhkpOPPYv2Y/edit?usp=sharing"",""งบพรบ!CR88"")"),35640)</f>
        <v>35640</v>
      </c>
      <c r="O178" s="47">
        <f ca="1">IF(L178&gt;0,N178*100/L178,0)</f>
        <v>181.92955589586524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IFERROR(__xludf.DUMMYFUNCTION("IMPORTRANGE(""https://docs.google.com/spreadsheets/d/1ItG2mGa2ceCfYo0BwxsXqNm01IGEUdYcSSLTEv9YCik/edit?usp=sharing"",""เบิกจ่ายกองทุน!DG88"")"),0)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IFERROR(__xludf.DUMMYFUNCTION("IMPORTRANGE(""https://docs.google.com/spreadsheets/d/1ItG2mGa2ceCfYo0BwxsXqNm01IGEUdYcSSLTEv9YCik/edit?usp=sharing"",""เบิกจ่ายกองทุน!DH88"")"),0)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IFERROR(__xludf.DUMMYFUNCTION("IMPORTRANGE(""https://docs.google.com/spreadsheets/d/1ItG2mGa2ceCfYo0BwxsXqNm01IGEUdYcSSLTEv9YCik/edit?usp=sharing"",""เบิกจ่ายกองทุน!DI88"")"),0)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IFERROR(__xludf.DUMMYFUNCTION("IMPORTRANGE(""https://docs.google.com/spreadsheets/d/1-uDff_7J0KD5mKrp0Vvzr7lt3OU09vwQwhkpOPPYv2Y/edit?usp=sharing"",""งบพรบ!CN88"")"),0)</f>
        <v>0</v>
      </c>
      <c r="M181" s="47">
        <f ca="1">IFERROR(__xludf.DUMMYFUNCTION("IMPORTRANGE(""https://docs.google.com/spreadsheets/d/1-uDff_7J0KD5mKrp0Vvzr7lt3OU09vwQwhkpOPPYv2Y/edit?usp=sharing"",""งบพรบ!CQ88"")"),0)</f>
        <v>0</v>
      </c>
      <c r="N181" s="47">
        <f ca="1">IFERROR(__xludf.DUMMYFUNCTION("IMPORTRANGE(""https://docs.google.com/spreadsheets/d/1-uDff_7J0KD5mKrp0Vvzr7lt3OU09vwQwhkpOPPYv2Y/edit?usp=sharing"",""งบพรบ!CS88"")"),0)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IFERROR(__xludf.DUMMYFUNCTION("IMPORTRANGE(""https://docs.google.com/spreadsheets/d/1eHaY18a8A9IcSdp1K8H6x8fbOy06t2VsZHhMHf-1x7Y/edit?usp=sharing"",""แผน!AA88"")"),15)</f>
        <v>15</v>
      </c>
      <c r="J183" s="167">
        <v>7</v>
      </c>
      <c r="K183" s="47">
        <f ca="1">IF(I183&gt;0,J183*100/I183,0)</f>
        <v>46.666666666666664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9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217500</v>
      </c>
      <c r="M186" s="132">
        <f ca="1">M187+M188</f>
        <v>224700</v>
      </c>
      <c r="N186" s="132">
        <f ca="1">N187+N188</f>
        <v>188233.35</v>
      </c>
      <c r="O186" s="132">
        <f ca="1">IF(L186&gt;0,N186*100/L186,0)</f>
        <v>86.544068965517241</v>
      </c>
      <c r="P186" s="132">
        <f ca="1">IF(M186&gt;0,N186*100/M186,0)</f>
        <v>83.770961281708949</v>
      </c>
      <c r="Q186" s="132">
        <f ca="1">Q187+Q188</f>
        <v>56000</v>
      </c>
      <c r="R186" s="132">
        <f ca="1">R187+R188</f>
        <v>56000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217500</v>
      </c>
      <c r="M188" s="47">
        <f ca="1">M191+M194</f>
        <v>224700</v>
      </c>
      <c r="N188" s="47">
        <f ca="1">N191+N194</f>
        <v>188233.35</v>
      </c>
      <c r="O188" s="47">
        <f ca="1">IF(L188&gt;0,N188*100/L188,0)</f>
        <v>86.544068965517241</v>
      </c>
      <c r="P188" s="47">
        <f ca="1">IF(M188&gt;0,N188*100/M188,0)</f>
        <v>83.770961281708949</v>
      </c>
      <c r="Q188" s="47">
        <f ca="1">Q191+Q194</f>
        <v>56000</v>
      </c>
      <c r="R188" s="47">
        <f ca="1">R191+R194</f>
        <v>56000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217500</v>
      </c>
      <c r="M189" s="47">
        <f ca="1">M190+M191</f>
        <v>224700</v>
      </c>
      <c r="N189" s="47">
        <f ca="1">N190+N191</f>
        <v>188233.35</v>
      </c>
      <c r="O189" s="47">
        <f ca="1">IF(L189&gt;0,N189*100/L189,0)</f>
        <v>86.544068965517241</v>
      </c>
      <c r="P189" s="47">
        <f ca="1">IF(M189&gt;0,N189*100/M189,0)</f>
        <v>83.770961281708949</v>
      </c>
      <c r="Q189" s="47">
        <f ca="1">Q190+Q191</f>
        <v>56000</v>
      </c>
      <c r="R189" s="47">
        <f ca="1">R190+R191</f>
        <v>56000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IFERROR(__xludf.DUMMYFUNCTION("IMPORTRANGE(""https://docs.google.com/spreadsheets/d/1-uDff_7J0KD5mKrp0Vvzr7lt3OU09vwQwhkpOPPYv2Y/edit?usp=sharing"",""งบพรบ!CU88"")"),217500)</f>
        <v>217500</v>
      </c>
      <c r="M191" s="47">
        <f ca="1">IFERROR(__xludf.DUMMYFUNCTION("IMPORTRANGE(""https://docs.google.com/spreadsheets/d/1-uDff_7J0KD5mKrp0Vvzr7lt3OU09vwQwhkpOPPYv2Y/edit?usp=sharing"",""งบพรบ!CZ88"")"),224700)</f>
        <v>224700</v>
      </c>
      <c r="N191" s="47">
        <f ca="1">IFERROR(__xludf.DUMMYFUNCTION("IMPORTRANGE(""https://docs.google.com/spreadsheets/d/1-uDff_7J0KD5mKrp0Vvzr7lt3OU09vwQwhkpOPPYv2Y/edit?usp=sharing"",""งบพรบ!DB88"")"),188233.35)</f>
        <v>188233.35</v>
      </c>
      <c r="O191" s="47">
        <f ca="1">IF(L191&gt;0,N191*100/L191,0)</f>
        <v>86.544068965517241</v>
      </c>
      <c r="P191" s="47">
        <f ca="1">IF(M191&gt;0,N191*100/M191,0)</f>
        <v>83.770961281708949</v>
      </c>
      <c r="Q191" s="47">
        <f ca="1">IFERROR(__xludf.DUMMYFUNCTION("IMPORTRANGE(""https://docs.google.com/spreadsheets/d/1ItG2mGa2ceCfYo0BwxsXqNm01IGEUdYcSSLTEv9YCik/edit?usp=sharing"",""เบิกจ่ายกองทุน!BQ88"")"),56000)</f>
        <v>56000</v>
      </c>
      <c r="R191" s="47">
        <f ca="1">IFERROR(__xludf.DUMMYFUNCTION("IMPORTRANGE(""https://docs.google.com/spreadsheets/d/1ItG2mGa2ceCfYo0BwxsXqNm01IGEUdYcSSLTEv9YCik/edit?usp=sharing"",""เบิกจ่ายกองทุน!BR88"")"),56000)</f>
        <v>56000</v>
      </c>
      <c r="S191" s="47">
        <f ca="1">IFERROR(__xludf.DUMMYFUNCTION("IMPORTRANGE(""https://docs.google.com/spreadsheets/d/1ItG2mGa2ceCfYo0BwxsXqNm01IGEUdYcSSLTEv9YCik/edit?usp=sharing"",""เบิกจ่ายกองทุน!BS88"")"),0)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IFERROR(__xludf.DUMMYFUNCTION("IMPORTRANGE(""https://docs.google.com/spreadsheets/d/1-uDff_7J0KD5mKrp0Vvzr7lt3OU09vwQwhkpOPPYv2Y/edit?usp=sharing"",""งบพรบ!CX88"")"),0)</f>
        <v>0</v>
      </c>
      <c r="M194" s="47">
        <f ca="1">IFERROR(__xludf.DUMMYFUNCTION("IMPORTRANGE(""https://docs.google.com/spreadsheets/d/1-uDff_7J0KD5mKrp0Vvzr7lt3OU09vwQwhkpOPPYv2Y/edit?usp=sharing"",""งบพรบ!DA88"")"),0)</f>
        <v>0</v>
      </c>
      <c r="N194" s="47">
        <f ca="1">IFERROR(__xludf.DUMMYFUNCTION("IMPORTRANGE(""https://docs.google.com/spreadsheets/d/1-uDff_7J0KD5mKrp0Vvzr7lt3OU09vwQwhkpOPPYv2Y/edit?usp=sharing"",""งบพรบ!DC88"")"),0)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IFERROR(__xludf.DUMMYFUNCTION("IMPORTRANGE(""https://docs.google.com/spreadsheets/d/1ItG2mGa2ceCfYo0BwxsXqNm01IGEUdYcSSLTEv9YCik/edit?usp=sharing"",""เบิกจ่ายกองทุน!BT88"")"),0)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IFERROR(__xludf.DUMMYFUNCTION("IMPORTRANGE(""https://docs.google.com/spreadsheets/d/1ItG2mGa2ceCfYo0BwxsXqNm01IGEUdYcSSLTEv9YCik/edit?usp=sharing"",""เบิกจ่ายกองทุน!BU88"")"),0)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IFERROR(__xludf.DUMMYFUNCTION("IMPORTRANGE(""https://docs.google.com/spreadsheets/d/1ItG2mGa2ceCfYo0BwxsXqNm01IGEUdYcSSLTEv9YCik/edit?usp=sharing"",""เบิกจ่ายกองทุน!BV88"")"),0)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87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IFERROR(__xludf.DUMMYFUNCTION("IMPORTRANGE(""https://docs.google.com/spreadsheets/d/1eHaY18a8A9IcSdp1K8H6x8fbOy06t2VsZHhMHf-1x7Y/edit?usp=sharing"",""แผน!AB88"")"),6000)</f>
        <v>6000</v>
      </c>
      <c r="M196" s="46"/>
      <c r="N196" s="769">
        <v>1200</v>
      </c>
      <c r="O196" s="132">
        <f ca="1">IF(L196&gt;0,N196*100/L196,0)</f>
        <v>20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IFERROR(__xludf.DUMMYFUNCTION("IMPORTRANGE(""https://docs.google.com/spreadsheets/d/1eHaY18a8A9IcSdp1K8H6x8fbOy06t2VsZHhMHf-1x7Y/edit?usp=sharing"",""แผน!AE88"")"),4)</f>
        <v>4</v>
      </c>
      <c r="J198" s="167">
        <v>2</v>
      </c>
      <c r="K198" s="47">
        <f ca="1">IF(I198&gt;0,J198*100/I198,0)</f>
        <v>50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4</v>
      </c>
      <c r="J202" s="228">
        <f>J209</f>
        <v>0</v>
      </c>
      <c r="K202" s="229">
        <f ca="1">IF(I202&gt;0,J202*100/I202,0)</f>
        <v>0</v>
      </c>
      <c r="L202" s="687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 t="e">
        <f ca="1">L204+L205+L206+L207</f>
        <v>#VALUE!</v>
      </c>
      <c r="M203" s="46"/>
      <c r="N203" s="132">
        <f>N204+N205+N206+N207</f>
        <v>0</v>
      </c>
      <c r="O203" s="132" t="e">
        <f ca="1">IF(L203&gt;0,N203*100/L203,0)</f>
        <v>#VALUE!</v>
      </c>
      <c r="P203" s="132">
        <f>IF(M203&gt;0,N203*100/M203,0)</f>
        <v>0</v>
      </c>
      <c r="Q203" s="768">
        <f ca="1">Q204+Q205+Q206+Q207</f>
        <v>56000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IFERROR(__xludf.DUMMYFUNCTION("IMPORTRANGE(""https://docs.google.com/spreadsheets/d/1eHaY18a8A9IcSdp1K8H6x8fbOy06t2VsZHhMHf-1x7Y/edit?usp=sharing"",""แผน!AG88"")"),4000)</f>
        <v>4000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IFERROR(__xludf.DUMMYFUNCTION("IMPORTRANGE(""https://docs.google.com/spreadsheets/d/1eHaY18a8A9IcSdp1K8H6x8fbOy06t2VsZHhMHf-1x7Y/edit?usp=sharing"",""แผน!AH88"")"),0)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 t="str">
        <f ca="1">IFERROR(__xludf.DUMMYFUNCTION("IMPORTRANGE(""https://docs.google.com/spreadsheets/d/1eHaY18a8A9IcSdp1K8H6x8fbOy06t2VsZHhMHf-1x7Y/edit?usp=sharing"",""แผน!AI88"")"),"")</f>
        <v/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IFERROR(__xludf.DUMMYFUNCTION("IMPORTRANGE(""https://docs.google.com/spreadsheets/d/1eHaY18a8A9IcSdp1K8H6x8fbOy06t2VsZHhMHf-1x7Y/edit?usp=sharing"",""แผน!LV88"")"),56000)</f>
        <v>56000</v>
      </c>
      <c r="R206" s="46"/>
      <c r="S206" s="743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IFERROR(__xludf.DUMMYFUNCTION("IMPORTRANGE(""https://docs.google.com/spreadsheets/d/1eHaY18a8A9IcSdp1K8H6x8fbOy06t2VsZHhMHf-1x7Y/edit?usp=sharing"",""แผน!AJ88"")"),21000)</f>
        <v>21000</v>
      </c>
      <c r="M207" s="46"/>
      <c r="N207" s="743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IFERROR(__xludf.DUMMYFUNCTION("IMPORTRANGE(""https://docs.google.com/spreadsheets/d/1eHaY18a8A9IcSdp1K8H6x8fbOy06t2VsZHhMHf-1x7Y/edit?usp=sharing"",""แผน!AK88"")"),4)</f>
        <v>4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IFERROR(__xludf.DUMMYFUNCTION("IMPORTRANGE(""https://docs.google.com/spreadsheets/d/1eHaY18a8A9IcSdp1K8H6x8fbOy06t2VsZHhMHf-1x7Y/edit?usp=sharing"",""แผน!JX88"")"),2)</f>
        <v>2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IFERROR(__xludf.DUMMYFUNCTION("IMPORTRANGE(""https://docs.google.com/spreadsheets/d/1eHaY18a8A9IcSdp1K8H6x8fbOy06t2VsZHhMHf-1x7Y/edit?usp=sharing"",""แผน!JY88"")"),1)</f>
        <v>1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7"/>
      <c r="M213" s="230"/>
      <c r="N213" s="230"/>
      <c r="O213" s="230"/>
      <c r="P213" s="230"/>
      <c r="Q213" s="687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IFERROR(__xludf.DUMMYFUNCTION("IMPORTRANGE(""https://docs.google.com/spreadsheets/d/1eHaY18a8A9IcSdp1K8H6x8fbOy06t2VsZHhMHf-1x7Y/edit?usp=sharing"",""แผน!AM88"")"),0)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IFERROR(__xludf.DUMMYFUNCTION("IMPORTRANGE(""https://docs.google.com/spreadsheets/d/1eHaY18a8A9IcSdp1K8H6x8fbOy06t2VsZHhMHf-1x7Y/edit?usp=sharing"",""แผน!AN88"")"),0)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IFERROR(__xludf.DUMMYFUNCTION("IMPORTRANGE(""https://docs.google.com/spreadsheets/d/1eHaY18a8A9IcSdp1K8H6x8fbOy06t2VsZHhMHf-1x7Y/edit?usp=sharing"",""แผน!AO88"")"),0)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IFERROR(__xludf.DUMMYFUNCTION("IMPORTRANGE(""https://docs.google.com/spreadsheets/d/1eHaY18a8A9IcSdp1K8H6x8fbOy06t2VsZHhMHf-1x7Y/edit?usp=sharing"",""แผน!LY88"")"),0)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IFERROR(__xludf.DUMMYFUNCTION("IMPORTRANGE(""https://docs.google.com/spreadsheets/d/1eHaY18a8A9IcSdp1K8H6x8fbOy06t2VsZHhMHf-1x7Y/edit?usp=sharing"",""แผน!AP88"")"),0)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IFERROR(__xludf.DUMMYFUNCTION("IMPORTRANGE(""https://docs.google.com/spreadsheets/d/1eHaY18a8A9IcSdp1K8H6x8fbOy06t2VsZHhMHf-1x7Y/edit?usp=sharing"",""แผน!AP88"")"),0)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0</v>
      </c>
      <c r="K221" s="229">
        <f ca="1">IF(I221&gt;0,J221*100/I221,0)</f>
        <v>0</v>
      </c>
      <c r="L221" s="687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IFERROR(__xludf.DUMMYFUNCTION("IMPORTRANGE(""https://docs.google.com/spreadsheets/d/1eHaY18a8A9IcSdp1K8H6x8fbOy06t2VsZHhMHf-1x7Y/edit?usp=sharing"",""แผน!AR88"")"),3000)</f>
        <v>3000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IFERROR(__xludf.DUMMYFUNCTION("IMPORTRANGE(""https://docs.google.com/spreadsheets/d/1eHaY18a8A9IcSdp1K8H6x8fbOy06t2VsZHhMHf-1x7Y/edit?usp=sharing"",""แผน!AS88"")"),1500)</f>
        <v>1500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IFERROR(__xludf.DUMMYFUNCTION("IMPORTRANGE(""https://docs.google.com/spreadsheets/d/1eHaY18a8A9IcSdp1K8H6x8fbOy06t2VsZHhMHf-1x7Y/edit?usp=sharing"",""แผน!AT88"")"),0)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IFERROR(__xludf.DUMMYFUNCTION("IMPORTRANGE(""https://docs.google.com/spreadsheets/d/1eHaY18a8A9IcSdp1K8H6x8fbOy06t2VsZHhMHf-1x7Y/edit?usp=sharing"",""แผน!AV88"")"),10000)</f>
        <v>10000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IFERROR(__xludf.DUMMYFUNCTION("IMPORTRANGE(""https://docs.google.com/spreadsheets/d/1eHaY18a8A9IcSdp1K8H6x8fbOy06t2VsZHhMHf-1x7Y/edit?usp=sharing"",""แผน!AV88"")"),10000)</f>
        <v>10000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IFERROR(__xludf.DUMMYFUNCTION("IMPORTRANGE(""https://docs.google.com/spreadsheets/d/1eHaY18a8A9IcSdp1K8H6x8fbOy06t2VsZHhMHf-1x7Y/edit?usp=sharing"",""แผน!AU88"")"),0)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222"/>
      <c r="B231" s="223"/>
      <c r="C231" s="224" t="s">
        <v>105</v>
      </c>
      <c r="D231" s="225"/>
      <c r="E231" s="225"/>
      <c r="F231" s="225"/>
      <c r="G231" s="226"/>
      <c r="H231" s="227" t="s">
        <v>35</v>
      </c>
      <c r="I231" s="228">
        <f ca="1">I242+I253</f>
        <v>0</v>
      </c>
      <c r="J231" s="228">
        <f>J242+J253</f>
        <v>0</v>
      </c>
      <c r="K231" s="229">
        <f ca="1">IF(I231&gt;0,J231*100/I231,0)</f>
        <v>0</v>
      </c>
      <c r="L231" s="687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128"/>
      <c r="B232" s="41"/>
      <c r="C232" s="129" t="s">
        <v>18</v>
      </c>
      <c r="D232" s="590" t="s">
        <v>19</v>
      </c>
      <c r="E232" s="41"/>
      <c r="F232" s="41"/>
      <c r="G232" s="43"/>
      <c r="H232" s="232" t="s">
        <v>14</v>
      </c>
      <c r="I232" s="135"/>
      <c r="J232" s="135"/>
      <c r="K232" s="136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128"/>
      <c r="B233" s="159"/>
      <c r="C233" s="41"/>
      <c r="D233" s="48" t="s">
        <v>86</v>
      </c>
      <c r="E233" s="41"/>
      <c r="F233" s="41"/>
      <c r="G233" s="43"/>
      <c r="H233" s="134" t="s">
        <v>14</v>
      </c>
      <c r="I233" s="135"/>
      <c r="J233" s="135"/>
      <c r="K233" s="136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217"/>
      <c r="B234" s="159"/>
      <c r="C234" s="159"/>
      <c r="D234" s="48" t="s">
        <v>88</v>
      </c>
      <c r="E234" s="41"/>
      <c r="F234" s="41"/>
      <c r="G234" s="43"/>
      <c r="H234" s="134" t="s">
        <v>14</v>
      </c>
      <c r="I234" s="45"/>
      <c r="J234" s="45"/>
      <c r="K234" s="46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217"/>
      <c r="B235" s="159"/>
      <c r="C235" s="159"/>
      <c r="D235" s="48" t="s">
        <v>106</v>
      </c>
      <c r="E235" s="41"/>
      <c r="F235" s="41"/>
      <c r="G235" s="43"/>
      <c r="H235" s="134" t="s">
        <v>14</v>
      </c>
      <c r="I235" s="45"/>
      <c r="J235" s="45"/>
      <c r="K235" s="46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217"/>
      <c r="B236" s="159"/>
      <c r="C236" s="159"/>
      <c r="D236" s="48" t="s">
        <v>107</v>
      </c>
      <c r="E236" s="41"/>
      <c r="F236" s="41"/>
      <c r="G236" s="43"/>
      <c r="H236" s="134" t="s">
        <v>14</v>
      </c>
      <c r="I236" s="45"/>
      <c r="J236" s="45"/>
      <c r="K236" s="46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138"/>
      <c r="B237" s="139"/>
      <c r="C237" s="162" t="s">
        <v>18</v>
      </c>
      <c r="D237" s="563" t="s">
        <v>38</v>
      </c>
      <c r="E237" s="141"/>
      <c r="F237" s="141"/>
      <c r="G237" s="142"/>
      <c r="H237" s="143"/>
      <c r="I237" s="135"/>
      <c r="J237" s="45"/>
      <c r="K237" s="46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52">
        <f ca="1">I249+I260</f>
        <v>0</v>
      </c>
      <c r="J238" s="152">
        <f>J249+J260</f>
        <v>0</v>
      </c>
      <c r="K238" s="47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138"/>
      <c r="B239" s="139"/>
      <c r="C239" s="139"/>
      <c r="D239" s="248" t="s">
        <v>43</v>
      </c>
      <c r="E239" s="145"/>
      <c r="F239" s="145"/>
      <c r="G239" s="143"/>
      <c r="H239" s="143"/>
      <c r="I239" s="45"/>
      <c r="J239" s="45"/>
      <c r="K239" s="46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52">
        <f>I251+I262</f>
        <v>0</v>
      </c>
      <c r="J240" s="152">
        <f>J251+J262</f>
        <v>0</v>
      </c>
      <c r="K240" s="47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52">
        <f>I252+I263</f>
        <v>0</v>
      </c>
      <c r="J241" s="152">
        <f>J252+J263</f>
        <v>0</v>
      </c>
      <c r="K241" s="47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7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IFERROR(__xludf.DUMMYFUNCTION("IMPORTRANGE(""https://docs.google.com/spreadsheets/d/1eHaY18a8A9IcSdp1K8H6x8fbOy06t2VsZHhMHf-1x7Y/edit?usp=sharing"",""แผน!AX88"")"),0)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IFERROR(__xludf.DUMMYFUNCTION("IMPORTRANGE(""https://docs.google.com/spreadsheets/d/1eHaY18a8A9IcSdp1K8H6x8fbOy06t2VsZHhMHf-1x7Y/edit?usp=sharing"",""แผน!AY88"")"),0)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IFERROR(__xludf.DUMMYFUNCTION("IMPORTRANGE(""https://docs.google.com/spreadsheets/d/1eHaY18a8A9IcSdp1K8H6x8fbOy06t2VsZHhMHf-1x7Y/edit?usp=sharing"",""แผน!AZ88"")"),0)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IFERROR(__xludf.DUMMYFUNCTION("IMPORTRANGE(""https://docs.google.com/spreadsheets/d/1eHaY18a8A9IcSdp1K8H6x8fbOy06t2VsZHhMHf-1x7Y/edit?usp=sharing"",""แผน!BA88"")"),0)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1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IFERROR(__xludf.DUMMYFUNCTION("IMPORTRANGE(""https://docs.google.com/spreadsheets/d/1eHaY18a8A9IcSdp1K8H6x8fbOy06t2VsZHhMHf-1x7Y/edit?usp=sharing"",""แผน!BG88"")"),0)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7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IFERROR(__xludf.DUMMYFUNCTION("IMPORTRANGE(""https://docs.google.com/spreadsheets/d/1eHaY18a8A9IcSdp1K8H6x8fbOy06t2VsZHhMHf-1x7Y/edit?usp=sharing"",""แผน!BB88"")"),0)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IFERROR(__xludf.DUMMYFUNCTION("IMPORTRANGE(""https://docs.google.com/spreadsheets/d/1eHaY18a8A9IcSdp1K8H6x8fbOy06t2VsZHhMHf-1x7Y/edit?usp=sharing"",""แผน!BC88"")"),0)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IFERROR(__xludf.DUMMYFUNCTION("IMPORTRANGE(""https://docs.google.com/spreadsheets/d/1eHaY18a8A9IcSdp1K8H6x8fbOy06t2VsZHhMHf-1x7Y/edit?usp=sharing"",""แผน!BD88"")"),0)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IFERROR(__xludf.DUMMYFUNCTION("IMPORTRANGE(""https://docs.google.com/spreadsheets/d/1eHaY18a8A9IcSdp1K8H6x8fbOy06t2VsZHhMHf-1x7Y/edit?usp=sharing"",""แผน!BE88"")"),0)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1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IFERROR(__xludf.DUMMYFUNCTION("IMPORTRANGE(""https://docs.google.com/spreadsheets/d/1eHaY18a8A9IcSdp1K8H6x8fbOy06t2VsZHhMHf-1x7Y/edit?usp=sharing"",""แผน!BH88"")"),0)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0</v>
      </c>
      <c r="K265" s="725">
        <f ca="1">IF(I265&gt;0,J265*100/I265,0)</f>
        <v>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618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5000</v>
      </c>
      <c r="O266" s="421">
        <f ca="1">IF(L266&gt;0,N266*100/L266,0)</f>
        <v>100</v>
      </c>
      <c r="P266" s="421">
        <f ca="1">IF(M266&gt;0,N266*100/M266,0)</f>
        <v>100</v>
      </c>
      <c r="Q266" s="421">
        <f ca="1">Q267+Q268</f>
        <v>50660</v>
      </c>
      <c r="R266" s="421">
        <f ca="1">R267+R268</f>
        <v>50660</v>
      </c>
      <c r="S266" s="421">
        <f ca="1">S267+S268</f>
        <v>24660</v>
      </c>
      <c r="T266" s="421">
        <f ca="1">IF(Q266&gt;0,S266*100/Q266,0)</f>
        <v>48.677457560205291</v>
      </c>
      <c r="U266" s="421">
        <f ca="1">IF(R266&gt;0,S266*100/R266,0)</f>
        <v>48.677457560205291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5000</v>
      </c>
      <c r="O268" s="331">
        <f ca="1">IF(L268&gt;0,N268*100/L268,0)</f>
        <v>100</v>
      </c>
      <c r="P268" s="331">
        <f ca="1">IF(M268&gt;0,N268*100/M268,0)</f>
        <v>100</v>
      </c>
      <c r="Q268" s="331">
        <f ca="1">Q271+Q274</f>
        <v>50660</v>
      </c>
      <c r="R268" s="331">
        <f ca="1">R271+R274</f>
        <v>50660</v>
      </c>
      <c r="S268" s="331">
        <f ca="1">S271+S274</f>
        <v>24660</v>
      </c>
      <c r="T268" s="331">
        <f ca="1">IF(Q268&gt;0,S268*100/Q268,0)</f>
        <v>48.677457560205291</v>
      </c>
      <c r="U268" s="331">
        <f ca="1">IF(R268&gt;0,S268*100/R268,0)</f>
        <v>48.677457560205291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5000</v>
      </c>
      <c r="O269" s="331">
        <f ca="1">IF(L269&gt;0,N269*100/L269,0)</f>
        <v>100</v>
      </c>
      <c r="P269" s="331">
        <f ca="1">IF(M269&gt;0,N269*100/M269,0)</f>
        <v>100</v>
      </c>
      <c r="Q269" s="331">
        <f ca="1">Q270+Q271</f>
        <v>50660</v>
      </c>
      <c r="R269" s="331">
        <f ca="1">R270+R271</f>
        <v>50660</v>
      </c>
      <c r="S269" s="331">
        <f ca="1">S270+S271</f>
        <v>24660</v>
      </c>
      <c r="T269" s="331">
        <f ca="1">IF(Q269&gt;0,S269*100/Q269,0)</f>
        <v>48.677457560205291</v>
      </c>
      <c r="U269" s="331">
        <f ca="1">IF(R269&gt;0,S269*100/R269,0)</f>
        <v>48.677457560205291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IFERROR(__xludf.DUMMYFUNCTION("IMPORTRANGE(""https://docs.google.com/spreadsheets/d/1-uDff_7J0KD5mKrp0Vvzr7lt3OU09vwQwhkpOPPYv2Y/edit?usp=sharing"",""งบพรบ!DE88"")"),5000)</f>
        <v>5000</v>
      </c>
      <c r="M271" s="331">
        <f ca="1">IFERROR(__xludf.DUMMYFUNCTION("IMPORTRANGE(""https://docs.google.com/spreadsheets/d/1-uDff_7J0KD5mKrp0Vvzr7lt3OU09vwQwhkpOPPYv2Y/edit?usp=sharing"",""งบพรบ!DJ88"")"),5000)</f>
        <v>5000</v>
      </c>
      <c r="N271" s="331">
        <f ca="1">IFERROR(__xludf.DUMMYFUNCTION("IMPORTRANGE(""https://docs.google.com/spreadsheets/d/1-uDff_7J0KD5mKrp0Vvzr7lt3OU09vwQwhkpOPPYv2Y/edit?usp=sharing"",""งบพรบ!DL88"")"),5000)</f>
        <v>5000</v>
      </c>
      <c r="O271" s="331">
        <f ca="1">IF(L271&gt;0,N271*100/L271,0)</f>
        <v>100</v>
      </c>
      <c r="P271" s="331">
        <f ca="1">IF(M271&gt;0,N271*100/M271,0)</f>
        <v>100</v>
      </c>
      <c r="Q271" s="331">
        <f ca="1">IFERROR(__xludf.DUMMYFUNCTION("IMPORTRANGE(""https://docs.google.com/spreadsheets/d/1ItG2mGa2ceCfYo0BwxsXqNm01IGEUdYcSSLTEv9YCik/edit?usp=sharing"",""เบิกจ่ายกองทุน!AP88"")"),50660)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IFERROR(__xludf.DUMMYFUNCTION("IMPORTRANGE(""https://docs.google.com/spreadsheets/d/1ItG2mGa2ceCfYo0BwxsXqNm01IGEUdYcSSLTEv9YCik/edit?usp=sharing"",""เบิกจ่ายกองทุน!AQ88"")"),50660)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IFERROR(__xludf.DUMMYFUNCTION("IMPORTRANGE(""https://docs.google.com/spreadsheets/d/1ItG2mGa2ceCfYo0BwxsXqNm01IGEUdYcSSLTEv9YCik/edit?usp=sharing"",""เบิกจ่ายกองทุน!AR88"")"),24660)</f>
        <v>24660</v>
      </c>
      <c r="T271" s="331">
        <f ca="1">IF(Q271&gt;0,S271*100/Q271,0)</f>
        <v>48.677457560205291</v>
      </c>
      <c r="U271" s="331">
        <f ca="1">IF(R271&gt;0,S271*100/R271,0)</f>
        <v>48.677457560205291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IFERROR(__xludf.DUMMYFUNCTION("IMPORTRANGE(""https://docs.google.com/spreadsheets/d/1-uDff_7J0KD5mKrp0Vvzr7lt3OU09vwQwhkpOPPYv2Y/edit?usp=sharing"",""งบพรบ!DH88"")"),0)</f>
        <v>0</v>
      </c>
      <c r="M274" s="331">
        <f ca="1">IFERROR(__xludf.DUMMYFUNCTION("IMPORTRANGE(""https://docs.google.com/spreadsheets/d/1-uDff_7J0KD5mKrp0Vvzr7lt3OU09vwQwhkpOPPYv2Y/edit?usp=sharing"",""งบพรบ!DK88"")"),0)</f>
        <v>0</v>
      </c>
      <c r="N274" s="331">
        <f ca="1">IFERROR(__xludf.DUMMYFUNCTION("IMPORTRANGE(""https://docs.google.com/spreadsheets/d/1-uDff_7J0KD5mKrp0Vvzr7lt3OU09vwQwhkpOPPYv2Y/edit?usp=sharing"",""งบพรบ!DM88"")"),0)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423" t="s">
        <v>18</v>
      </c>
      <c r="D275" s="617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IFERROR(__xludf.DUMMYFUNCTION("IMPORTRANGE(""https://docs.google.com/spreadsheets/d/1eHaY18a8A9IcSdp1K8H6x8fbOy06t2VsZHhMHf-1x7Y/edit?usp=sharing"",""แผน!EC88"")"),22)</f>
        <v>22</v>
      </c>
      <c r="J276" s="175">
        <v>0</v>
      </c>
      <c r="K276" s="176">
        <f ca="1">IF(I276&gt;0,J276*100/I276,0)</f>
        <v>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10</v>
      </c>
      <c r="J280" s="288">
        <f>J293</f>
        <v>10</v>
      </c>
      <c r="K280" s="289">
        <f ca="1">IF(I280&gt;0,J280*100/I280,0)</f>
        <v>100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100</v>
      </c>
      <c r="J281" s="288">
        <f>J292</f>
        <v>100</v>
      </c>
      <c r="K281" s="289">
        <f ca="1">IF(I281&gt;0,J281*100/I281,0)</f>
        <v>100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129" t="s">
        <v>18</v>
      </c>
      <c r="D282" s="59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415220</v>
      </c>
      <c r="M282" s="132">
        <f ca="1">M283+M284</f>
        <v>415220</v>
      </c>
      <c r="N282" s="132">
        <f ca="1">N283+N284</f>
        <v>324275.83</v>
      </c>
      <c r="O282" s="132">
        <f ca="1">IF(L282&gt;0,N282*100/L282,0)</f>
        <v>78.097353210346327</v>
      </c>
      <c r="P282" s="132">
        <f ca="1">IF(M282&gt;0,N282*100/M282,0)</f>
        <v>78.097353210346327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415220</v>
      </c>
      <c r="M284" s="47">
        <f ca="1">M287+M290</f>
        <v>415220</v>
      </c>
      <c r="N284" s="47">
        <f ca="1">N287+N290</f>
        <v>324275.83</v>
      </c>
      <c r="O284" s="47">
        <f ca="1">IF(L284&gt;0,N284*100/L284,0)</f>
        <v>78.097353210346327</v>
      </c>
      <c r="P284" s="47">
        <f ca="1">IF(M284&gt;0,N284*100/M284,0)</f>
        <v>78.097353210346327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415220</v>
      </c>
      <c r="M285" s="47">
        <f ca="1">M286+M287</f>
        <v>415220</v>
      </c>
      <c r="N285" s="47">
        <f ca="1">N286+N287</f>
        <v>324275.83</v>
      </c>
      <c r="O285" s="47">
        <f ca="1">IF(L285&gt;0,N285*100/L285,0)</f>
        <v>78.097353210346327</v>
      </c>
      <c r="P285" s="47">
        <f ca="1">IF(M285&gt;0,N285*100/M285,0)</f>
        <v>78.097353210346327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IFERROR(__xludf.DUMMYFUNCTION("IMPORTRANGE(""https://docs.google.com/spreadsheets/d/1-uDff_7J0KD5mKrp0Vvzr7lt3OU09vwQwhkpOPPYv2Y/edit?usp=sharing"",""งบพรบ!DO88"")"),415220)</f>
        <v>415220</v>
      </c>
      <c r="M287" s="47">
        <f ca="1">IFERROR(__xludf.DUMMYFUNCTION("IMPORTRANGE(""https://docs.google.com/spreadsheets/d/1-uDff_7J0KD5mKrp0Vvzr7lt3OU09vwQwhkpOPPYv2Y/edit?usp=sharing"",""งบพรบ!DT88"")"),415220)</f>
        <v>415220</v>
      </c>
      <c r="N287" s="47">
        <f ca="1">IFERROR(__xludf.DUMMYFUNCTION("IMPORTRANGE(""https://docs.google.com/spreadsheets/d/1-uDff_7J0KD5mKrp0Vvzr7lt3OU09vwQwhkpOPPYv2Y/edit?usp=sharing"",""งบพรบ!DV88"")"),324275.83)</f>
        <v>324275.83</v>
      </c>
      <c r="O287" s="47">
        <f ca="1">IF(L287&gt;0,N287*100/L287,0)</f>
        <v>78.097353210346327</v>
      </c>
      <c r="P287" s="47">
        <f ca="1">IF(M287&gt;0,N287*100/M287,0)</f>
        <v>78.097353210346327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IFERROR(__xludf.DUMMYFUNCTION("IMPORTRANGE(""https://docs.google.com/spreadsheets/d/1-uDff_7J0KD5mKrp0Vvzr7lt3OU09vwQwhkpOPPYv2Y/edit?usp=sharing"",""งบพรบ!DR88"")"),0)</f>
        <v>0</v>
      </c>
      <c r="M290" s="47">
        <f ca="1">IFERROR(__xludf.DUMMYFUNCTION("IMPORTRANGE(""https://docs.google.com/spreadsheets/d/1-uDff_7J0KD5mKrp0Vvzr7lt3OU09vwQwhkpOPPYv2Y/edit?usp=sharing"",""งบพรบ!DU88"")"),0)</f>
        <v>0</v>
      </c>
      <c r="N290" s="47">
        <f ca="1">IFERROR(__xludf.DUMMYFUNCTION("IMPORTRANGE(""https://docs.google.com/spreadsheets/d/1-uDff_7J0KD5mKrp0Vvzr7lt3OU09vwQwhkpOPPYv2Y/edit?usp=sharing"",""งบพรบ!DW88"")"),0)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IFERROR(__xludf.DUMMYFUNCTION("IMPORTRANGE(""https://docs.google.com/spreadsheets/d/1eHaY18a8A9IcSdp1K8H6x8fbOy06t2VsZHhMHf-1x7Y/edit?usp=sharing"",""แผน!EE88"")"),100)</f>
        <v>100</v>
      </c>
      <c r="J292" s="167">
        <v>100</v>
      </c>
      <c r="K292" s="153">
        <f ca="1">IF(I292&gt;0,J292*100/I292,0)</f>
        <v>100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IFERROR(__xludf.DUMMYFUNCTION("IMPORTRANGE(""https://docs.google.com/spreadsheets/d/1eHaY18a8A9IcSdp1K8H6x8fbOy06t2VsZHhMHf-1x7Y/edit?usp=sharing"",""แผน!ED88"")"),10)</f>
        <v>10</v>
      </c>
      <c r="J293" s="147">
        <f>J296</f>
        <v>10</v>
      </c>
      <c r="K293" s="148">
        <f ca="1">IF(I293&gt;0,J293*100/I293,0)</f>
        <v>100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IFERROR(__xludf.DUMMYFUNCTION("IMPORTRANGE(""https://docs.google.com/spreadsheets/d/1eHaY18a8A9IcSdp1K8H6x8fbOy06t2VsZHhMHf-1x7Y/edit?usp=sharing"",""แผน!ED88"")"),10)</f>
        <v>10</v>
      </c>
      <c r="J295" s="167">
        <v>10</v>
      </c>
      <c r="K295" s="153">
        <f ca="1">IF(I295&gt;0,J295*100/I295,0)</f>
        <v>100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IFERROR(__xludf.DUMMYFUNCTION("IMPORTRANGE(""https://docs.google.com/spreadsheets/d/1eHaY18a8A9IcSdp1K8H6x8fbOy06t2VsZHhMHf-1x7Y/edit?usp=sharing"",""แผน!ED88"")"),10)</f>
        <v>10</v>
      </c>
      <c r="J296" s="167">
        <v>10</v>
      </c>
      <c r="K296" s="153">
        <f ca="1">IF(I296&gt;0,J296*100/I296,0)</f>
        <v>100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1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1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700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9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264500</v>
      </c>
      <c r="M303" s="132">
        <f ca="1">M304+M305</f>
        <v>264500</v>
      </c>
      <c r="N303" s="132">
        <f ca="1">N304+N305</f>
        <v>163633.32999999999</v>
      </c>
      <c r="O303" s="132">
        <f ca="1">IF(L303&gt;0,N303*100/L303,0)</f>
        <v>61.865153119092618</v>
      </c>
      <c r="P303" s="132">
        <f ca="1">IF(M303&gt;0,N303*100/M303,0)</f>
        <v>61.865153119092618</v>
      </c>
      <c r="Q303" s="132">
        <f ca="1">Q304+Q305</f>
        <v>144609.24</v>
      </c>
      <c r="R303" s="132">
        <f ca="1">R304+R305</f>
        <v>144609</v>
      </c>
      <c r="S303" s="132">
        <f ca="1">S304+S305</f>
        <v>109975</v>
      </c>
      <c r="T303" s="132">
        <f ca="1">IF(Q303&gt;0,S303*100/Q303,0)</f>
        <v>76.04977385954038</v>
      </c>
      <c r="U303" s="132">
        <f ca="1">IF(R303&gt;0,S303*100/R303,0)</f>
        <v>76.049900075375675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264500</v>
      </c>
      <c r="M305" s="47">
        <f ca="1">M308+M311</f>
        <v>264500</v>
      </c>
      <c r="N305" s="47">
        <f ca="1">N308+N311</f>
        <v>163633.32999999999</v>
      </c>
      <c r="O305" s="47">
        <f ca="1">IF(L305&gt;0,N305*100/L305,0)</f>
        <v>61.865153119092618</v>
      </c>
      <c r="P305" s="47">
        <f ca="1">IF(M305&gt;0,N305*100/M305,0)</f>
        <v>61.865153119092618</v>
      </c>
      <c r="Q305" s="47">
        <f ca="1">Q308+Q311</f>
        <v>144609.24</v>
      </c>
      <c r="R305" s="47">
        <f ca="1">R308+R311</f>
        <v>144609</v>
      </c>
      <c r="S305" s="47">
        <f ca="1">S308+S311</f>
        <v>109975</v>
      </c>
      <c r="T305" s="47">
        <f ca="1">IF(Q305&gt;0,S305*100/Q305,0)</f>
        <v>76.04977385954038</v>
      </c>
      <c r="U305" s="47">
        <f ca="1">IF(R305&gt;0,S305*100/R305,0)</f>
        <v>76.049900075375675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264500</v>
      </c>
      <c r="M306" s="47">
        <f ca="1">M307+M308</f>
        <v>264500</v>
      </c>
      <c r="N306" s="47">
        <f ca="1">N307+N308</f>
        <v>163633.32999999999</v>
      </c>
      <c r="O306" s="47">
        <f ca="1">IF(L306&gt;0,N306*100/L306,0)</f>
        <v>61.865153119092618</v>
      </c>
      <c r="P306" s="47">
        <f ca="1">IF(M306&gt;0,N306*100/M306,0)</f>
        <v>61.865153119092618</v>
      </c>
      <c r="Q306" s="47">
        <f ca="1">Q307+Q308</f>
        <v>144609.24</v>
      </c>
      <c r="R306" s="47">
        <f ca="1">R307+R308</f>
        <v>144609</v>
      </c>
      <c r="S306" s="47">
        <f ca="1">S307+S308</f>
        <v>109975</v>
      </c>
      <c r="T306" s="47">
        <f ca="1">IF(Q306&gt;0,S306*100/Q306,0)</f>
        <v>76.04977385954038</v>
      </c>
      <c r="U306" s="47">
        <f ca="1">IF(R306&gt;0,S306*100/R306,0)</f>
        <v>76.049900075375675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IFERROR(__xludf.DUMMYFUNCTION("IMPORTRANGE(""https://docs.google.com/spreadsheets/d/1-uDff_7J0KD5mKrp0Vvzr7lt3OU09vwQwhkpOPPYv2Y/edit?usp=sharing"",""งบพรบ!DY88"")"),264500)</f>
        <v>264500</v>
      </c>
      <c r="M308" s="47">
        <f ca="1">IFERROR(__xludf.DUMMYFUNCTION("IMPORTRANGE(""https://docs.google.com/spreadsheets/d/1-uDff_7J0KD5mKrp0Vvzr7lt3OU09vwQwhkpOPPYv2Y/edit?usp=sharing"",""งบพรบ!ED88"")"),264500)</f>
        <v>264500</v>
      </c>
      <c r="N308" s="47">
        <f ca="1">IFERROR(__xludf.DUMMYFUNCTION("IMPORTRANGE(""https://docs.google.com/spreadsheets/d/1-uDff_7J0KD5mKrp0Vvzr7lt3OU09vwQwhkpOPPYv2Y/edit?usp=sharing"",""งบพรบ!EF88"")"),163633.33)</f>
        <v>163633.32999999999</v>
      </c>
      <c r="O308" s="47">
        <f ca="1">IF(L308&gt;0,N308*100/L308,0)</f>
        <v>61.865153119092618</v>
      </c>
      <c r="P308" s="47">
        <f ca="1">IF(M308&gt;0,N308*100/M308,0)</f>
        <v>61.865153119092618</v>
      </c>
      <c r="Q308" s="47">
        <f ca="1">IFERROR(__xludf.DUMMYFUNCTION("IMPORTRANGE(""https://docs.google.com/spreadsheets/d/1ItG2mGa2ceCfYo0BwxsXqNm01IGEUdYcSSLTEv9YCik/edit?usp=sharing"",""เบิกจ่ายกองทุน!BB88"")"),144609.24)</f>
        <v>144609.24</v>
      </c>
      <c r="R308" s="47">
        <f ca="1">IFERROR(__xludf.DUMMYFUNCTION("IMPORTRANGE(""https://docs.google.com/spreadsheets/d/1ItG2mGa2ceCfYo0BwxsXqNm01IGEUdYcSSLTEv9YCik/edit?usp=sharing"",""เบิกจ่ายกองทุน!BC88"")"),144609)</f>
        <v>144609</v>
      </c>
      <c r="S308" s="47">
        <f ca="1">IFERROR(__xludf.DUMMYFUNCTION("IMPORTRANGE(""https://docs.google.com/spreadsheets/d/1ItG2mGa2ceCfYo0BwxsXqNm01IGEUdYcSSLTEv9YCik/edit?usp=sharing"",""เบิกจ่ายกองทุน!BD88"")"),109975)</f>
        <v>109975</v>
      </c>
      <c r="T308" s="47">
        <f ca="1">IF(Q308&gt;0,S308*100/Q308,0)</f>
        <v>76.04977385954038</v>
      </c>
      <c r="U308" s="47">
        <f ca="1">IF(R308&gt;0,S308*100/R308,0)</f>
        <v>76.049900075375675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IFERROR(__xludf.DUMMYFUNCTION("IMPORTRANGE(""https://docs.google.com/spreadsheets/d/1-uDff_7J0KD5mKrp0Vvzr7lt3OU09vwQwhkpOPPYv2Y/edit?usp=sharing"",""งบพรบ!EB88"")"),0)</f>
        <v>0</v>
      </c>
      <c r="M311" s="47">
        <f ca="1">IFERROR(__xludf.DUMMYFUNCTION("IMPORTRANGE(""https://docs.google.com/spreadsheets/d/1-uDff_7J0KD5mKrp0Vvzr7lt3OU09vwQwhkpOPPYv2Y/edit?usp=sharing"",""งบพรบ!EE88"")"),0)</f>
        <v>0</v>
      </c>
      <c r="N311" s="47">
        <f ca="1">IFERROR(__xludf.DUMMYFUNCTION("IMPORTRANGE(""https://docs.google.com/spreadsheets/d/1-uDff_7J0KD5mKrp0Vvzr7lt3OU09vwQwhkpOPPYv2Y/edit?usp=sharing"",""งบพรบ!EG88"")"),0)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9"/>
      <c r="E313" s="19"/>
      <c r="F313" s="19"/>
      <c r="G313" s="20"/>
      <c r="H313" s="20"/>
      <c r="I313" s="21"/>
      <c r="J313" s="707"/>
      <c r="K313" s="22"/>
      <c r="L313" s="701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IFERROR(__xludf.DUMMYFUNCTION("IMPORTRANGE(""https://docs.google.com/spreadsheets/d/1eHaY18a8A9IcSdp1K8H6x8fbOy06t2VsZHhMHf-1x7Y/edit?usp=sharing"",""แผน!EF88"")"),20)</f>
        <v>20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9"/>
      <c r="E315" s="19"/>
      <c r="F315" s="19"/>
      <c r="G315" s="20"/>
      <c r="H315" s="708"/>
      <c r="I315" s="707"/>
      <c r="J315" s="707"/>
      <c r="K315" s="706"/>
      <c r="L315" s="701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9"/>
      <c r="E316" s="19"/>
      <c r="F316" s="19"/>
      <c r="G316" s="20"/>
      <c r="H316" s="708"/>
      <c r="I316" s="707"/>
      <c r="J316" s="707"/>
      <c r="K316" s="706"/>
      <c r="L316" s="701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5"/>
      <c r="E317" s="19"/>
      <c r="F317" s="19"/>
      <c r="G317" s="20"/>
      <c r="H317" s="704"/>
      <c r="I317" s="703"/>
      <c r="J317" s="703"/>
      <c r="K317" s="702"/>
      <c r="L317" s="701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700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1</v>
      </c>
      <c r="J319" s="310">
        <f>J330</f>
        <v>1</v>
      </c>
      <c r="K319" s="311">
        <f ca="1">IF(I319&gt;0,J319*100/I319,0)</f>
        <v>100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59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125000</v>
      </c>
      <c r="M320" s="132">
        <f ca="1">M321+M322</f>
        <v>125000</v>
      </c>
      <c r="N320" s="132">
        <f ca="1">N321+N322</f>
        <v>67100.990000000005</v>
      </c>
      <c r="O320" s="132">
        <f ca="1">IF(L320&gt;0,N320*100/L320,0)</f>
        <v>53.680792000000011</v>
      </c>
      <c r="P320" s="132">
        <f ca="1">IF(M320&gt;0,N320*100/M320,0)</f>
        <v>53.680792000000011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125000</v>
      </c>
      <c r="M322" s="47">
        <f ca="1">M325+M328</f>
        <v>125000</v>
      </c>
      <c r="N322" s="47">
        <f ca="1">N325+N328</f>
        <v>67100.990000000005</v>
      </c>
      <c r="O322" s="47">
        <f ca="1">IF(L322&gt;0,N322*100/L322,0)</f>
        <v>53.680792000000011</v>
      </c>
      <c r="P322" s="47">
        <f ca="1">IF(M322&gt;0,N322*100/M322,0)</f>
        <v>53.680792000000011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125000</v>
      </c>
      <c r="M323" s="47">
        <f ca="1">M324+M325</f>
        <v>125000</v>
      </c>
      <c r="N323" s="47">
        <f ca="1">N324+N325</f>
        <v>67100.990000000005</v>
      </c>
      <c r="O323" s="47">
        <f ca="1">IF(L323&gt;0,N323*100/L323,0)</f>
        <v>53.680792000000011</v>
      </c>
      <c r="P323" s="47">
        <f ca="1">IF(M323&gt;0,N323*100/M323,0)</f>
        <v>53.680792000000011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IFERROR(__xludf.DUMMYFUNCTION("IMPORTRANGE(""https://docs.google.com/spreadsheets/d/1-uDff_7J0KD5mKrp0Vvzr7lt3OU09vwQwhkpOPPYv2Y/edit?usp=sharing"",""งบพรบ!EI88"")"),125000)</f>
        <v>125000</v>
      </c>
      <c r="M325" s="47">
        <f ca="1">IFERROR(__xludf.DUMMYFUNCTION("IMPORTRANGE(""https://docs.google.com/spreadsheets/d/1-uDff_7J0KD5mKrp0Vvzr7lt3OU09vwQwhkpOPPYv2Y/edit?usp=sharing"",""งบพรบ!EN88"")"),125000)</f>
        <v>125000</v>
      </c>
      <c r="N325" s="47">
        <f ca="1">IFERROR(__xludf.DUMMYFUNCTION("IMPORTRANGE(""https://docs.google.com/spreadsheets/d/1-uDff_7J0KD5mKrp0Vvzr7lt3OU09vwQwhkpOPPYv2Y/edit?usp=sharing"",""งบพรบ!EP88"")"),67100.99)</f>
        <v>67100.990000000005</v>
      </c>
      <c r="O325" s="47">
        <f ca="1">IF(L325&gt;0,N325*100/L325,0)</f>
        <v>53.680792000000011</v>
      </c>
      <c r="P325" s="47">
        <f ca="1">IF(M325&gt;0,N325*100/M325,0)</f>
        <v>53.680792000000011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IFERROR(__xludf.DUMMYFUNCTION("IMPORTRANGE(""https://docs.google.com/spreadsheets/d/1-uDff_7J0KD5mKrp0Vvzr7lt3OU09vwQwhkpOPPYv2Y/edit?usp=sharing"",""งบพรบ!EL88"")"),0)</f>
        <v>0</v>
      </c>
      <c r="M328" s="47">
        <f ca="1">IFERROR(__xludf.DUMMYFUNCTION("IMPORTRANGE(""https://docs.google.com/spreadsheets/d/1-uDff_7J0KD5mKrp0Vvzr7lt3OU09vwQwhkpOPPYv2Y/edit?usp=sharing"",""งบพรบ!EO88"")"),0)</f>
        <v>0</v>
      </c>
      <c r="N328" s="47">
        <f ca="1">IFERROR(__xludf.DUMMYFUNCTION("IMPORTRANGE(""https://docs.google.com/spreadsheets/d/1-uDff_7J0KD5mKrp0Vvzr7lt3OU09vwQwhkpOPPYv2Y/edit?usp=sharing"",""งบพรบ!EQ88"")"),0)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IFERROR(__xludf.DUMMYFUNCTION("IMPORTRANGE(""https://docs.google.com/spreadsheets/d/1eHaY18a8A9IcSdp1K8H6x8fbOy06t2VsZHhMHf-1x7Y/edit?usp=sharing"",""แผน!EJ88"")"),1)</f>
        <v>1</v>
      </c>
      <c r="J330" s="167">
        <v>1</v>
      </c>
      <c r="K330" s="47">
        <f ca="1">IF(I330&gt;0,J330*100/I330,0)</f>
        <v>100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700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9">
        <f ca="1">I344</f>
        <v>3200</v>
      </c>
      <c r="J332" s="698">
        <f ca="1">J344+J347+J348+J349+J353</f>
        <v>13464</v>
      </c>
      <c r="K332" s="697">
        <f ca="1">IF(I332&gt;0,J332*100/I332,0)</f>
        <v>420.75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9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194000</v>
      </c>
      <c r="M333" s="132">
        <f ca="1">M334+M335</f>
        <v>194000</v>
      </c>
      <c r="N333" s="132">
        <f ca="1">N334+N335</f>
        <v>117193.34</v>
      </c>
      <c r="O333" s="132">
        <f ca="1">IF(L333&gt;0,N333*100/L333,0)</f>
        <v>60.408938144329895</v>
      </c>
      <c r="P333" s="132">
        <f ca="1">IF(M333&gt;0,N333*100/M333,0)</f>
        <v>60.408938144329895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194000</v>
      </c>
      <c r="M335" s="47">
        <f ca="1">M338+M341</f>
        <v>194000</v>
      </c>
      <c r="N335" s="47">
        <f ca="1">N338+N341</f>
        <v>117193.34</v>
      </c>
      <c r="O335" s="47">
        <f ca="1">IF(L335&gt;0,N335*100/L335,0)</f>
        <v>60.408938144329895</v>
      </c>
      <c r="P335" s="47">
        <f ca="1">IF(M335&gt;0,N335*100/M335,0)</f>
        <v>60.408938144329895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194000</v>
      </c>
      <c r="M336" s="47">
        <f ca="1">M337+M338</f>
        <v>194000</v>
      </c>
      <c r="N336" s="47">
        <f ca="1">N337+N338</f>
        <v>117193.34</v>
      </c>
      <c r="O336" s="47">
        <f ca="1">IF(L336&gt;0,N336*100/L336,0)</f>
        <v>60.408938144329895</v>
      </c>
      <c r="P336" s="47">
        <f ca="1">IF(M336&gt;0,N336*100/M336,0)</f>
        <v>60.408938144329895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IFERROR(__xludf.DUMMYFUNCTION("IMPORTRANGE(""https://docs.google.com/spreadsheets/d/1-uDff_7J0KD5mKrp0Vvzr7lt3OU09vwQwhkpOPPYv2Y/edit?usp=sharing"",""งบพรบ!ES88"")"),194000)</f>
        <v>194000</v>
      </c>
      <c r="M338" s="47">
        <f ca="1">IFERROR(__xludf.DUMMYFUNCTION("IMPORTRANGE(""https://docs.google.com/spreadsheets/d/1-uDff_7J0KD5mKrp0Vvzr7lt3OU09vwQwhkpOPPYv2Y/edit?usp=sharing"",""งบพรบ!EX88"")"),194000)</f>
        <v>194000</v>
      </c>
      <c r="N338" s="47">
        <f ca="1">IFERROR(__xludf.DUMMYFUNCTION("IMPORTRANGE(""https://docs.google.com/spreadsheets/d/1-uDff_7J0KD5mKrp0Vvzr7lt3OU09vwQwhkpOPPYv2Y/edit?usp=sharing"",""งบพรบ!EZ88"")"),117193.34)</f>
        <v>117193.34</v>
      </c>
      <c r="O338" s="47">
        <f ca="1">IF(L338&gt;0,N338*100/L338,0)</f>
        <v>60.408938144329895</v>
      </c>
      <c r="P338" s="47">
        <f ca="1">IF(M338&gt;0,N338*100/M338,0)</f>
        <v>60.408938144329895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IFERROR(__xludf.DUMMYFUNCTION("IMPORTRANGE(""https://docs.google.com/spreadsheets/d/1-uDff_7J0KD5mKrp0Vvzr7lt3OU09vwQwhkpOPPYv2Y/edit?usp=sharing"",""งบพรบ!EV88"")"),0)</f>
        <v>0</v>
      </c>
      <c r="M341" s="47">
        <f ca="1">IFERROR(__xludf.DUMMYFUNCTION("IMPORTRANGE(""https://docs.google.com/spreadsheets/d/1-uDff_7J0KD5mKrp0Vvzr7lt3OU09vwQwhkpOPPYv2Y/edit?usp=sharing"",""งบพรบ!EY88"")"),0)</f>
        <v>0</v>
      </c>
      <c r="N341" s="47">
        <f ca="1">IFERROR(__xludf.DUMMYFUNCTION("IMPORTRANGE(""https://docs.google.com/spreadsheets/d/1-uDff_7J0KD5mKrp0Vvzr7lt3OU09vwQwhkpOPPYv2Y/edit?usp=sharing"",""งบพรบ!FA88"")"),0)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6"/>
      <c r="B343" s="693"/>
      <c r="C343" s="695"/>
      <c r="D343" s="693"/>
      <c r="E343" s="694" t="s">
        <v>137</v>
      </c>
      <c r="F343" s="693"/>
      <c r="G343" s="692"/>
      <c r="H343" s="691" t="s">
        <v>35</v>
      </c>
      <c r="I343" s="690">
        <v>0</v>
      </c>
      <c r="J343" s="690">
        <f ca="1">J344+J347+J348+J349</f>
        <v>6447</v>
      </c>
      <c r="K343" s="689">
        <v>0</v>
      </c>
      <c r="L343" s="687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IFERROR(__xludf.DUMMYFUNCTION("IMPORTRANGE(""https://docs.google.com/spreadsheets/d/1eHaY18a8A9IcSdp1K8H6x8fbOy06t2VsZHhMHf-1x7Y/edit?usp=sharing"",""แผน!EK88"")"),3200)</f>
        <v>3200</v>
      </c>
      <c r="J344" s="152">
        <f ca="1">IFERROR(__xludf.DUMMYFUNCTION("IMPORTRANGE(""https://docs.google.com/spreadsheets/d/1awYsYK3VOup2i3Pq_Yjnu8DRu_mYwSBnCR2QPthd0rU/edit?usp=sharing"",""ศูนย์ยกเว้นโฉนด!D88"")"),6313)</f>
        <v>6313</v>
      </c>
      <c r="K344" s="47">
        <f ca="1">IF(I344&gt;0,J344*100/I344,0)</f>
        <v>197.28125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IFERROR(__xludf.DUMMYFUNCTION("IMPORTRANGE(""https://docs.google.com/spreadsheets/d/1eHaY18a8A9IcSdp1K8H6x8fbOy06t2VsZHhMHf-1x7Y/edit?usp=sharing"",""แผน!EL88"")"),5)</f>
        <v>5</v>
      </c>
      <c r="J346" s="152">
        <f ca="1">IFERROR(__xludf.DUMMYFUNCTION("IMPORTRANGE(""https://docs.google.com/spreadsheets/d/1awYsYK3VOup2i3Pq_Yjnu8DRu_mYwSBnCR2QPthd0rU/edit?usp=sharing"",""ศูนย์รวม!E88"")"),8)</f>
        <v>8</v>
      </c>
      <c r="K346" s="47">
        <f ca="1">IF(I346&gt;0,J346*100/I346,0)</f>
        <v>160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IFERROR(__xludf.DUMMYFUNCTION("IMPORTRANGE(""https://docs.google.com/spreadsheets/d/1awYsYK3VOup2i3Pq_Yjnu8DRu_mYwSBnCR2QPthd0rU/edit?usp=sharing"",""ศูนย์ยกเว้นโฉนด!F88"")"),0)</f>
        <v>0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IFERROR(__xludf.DUMMYFUNCTION("IMPORTRANGE(""https://docs.google.com/spreadsheets/d/1awYsYK3VOup2i3Pq_Yjnu8DRu_mYwSBnCR2QPthd0rU/edit?usp=sharing"",""ศูนย์ยกเว้นโฉนด!G88"")"),2)</f>
        <v>2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IFERROR(__xludf.DUMMYFUNCTION("IMPORTRANGE(""https://docs.google.com/spreadsheets/d/1awYsYK3VOup2i3Pq_Yjnu8DRu_mYwSBnCR2QPthd0rU/edit?usp=sharing"",""ศูนย์ยกเว้นโฉนด!H88"")"),132)</f>
        <v>132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8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9413</v>
      </c>
      <c r="K351" s="229">
        <v>0</v>
      </c>
      <c r="L351" s="687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IFERROR(__xludf.DUMMYFUNCTION("IMPORTRANGE(""https://docs.google.com/spreadsheets/d/1awYsYK3VOup2i3Pq_Yjnu8DRu_mYwSBnCR2QPthd0rU/edit?usp=sharing"",""โฉนดM3!G88"")"),2396)</f>
        <v>2396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IFERROR(__xludf.DUMMYFUNCTION("IMPORTRANGE(""https://docs.google.com/spreadsheets/d/1awYsYK3VOup2i3Pq_Yjnu8DRu_mYwSBnCR2QPthd0rU/edit?usp=sharing"",""โฉนดM3!H88"")"),7017)</f>
        <v>7017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9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1057580</v>
      </c>
      <c r="M356" s="132">
        <f ca="1">M357+M358</f>
        <v>1086280</v>
      </c>
      <c r="N356" s="132">
        <f ca="1">N357+N358</f>
        <v>741683.37</v>
      </c>
      <c r="O356" s="132">
        <f ca="1">IF(L356&gt;0,N356*100/L356,0)</f>
        <v>70.130237901624469</v>
      </c>
      <c r="P356" s="132">
        <f ca="1">IF(M356&gt;0,N356*100/M356,0)</f>
        <v>68.277365872519056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1057580</v>
      </c>
      <c r="M358" s="47">
        <f ca="1">M361+M364</f>
        <v>1086280</v>
      </c>
      <c r="N358" s="47">
        <f ca="1">N361+N364</f>
        <v>741683.37</v>
      </c>
      <c r="O358" s="47">
        <f ca="1">IF(L358&gt;0,N358*100/L358,0)</f>
        <v>70.130237901624469</v>
      </c>
      <c r="P358" s="47">
        <f ca="1">IF(M358&gt;0,N358*100/M358,0)</f>
        <v>68.277365872519056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1057580</v>
      </c>
      <c r="M359" s="47">
        <f ca="1">M360+M361</f>
        <v>1086280</v>
      </c>
      <c r="N359" s="47">
        <f ca="1">N360+N361</f>
        <v>741683.37</v>
      </c>
      <c r="O359" s="47">
        <f ca="1">IF(L359&gt;0,N359*100/L359,0)</f>
        <v>70.130237901624469</v>
      </c>
      <c r="P359" s="47">
        <f ca="1">IF(M359&gt;0,N359*100/M359,0)</f>
        <v>68.277365872519056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IFERROR(__xludf.DUMMYFUNCTION("IMPORTRANGE(""https://docs.google.com/spreadsheets/d/1-uDff_7J0KD5mKrp0Vvzr7lt3OU09vwQwhkpOPPYv2Y/edit?usp=sharing"",""งบพรบ!FC88"")"),1057580)</f>
        <v>1057580</v>
      </c>
      <c r="M361" s="47">
        <f ca="1">IFERROR(__xludf.DUMMYFUNCTION("IMPORTRANGE(""https://docs.google.com/spreadsheets/d/1-uDff_7J0KD5mKrp0Vvzr7lt3OU09vwQwhkpOPPYv2Y/edit?usp=sharing"",""งบพรบ!FH88"")"),1086280)</f>
        <v>1086280</v>
      </c>
      <c r="N361" s="47">
        <f ca="1">IFERROR(__xludf.DUMMYFUNCTION("IMPORTRANGE(""https://docs.google.com/spreadsheets/d/1-uDff_7J0KD5mKrp0Vvzr7lt3OU09vwQwhkpOPPYv2Y/edit?usp=sharing"",""งบพรบ!FJ88"")"),741683.37)</f>
        <v>741683.37</v>
      </c>
      <c r="O361" s="47">
        <f ca="1">IF(L361&gt;0,N361*100/L361,0)</f>
        <v>70.130237901624469</v>
      </c>
      <c r="P361" s="47">
        <f ca="1">IF(M361&gt;0,N361*100/M361,0)</f>
        <v>68.277365872519056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IFERROR(__xludf.DUMMYFUNCTION("IMPORTRANGE(""https://docs.google.com/spreadsheets/d/1-uDff_7J0KD5mKrp0Vvzr7lt3OU09vwQwhkpOPPYv2Y/edit?usp=sharing"",""งบพรบ!FF88"")"),0)</f>
        <v>0</v>
      </c>
      <c r="M364" s="47">
        <f ca="1">IFERROR(__xludf.DUMMYFUNCTION("IMPORTRANGE(""https://docs.google.com/spreadsheets/d/1-uDff_7J0KD5mKrp0Vvzr7lt3OU09vwQwhkpOPPYv2Y/edit?usp=sharing"",""งบพรบ!FI88"")"),0)</f>
        <v>0</v>
      </c>
      <c r="N364" s="47">
        <f ca="1">IFERROR(__xludf.DUMMYFUNCTION("IMPORTRANGE(""https://docs.google.com/spreadsheets/d/1-uDff_7J0KD5mKrp0Vvzr7lt3OU09vwQwhkpOPPYv2Y/edit?usp=sharing"",""งบพรบ!FK88"")"),0)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8" t="s">
        <v>149</v>
      </c>
      <c r="E365" s="225"/>
      <c r="F365" s="225"/>
      <c r="G365" s="226"/>
      <c r="H365" s="234" t="s">
        <v>35</v>
      </c>
      <c r="I365" s="228">
        <f ca="1">I371</f>
        <v>1286</v>
      </c>
      <c r="J365" s="228">
        <f ca="1">J371</f>
        <v>1013</v>
      </c>
      <c r="K365" s="229">
        <f ca="1">IF(I365&gt;0,J365*100/I365,0)</f>
        <v>78.771384136858472</v>
      </c>
      <c r="L365" s="687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IFERROR(__xludf.DUMMYFUNCTION("IMPORTRANGE(""https://docs.google.com/spreadsheets/d/1tdoBKaGub7dwA3U6UFTqxio9LNnvDCQjHKmttSEBsFQ/edit?usp=sharing"",""จัดที่ดิน!AB88"")"),413)</f>
        <v>413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IFERROR(__xludf.DUMMYFUNCTION("IMPORTRANGE(""https://docs.google.com/spreadsheets/d/1eHaY18a8A9IcSdp1K8H6x8fbOy06t2VsZHhMHf-1x7Y/edit?usp=sharing"",""แผน!EW88"")"),3600)</f>
        <v>3600</v>
      </c>
      <c r="J368" s="686">
        <f ca="1">IFERROR(__xludf.DUMMYFUNCTION("IMPORTRANGE(""https://docs.google.com/spreadsheets/d/1tdoBKaGub7dwA3U6UFTqxio9LNnvDCQjHKmttSEBsFQ/edit?usp=sharing"",""จัดที่ดิน!AC88"")"),4588.18)</f>
        <v>4588.18</v>
      </c>
      <c r="K368" s="47">
        <f ca="1">IF(I368&gt;0,J368*100/I368,0)</f>
        <v>127.44944444444444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IFERROR(__xludf.DUMMYFUNCTION("IMPORTRANGE(""https://docs.google.com/spreadsheets/d/1eHaY18a8A9IcSdp1K8H6x8fbOy06t2VsZHhMHf-1x7Y/edit?usp=sharing"",""แผน!EX88"")"),1286)</f>
        <v>1286</v>
      </c>
      <c r="J369" s="152">
        <f ca="1">IFERROR(__xludf.DUMMYFUNCTION("IMPORTRANGE(""https://docs.google.com/spreadsheets/d/1tdoBKaGub7dwA3U6UFTqxio9LNnvDCQjHKmttSEBsFQ/edit?usp=sharing"",""จัดที่ดิน!AD88"")"),1083)</f>
        <v>1083</v>
      </c>
      <c r="K369" s="47">
        <f ca="1">IF(I369&gt;0,J369*100/I369,0)</f>
        <v>84.214618973561429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6">
        <f ca="1">IFERROR(__xludf.DUMMYFUNCTION("IMPORTRANGE(""https://docs.google.com/spreadsheets/d/1tdoBKaGub7dwA3U6UFTqxio9LNnvDCQjHKmttSEBsFQ/edit?usp=sharing"",""จัดที่ดิน!AE88"")"),15194.6199999999)</f>
        <v>15194.619999999901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IFERROR(__xludf.DUMMYFUNCTION("IMPORTRANGE(""https://docs.google.com/spreadsheets/d/1eHaY18a8A9IcSdp1K8H6x8fbOy06t2VsZHhMHf-1x7Y/edit?usp=sharing"",""แผน!EY88"")"),1286)</f>
        <v>1286</v>
      </c>
      <c r="J371" s="152">
        <f ca="1">IFERROR(__xludf.DUMMYFUNCTION("IMPORTRANGE(""https://docs.google.com/spreadsheets/d/1tdoBKaGub7dwA3U6UFTqxio9LNnvDCQjHKmttSEBsFQ/edit?usp=sharing"",""จัดที่ดิน!AF88"")"),1013)</f>
        <v>1013</v>
      </c>
      <c r="K371" s="47">
        <f ca="1">IF(I371&gt;0,J371*100/I371,0)</f>
        <v>78.771384136858472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6">
        <f ca="1">IFERROR(__xludf.DUMMYFUNCTION("IMPORTRANGE(""https://docs.google.com/spreadsheets/d/1tdoBKaGub7dwA3U6UFTqxio9LNnvDCQjHKmttSEBsFQ/edit?usp=sharing"",""จัดที่ดิน!AG88"")"),14668.1199999999)</f>
        <v>14668.119999999901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5"/>
      <c r="B374" s="684" t="s">
        <v>153</v>
      </c>
      <c r="C374" s="683"/>
      <c r="D374" s="682"/>
      <c r="E374" s="681"/>
      <c r="F374" s="681"/>
      <c r="G374" s="680"/>
      <c r="H374" s="679" t="s">
        <v>46</v>
      </c>
      <c r="I374" s="678">
        <f ca="1">I386+I388</f>
        <v>1000</v>
      </c>
      <c r="J374" s="678">
        <f ca="1">J386+J388</f>
        <v>0</v>
      </c>
      <c r="K374" s="677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62500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62500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IFERROR(__xludf.DUMMYFUNCTION("IMPORTRANGE(""https://docs.google.com/spreadsheets/d/1-uDff_7J0KD5mKrp0Vvzr7lt3OU09vwQwhkpOPPYv2Y/edit?usp=sharing"",""งบพรบ!IE88"")"),0)</f>
        <v>0</v>
      </c>
      <c r="M380" s="47">
        <f ca="1">IFERROR(__xludf.DUMMYFUNCTION("IMPORTRANGE(""https://docs.google.com/spreadsheets/d/1-uDff_7J0KD5mKrp0Vvzr7lt3OU09vwQwhkpOPPYv2Y/edit?usp=sharing"",""งบพรบ!IJ88"")"),0)</f>
        <v>0</v>
      </c>
      <c r="N380" s="47">
        <f ca="1">IFERROR(__xludf.DUMMYFUNCTION("IMPORTRANGE(""https://docs.google.com/spreadsheets/d/1-uDff_7J0KD5mKrp0Vvzr7lt3OU09vwQwhkpOPPYv2Y/edit?usp=sharing"",""งบพรบ!IL88"")"),0)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IFERROR(__xludf.DUMMYFUNCTION("IMPORTRANGE(""https://docs.google.com/spreadsheets/d/1ItG2mGa2ceCfYo0BwxsXqNm01IGEUdYcSSLTEv9YCik/edit?usp=sharing"",""เบิกจ่ายกองทุน!BW88"")"),62500)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IFERROR(__xludf.DUMMYFUNCTION("IMPORTRANGE(""https://docs.google.com/spreadsheets/d/1ItG2mGa2ceCfYo0BwxsXqNm01IGEUdYcSSLTEv9YCik/edit?usp=sharing"",""เบิกจ่ายกองทุน!BX88"")"),62500)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IFERROR(__xludf.DUMMYFUNCTION("IMPORTRANGE(""https://docs.google.com/spreadsheets/d/1ItG2mGa2ceCfYo0BwxsXqNm01IGEUdYcSSLTEv9YCik/edit?usp=sharing"",""เบิกจ่ายกองทุน!BY88"")"),0)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IFERROR(__xludf.DUMMYFUNCTION("IMPORTRANGE(""https://docs.google.com/spreadsheets/d/1-uDff_7J0KD5mKrp0Vvzr7lt3OU09vwQwhkpOPPYv2Y/edit?usp=sharing"",""งบพรบ!IH88"")"),0)</f>
        <v>0</v>
      </c>
      <c r="M383" s="47">
        <f ca="1">IFERROR(__xludf.DUMMYFUNCTION("IMPORTRANGE(""https://docs.google.com/spreadsheets/d/1-uDff_7J0KD5mKrp0Vvzr7lt3OU09vwQwhkpOPPYv2Y/edit?usp=sharing"",""งบพรบ!IK88"")"),0)</f>
        <v>0</v>
      </c>
      <c r="N383" s="47">
        <f ca="1">IFERROR(__xludf.DUMMYFUNCTION("IMPORTRANGE(""https://docs.google.com/spreadsheets/d/1-uDff_7J0KD5mKrp0Vvzr7lt3OU09vwQwhkpOPPYv2Y/edit?usp=sharing"",""งบพรบ!IM88"")"),0)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IFERROR(__xludf.DUMMYFUNCTION("IMPORTRANGE(""https://docs.google.com/spreadsheets/d/1w5rwWK1o49a35cNtocGL0gxDwhFSTZUQu90BiH9_zqM/edit?usp=sharing"",""RTK!H88"")"),0)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IFERROR(__xludf.DUMMYFUNCTION("IMPORTRANGE(""https://docs.google.com/spreadsheets/d/1w5rwWK1o49a35cNtocGL0gxDwhFSTZUQu90BiH9_zqM/edit?usp=sharing"",""RTK!G88"")"),1000)</f>
        <v>1000</v>
      </c>
      <c r="J386" s="152">
        <f ca="1">IFERROR(__xludf.DUMMYFUNCTION("IMPORTRANGE(""https://docs.google.com/spreadsheets/d/1w5rwWK1o49a35cNtocGL0gxDwhFSTZUQu90BiH9_zqM/edit?usp=sharing"",""RTK!I88"")"),0)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326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IFERROR(__xludf.DUMMYFUNCTION("IMPORTRANGE(""https://docs.google.com/spreadsheets/d/1w5rwWK1o49a35cNtocGL0gxDwhFSTZUQu90BiH9_zqM/edit?usp=sharing"",""RTK!L88"")"),0)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326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IFERROR(__xludf.DUMMYFUNCTION("IMPORTRANGE(""https://docs.google.com/spreadsheets/d/1w5rwWK1o49a35cNtocGL0gxDwhFSTZUQu90BiH9_zqM/edit?usp=sharing"",""RTK!K88"")"),0)</f>
        <v>0</v>
      </c>
      <c r="J388" s="330">
        <f ca="1">IFERROR(__xludf.DUMMYFUNCTION("IMPORTRANGE(""https://docs.google.com/spreadsheets/d/1w5rwWK1o49a35cNtocGL0gxDwhFSTZUQu90BiH9_zqM/edit?usp=sharing"",""RTK!M88"")"),0)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89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33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IFERROR(__xludf.DUMMYFUNCTION("IMPORTRANGE(""https://docs.google.com/spreadsheets/d/1ItG2mGa2ceCfYo0BwxsXqNm01IGEUdYcSSLTEv9YCik/edit?usp=sharing"",""เบิกจ่ายกองทุน!CL88"")"),0)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IFERROR(__xludf.DUMMYFUNCTION("IMPORTRANGE(""https://docs.google.com/spreadsheets/d/1ItG2mGa2ceCfYo0BwxsXqNm01IGEUdYcSSLTEv9YCik/edit?usp=sharing"",""เบิกจ่ายกองทุน!CM88"")"),0)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IFERROR(__xludf.DUMMYFUNCTION("IMPORTRANGE(""https://docs.google.com/spreadsheets/d/1ItG2mGa2ceCfYo0BwxsXqNm01IGEUdYcSSLTEv9YCik/edit?usp=sharing"",""เบิกจ่ายกองทุน!CN88"")"),0)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89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89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89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89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89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89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89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89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89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33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161615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40" t="s">
        <v>18</v>
      </c>
      <c r="D413" s="676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787830</v>
      </c>
      <c r="M413" s="132">
        <f ca="1">M414+M415</f>
        <v>866830</v>
      </c>
      <c r="N413" s="132">
        <f ca="1">N414+N415</f>
        <v>5032.26</v>
      </c>
      <c r="O413" s="132">
        <f ca="1">IF(L413&gt;0,N413*100/L413,0)</f>
        <v>0.63874947640988533</v>
      </c>
      <c r="P413" s="132">
        <f ca="1">IF(M413&gt;0,N413*100/M413,0)</f>
        <v>0.58053597591223194</v>
      </c>
      <c r="Q413" s="132">
        <f ca="1">Q414+Q415</f>
        <v>77750</v>
      </c>
      <c r="R413" s="132">
        <f ca="1">R414+R415</f>
        <v>77750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787830</v>
      </c>
      <c r="M415" s="47">
        <f ca="1">M418+M421</f>
        <v>866830</v>
      </c>
      <c r="N415" s="47">
        <f ca="1">N418+N421</f>
        <v>5032.26</v>
      </c>
      <c r="O415" s="47">
        <f ca="1">IF(L415&gt;0,N415*100/L415,0)</f>
        <v>0.63874947640988533</v>
      </c>
      <c r="P415" s="47">
        <f ca="1">IF(M415&gt;0,N415*100/M415,0)</f>
        <v>0.58053597591223194</v>
      </c>
      <c r="Q415" s="47">
        <f ca="1">Q418+Q421</f>
        <v>77750</v>
      </c>
      <c r="R415" s="47">
        <f ca="1">R418+R421</f>
        <v>77750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787830</v>
      </c>
      <c r="M416" s="47">
        <f ca="1">M417+M418</f>
        <v>866830</v>
      </c>
      <c r="N416" s="47">
        <f ca="1">N417+N418</f>
        <v>5032.26</v>
      </c>
      <c r="O416" s="47">
        <f ca="1">IF(L416&gt;0,N416*100/L416,0)</f>
        <v>0.63874947640988533</v>
      </c>
      <c r="P416" s="47">
        <f ca="1">IF(M416&gt;0,N416*100/M416,0)</f>
        <v>0.58053597591223194</v>
      </c>
      <c r="Q416" s="47">
        <f ca="1">Q417+Q418</f>
        <v>77750</v>
      </c>
      <c r="R416" s="47">
        <f ca="1">R417+R418</f>
        <v>77750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IFERROR(__xludf.DUMMYFUNCTION("IMPORTRANGE(""https://docs.google.com/spreadsheets/d/1-uDff_7J0KD5mKrp0Vvzr7lt3OU09vwQwhkpOPPYv2Y/edit?usp=sharing"",""งบพรบ!IO88"")"),787830)</f>
        <v>787830</v>
      </c>
      <c r="M418" s="47">
        <f ca="1">IFERROR(__xludf.DUMMYFUNCTION("IMPORTRANGE(""https://docs.google.com/spreadsheets/d/1-uDff_7J0KD5mKrp0Vvzr7lt3OU09vwQwhkpOPPYv2Y/edit?usp=sharing"",""งบพรบ!IT88"")"),866830)</f>
        <v>866830</v>
      </c>
      <c r="N418" s="47">
        <f ca="1">IFERROR(__xludf.DUMMYFUNCTION("IMPORTRANGE(""https://docs.google.com/spreadsheets/d/1-uDff_7J0KD5mKrp0Vvzr7lt3OU09vwQwhkpOPPYv2Y/edit?usp=sharing"",""งบพรบ!IV88"")"),5032.26)</f>
        <v>5032.26</v>
      </c>
      <c r="O418" s="47">
        <f ca="1">IF(L418&gt;0,N418*100/L418,0)</f>
        <v>0.63874947640988533</v>
      </c>
      <c r="P418" s="47">
        <f ca="1">IF(M418&gt;0,N418*100/M418,0)</f>
        <v>0.58053597591223194</v>
      </c>
      <c r="Q418" s="47">
        <f ca="1">IFERROR(__xludf.DUMMYFUNCTION("IMPORTRANGE(""https://docs.google.com/spreadsheets/d/1ItG2mGa2ceCfYo0BwxsXqNm01IGEUdYcSSLTEv9YCik/edit?usp=sharing"",""เบิกจ่ายกองทุน!BZ88"")"),77750)</f>
        <v>77750</v>
      </c>
      <c r="R418" s="47">
        <f ca="1">IFERROR(__xludf.DUMMYFUNCTION("IMPORTRANGE(""https://docs.google.com/spreadsheets/d/1ItG2mGa2ceCfYo0BwxsXqNm01IGEUdYcSSLTEv9YCik/edit?usp=sharing"",""เบิกจ่ายกองทุน!CA88"")"),77750)</f>
        <v>77750</v>
      </c>
      <c r="S418" s="47">
        <f ca="1">IFERROR(__xludf.DUMMYFUNCTION("IMPORTRANGE(""https://docs.google.com/spreadsheets/d/1ItG2mGa2ceCfYo0BwxsXqNm01IGEUdYcSSLTEv9YCik/edit?usp=sharing"",""เบิกจ่ายกองทุน!CB88"")"),0)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IFERROR(__xludf.DUMMYFUNCTION("IMPORTRANGE(""https://docs.google.com/spreadsheets/d/1-uDff_7J0KD5mKrp0Vvzr7lt3OU09vwQwhkpOPPYv2Y/edit?usp=sharing"",""งบพรบ!IR88"")"),0)</f>
        <v>0</v>
      </c>
      <c r="M421" s="47">
        <f ca="1">IFERROR(__xludf.DUMMYFUNCTION("IMPORTRANGE(""https://docs.google.com/spreadsheets/d/1-uDff_7J0KD5mKrp0Vvzr7lt3OU09vwQwhkpOPPYv2Y/edit?usp=sharing"",""งบพรบ!IU88"")"),0)</f>
        <v>0</v>
      </c>
      <c r="N421" s="47">
        <f ca="1">IFERROR(__xludf.DUMMYFUNCTION("IMPORTRANGE(""https://docs.google.com/spreadsheets/d/1-uDff_7J0KD5mKrp0Vvzr7lt3OU09vwQwhkpOPPYv2Y/edit?usp=sharing"",""งบพรบ!IW88"")"),0)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40" t="s">
        <v>18</v>
      </c>
      <c r="D422" s="674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669"/>
      <c r="B423" s="464" t="s">
        <v>160</v>
      </c>
      <c r="C423" s="463"/>
      <c r="D423" s="463"/>
      <c r="E423" s="463"/>
      <c r="F423" s="463"/>
      <c r="G423" s="474"/>
      <c r="H423" s="671" t="s">
        <v>46</v>
      </c>
      <c r="I423" s="468">
        <f ca="1">I440</f>
        <v>161615</v>
      </c>
      <c r="J423" s="673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IFERROR(__xludf.DUMMYFUNCTION("IMPORTRANGE(""https://docs.google.com/spreadsheets/d/1eHaY18a8A9IcSdp1K8H6x8fbOy06t2VsZHhMHf-1x7Y/edit?usp=sharing"",""แผน!HJ88"")"),161615)</f>
        <v>161615</v>
      </c>
      <c r="J424" s="670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IFERROR(__xludf.DUMMYFUNCTION("IMPORTRANGE(""https://docs.google.com/spreadsheets/d/1eHaY18a8A9IcSdp1K8H6x8fbOy06t2VsZHhMHf-1x7Y/edit?usp=sharing"",""แผน!HK88"")"),13644)</f>
        <v>13644</v>
      </c>
      <c r="J425" s="670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IFERROR(__xludf.DUMMYFUNCTION("IMPORTRANGE(""https://docs.google.com/spreadsheets/d/1eHaY18a8A9IcSdp1K8H6x8fbOy06t2VsZHhMHf-1x7Y/edit?usp=sharing"",""แผน!HJ88"")"),161615)</f>
        <v>161615</v>
      </c>
      <c r="J432" s="670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IFERROR(__xludf.DUMMYFUNCTION("IMPORTRANGE(""https://docs.google.com/spreadsheets/d/1eHaY18a8A9IcSdp1K8H6x8fbOy06t2VsZHhMHf-1x7Y/edit?usp=sharing"",""แผน!HK88"")"),13644)</f>
        <v>13644</v>
      </c>
      <c r="J433" s="670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IFERROR(__xludf.DUMMYFUNCTION("IMPORTRANGE(""https://docs.google.com/spreadsheets/d/1eHaY18a8A9IcSdp1K8H6x8fbOy06t2VsZHhMHf-1x7Y/edit?usp=sharing"",""แผน!HJ88"")"),161615)</f>
        <v>161615</v>
      </c>
      <c r="J440" s="670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IFERROR(__xludf.DUMMYFUNCTION("IMPORTRANGE(""https://docs.google.com/spreadsheets/d/1eHaY18a8A9IcSdp1K8H6x8fbOy06t2VsZHhMHf-1x7Y/edit?usp=sharing"",""แผน!HK88"")"),13644)</f>
        <v>13644</v>
      </c>
      <c r="J441" s="670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70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70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2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669"/>
      <c r="B456" s="464" t="s">
        <v>177</v>
      </c>
      <c r="C456" s="463"/>
      <c r="D456" s="463"/>
      <c r="E456" s="463"/>
      <c r="F456" s="463"/>
      <c r="G456" s="474"/>
      <c r="H456" s="671" t="s">
        <v>46</v>
      </c>
      <c r="I456" s="468">
        <f ca="1">I457</f>
        <v>589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IFERROR(__xludf.DUMMYFUNCTION("IMPORTRANGE(""https://docs.google.com/spreadsheets/d/1eHaY18a8A9IcSdp1K8H6x8fbOy06t2VsZHhMHf-1x7Y/edit?usp=sharing"",""แผน!HL88"")"),589)</f>
        <v>589</v>
      </c>
      <c r="J457" s="670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IFERROR(__xludf.DUMMYFUNCTION("IMPORTRANGE(""https://docs.google.com/spreadsheets/d/1eHaY18a8A9IcSdp1K8H6x8fbOy06t2VsZHhMHf-1x7Y/edit?usp=sharing"",""แผน!HM88"")"),0)</f>
        <v>0</v>
      </c>
      <c r="J458" s="670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669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30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650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24100</v>
      </c>
      <c r="M493" s="132">
        <f ca="1">M494+M495</f>
        <v>24100</v>
      </c>
      <c r="N493" s="132">
        <f ca="1">N494+N495</f>
        <v>24100</v>
      </c>
      <c r="O493" s="132">
        <f ca="1">IF(L493&gt;0,N493*100/L493,0)</f>
        <v>100</v>
      </c>
      <c r="P493" s="132">
        <f ca="1">IF(M493&gt;0,N493*100/M493,0)</f>
        <v>100</v>
      </c>
      <c r="Q493" s="132">
        <f ca="1">Q494+Q495</f>
        <v>460185</v>
      </c>
      <c r="R493" s="132">
        <f ca="1">R494+R495</f>
        <v>460185</v>
      </c>
      <c r="S493" s="132">
        <f ca="1">S494+S495</f>
        <v>89440</v>
      </c>
      <c r="T493" s="132">
        <f ca="1">IF(Q493&gt;0,S493*100/Q493,0)</f>
        <v>19.435661744733096</v>
      </c>
      <c r="U493" s="132">
        <f ca="1">IF(R493&gt;0,S493*100/R493,0)</f>
        <v>19.435661744733096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24100</v>
      </c>
      <c r="M495" s="47">
        <f ca="1">M498+M501</f>
        <v>24100</v>
      </c>
      <c r="N495" s="47">
        <f ca="1">N498+N501</f>
        <v>24100</v>
      </c>
      <c r="O495" s="47">
        <f ca="1">IF(L495&gt;0,N495*100/L495,0)</f>
        <v>100</v>
      </c>
      <c r="P495" s="47">
        <f ca="1">IF(M495&gt;0,N495*100/M495,0)</f>
        <v>100</v>
      </c>
      <c r="Q495" s="47">
        <f ca="1">Q498+Q501</f>
        <v>460185</v>
      </c>
      <c r="R495" s="47">
        <f ca="1">R498+R501</f>
        <v>460185</v>
      </c>
      <c r="S495" s="47">
        <f ca="1">S498+S501</f>
        <v>89440</v>
      </c>
      <c r="T495" s="47">
        <f ca="1">IF(Q495&gt;0,S495*100/Q495,0)</f>
        <v>19.435661744733096</v>
      </c>
      <c r="U495" s="47">
        <f ca="1">IF(R495&gt;0,S495*100/R495,0)</f>
        <v>19.435661744733096</v>
      </c>
    </row>
    <row r="496" spans="1:21" ht="18.75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24100</v>
      </c>
      <c r="M496" s="47">
        <f ca="1">M497+M498</f>
        <v>24100</v>
      </c>
      <c r="N496" s="47">
        <f ca="1">N497+N498</f>
        <v>24100</v>
      </c>
      <c r="O496" s="47">
        <f ca="1">IF(L496&gt;0,N496*100/L496,0)</f>
        <v>100</v>
      </c>
      <c r="P496" s="47">
        <f ca="1">IF(M496&gt;0,N496*100/M496,0)</f>
        <v>100</v>
      </c>
      <c r="Q496" s="47">
        <f ca="1">Q497+Q498</f>
        <v>460185</v>
      </c>
      <c r="R496" s="47">
        <f ca="1">R497+R498</f>
        <v>460185</v>
      </c>
      <c r="S496" s="47">
        <f ca="1">S497+S498</f>
        <v>89440</v>
      </c>
      <c r="T496" s="47">
        <f ca="1">IF(Q496&gt;0,S496*100/Q496,0)</f>
        <v>19.435661744733096</v>
      </c>
      <c r="U496" s="47">
        <f ca="1">IF(R496&gt;0,S496*100/R496,0)</f>
        <v>19.435661744733096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IFERROR(__xludf.DUMMYFUNCTION("IMPORTRANGE(""https://docs.google.com/spreadsheets/d/1-uDff_7J0KD5mKrp0Vvzr7lt3OU09vwQwhkpOPPYv2Y/edit?usp=sharing"",""งบพรบ!HU88"")"),24100)</f>
        <v>24100</v>
      </c>
      <c r="M498" s="47">
        <f ca="1">IFERROR(__xludf.DUMMYFUNCTION("IMPORTRANGE(""https://docs.google.com/spreadsheets/d/1-uDff_7J0KD5mKrp0Vvzr7lt3OU09vwQwhkpOPPYv2Y/edit?usp=sharing"",""งบพรบ!HZ88"")"),24100)</f>
        <v>24100</v>
      </c>
      <c r="N498" s="47">
        <f ca="1">IFERROR(__xludf.DUMMYFUNCTION("IMPORTRANGE(""https://docs.google.com/spreadsheets/d/1-uDff_7J0KD5mKrp0Vvzr7lt3OU09vwQwhkpOPPYv2Y/edit?usp=sharing"",""งบพรบ!IB88"")"),24100)</f>
        <v>24100</v>
      </c>
      <c r="O498" s="47">
        <f ca="1">IF(L498&gt;0,N498*100/L498,0)</f>
        <v>100</v>
      </c>
      <c r="P498" s="47">
        <f ca="1">IF(M498&gt;0,N498*100/M498,0)</f>
        <v>100</v>
      </c>
      <c r="Q498" s="47">
        <f ca="1">IFERROR(__xludf.DUMMYFUNCTION("IMPORTRANGE(""https://docs.google.com/spreadsheets/d/1ItG2mGa2ceCfYo0BwxsXqNm01IGEUdYcSSLTEv9YCik/edit?usp=sharing"",""เบิกจ่ายกองทุน!AD88"")"),460185)</f>
        <v>460185</v>
      </c>
      <c r="R498" s="47">
        <f ca="1">IFERROR(__xludf.DUMMYFUNCTION("IMPORTRANGE(""https://docs.google.com/spreadsheets/d/1ItG2mGa2ceCfYo0BwxsXqNm01IGEUdYcSSLTEv9YCik/edit?usp=sharing"",""เบิกจ่ายกองทุน!AE88"")"),460185)</f>
        <v>460185</v>
      </c>
      <c r="S498" s="47">
        <f ca="1">IFERROR(__xludf.DUMMYFUNCTION("IMPORTRANGE(""https://docs.google.com/spreadsheets/d/1ItG2mGa2ceCfYo0BwxsXqNm01IGEUdYcSSLTEv9YCik/edit?usp=sharing"",""เบิกจ่ายกองทุน!AF88"")"),89440)</f>
        <v>89440</v>
      </c>
      <c r="T498" s="47">
        <f ca="1">IF(Q498&gt;0,S498*100/Q498,0)</f>
        <v>19.435661744733096</v>
      </c>
      <c r="U498" s="47">
        <f ca="1">IF(R498&gt;0,S498*100/R498,0)</f>
        <v>19.435661744733096</v>
      </c>
    </row>
    <row r="499" spans="1:21" ht="18.75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IFERROR(__xludf.DUMMYFUNCTION("IMPORTRANGE(""https://docs.google.com/spreadsheets/d/1-uDff_7J0KD5mKrp0Vvzr7lt3OU09vwQwhkpOPPYv2Y/edit?usp=sharing"",""งบพรบ!HX88"")"),0)</f>
        <v>0</v>
      </c>
      <c r="M501" s="47">
        <f ca="1">IFERROR(__xludf.DUMMYFUNCTION("IMPORTRANGE(""https://docs.google.com/spreadsheets/d/1-uDff_7J0KD5mKrp0Vvzr7lt3OU09vwQwhkpOPPYv2Y/edit?usp=sharing"",""งบพรบ!IA88"")"),0)</f>
        <v>0</v>
      </c>
      <c r="N501" s="47">
        <f ca="1">IFERROR(__xludf.DUMMYFUNCTION("IMPORTRANGE(""https://docs.google.com/spreadsheets/d/1-uDff_7J0KD5mKrp0Vvzr7lt3OU09vwQwhkpOPPYv2Y/edit?usp=sharing"",""งบพรบ!IC88"")"),0)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IFERROR(__xludf.DUMMYFUNCTION("IMPORTRANGE(""https://docs.google.com/spreadsheets/d/1eHaY18a8A9IcSdp1K8H6x8fbOy06t2VsZHhMHf-1x7Y/edit?usp=sharing"",""แผน!GX88"")"),30)</f>
        <v>30</v>
      </c>
      <c r="J503" s="147">
        <f ca="1">IF(AND(J504=I503,J505=I503,J506=I503,J507=I503),I503,0)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IFERROR(__xludf.DUMMYFUNCTION("IMPORTRANGE(""https://docs.google.com/spreadsheets/d/1eHaY18a8A9IcSdp1K8H6x8fbOy06t2VsZHhMHf-1x7Y/edit?usp=sharing"",""แผน!GY88"")"),0)</f>
        <v>0</v>
      </c>
      <c r="J504" s="167">
        <v>30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IFERROR(__xludf.DUMMYFUNCTION("IMPORTRANGE(""https://docs.google.com/spreadsheets/d/1eHaY18a8A9IcSdp1K8H6x8fbOy06t2VsZHhMHf-1x7Y/edit?usp=sharing"",""แผน!GZ88"")"),0)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IFERROR(__xludf.DUMMYFUNCTION("IMPORTRANGE(""https://docs.google.com/spreadsheets/d/1eHaY18a8A9IcSdp1K8H6x8fbOy06t2VsZHhMHf-1x7Y/edit?usp=sharing"",""แผน!HA88"")"),0)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IFERROR(__xludf.DUMMYFUNCTION("IMPORTRANGE(""https://docs.google.com/spreadsheets/d/1eHaY18a8A9IcSdp1K8H6x8fbOy06t2VsZHhMHf-1x7Y/edit?usp=sharing"",""แผน!HB88"")"),0)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IFERROR(__xludf.DUMMYFUNCTION("IMPORTRANGE(""https://docs.google.com/spreadsheets/d/1eHaY18a8A9IcSdp1K8H6x8fbOy06t2VsZHhMHf-1x7Y/edit?usp=sharing"",""แผน!HC88"")"),0)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828"/>
      <c r="M510" s="827"/>
      <c r="N510" s="827"/>
      <c r="O510" s="827"/>
      <c r="P510" s="827"/>
      <c r="Q510" s="827"/>
      <c r="R510" s="827"/>
      <c r="S510" s="827"/>
      <c r="T510" s="827"/>
      <c r="U510" s="827"/>
    </row>
    <row r="511" spans="1:21" ht="19.5" hidden="1" x14ac:dyDescent="0.3">
      <c r="A511" s="826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25" t="s">
        <v>207</v>
      </c>
      <c r="C512" s="372"/>
      <c r="D512" s="373"/>
      <c r="E512" s="373"/>
      <c r="F512" s="373"/>
      <c r="G512" s="374"/>
      <c r="H512" s="824" t="s">
        <v>61</v>
      </c>
      <c r="I512" s="823">
        <f>I524</f>
        <v>0</v>
      </c>
      <c r="J512" s="823">
        <f>J524</f>
        <v>0</v>
      </c>
      <c r="K512" s="822">
        <f>IF(I512&gt;0,J512*100/I512,0)</f>
        <v>0</v>
      </c>
      <c r="L512" s="591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21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0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IFERROR(__xludf.DUMMYFUNCTION("IMPORTRANGE(""https://docs.google.com/spreadsheets/d/1-uDff_7J0KD5mKrp0Vvzr7lt3OU09vwQwhkpOPPYv2Y/edit?usp=sharing"",""งบพรบ!FM88"")"),0)</f>
        <v>0</v>
      </c>
      <c r="M518" s="47">
        <f ca="1">IFERROR(__xludf.DUMMYFUNCTION("IMPORTRANGE(""https://docs.google.com/spreadsheets/d/1-uDff_7J0KD5mKrp0Vvzr7lt3OU09vwQwhkpOPPYv2Y/edit?usp=sharing"",""งบพรบ!FR88"")"),0)</f>
        <v>0</v>
      </c>
      <c r="N518" s="47">
        <f ca="1">IFERROR(__xludf.DUMMYFUNCTION("IMPORTRANGE(""https://docs.google.com/spreadsheets/d/1-uDff_7J0KD5mKrp0Vvzr7lt3OU09vwQwhkpOPPYv2Y/edit?usp=sharing"",""งบพรบ!FT88"")"),0)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0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IFERROR(__xludf.DUMMYFUNCTION("IMPORTRANGE(""https://docs.google.com/spreadsheets/d/1-uDff_7J0KD5mKrp0Vvzr7lt3OU09vwQwhkpOPPYv2Y/edit?usp=sharing"",""งบพรบ!FP88"")"),0)</f>
        <v>0</v>
      </c>
      <c r="M521" s="47">
        <f ca="1">IFERROR(__xludf.DUMMYFUNCTION("IMPORTRANGE(""https://docs.google.com/spreadsheets/d/1-uDff_7J0KD5mKrp0Vvzr7lt3OU09vwQwhkpOPPYv2Y/edit?usp=sharing"",""งบพรบ!FS88"")"),0)</f>
        <v>0</v>
      </c>
      <c r="N521" s="47">
        <f ca="1">IFERROR(__xludf.DUMMYFUNCTION("IMPORTRANGE(""https://docs.google.com/spreadsheets/d/1-uDff_7J0KD5mKrp0Vvzr7lt3OU09vwQwhkpOPPYv2Y/edit?usp=sharing"",""งบพรบ!FU88"")"),0)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1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19" t="s">
        <v>209</v>
      </c>
      <c r="E524" s="264"/>
      <c r="F524" s="1"/>
      <c r="G524" s="53"/>
      <c r="H524" s="818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4"/>
      <c r="B525" s="613"/>
      <c r="C525" s="613"/>
      <c r="D525" s="612"/>
      <c r="E525" s="612"/>
      <c r="F525" s="612"/>
      <c r="G525" s="611"/>
      <c r="H525" s="610"/>
      <c r="I525" s="609"/>
      <c r="J525" s="609"/>
      <c r="K525" s="608"/>
      <c r="L525" s="589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89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89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89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89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89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89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2">
        <f>I545</f>
        <v>0</v>
      </c>
      <c r="J533" s="592">
        <f>J545</f>
        <v>0</v>
      </c>
      <c r="K533" s="377">
        <f>IF(I533&gt;0,J533*100/I533,0)</f>
        <v>0</v>
      </c>
      <c r="L533" s="591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IFERROR(__xludf.DUMMYFUNCTION("IMPORTRANGE(""https://docs.google.com/spreadsheets/d/1-uDff_7J0KD5mKrp0Vvzr7lt3OU09vwQwhkpOPPYv2Y/edit?usp=sharing"",""งบพรบ!FW88"")"),0)</f>
        <v>0</v>
      </c>
      <c r="M539" s="47">
        <f ca="1">IFERROR(__xludf.DUMMYFUNCTION("IMPORTRANGE(""https://docs.google.com/spreadsheets/d/1-uDff_7J0KD5mKrp0Vvzr7lt3OU09vwQwhkpOPPYv2Y/edit?usp=sharing"",""งบพรบ!GB88"")"),0)</f>
        <v>0</v>
      </c>
      <c r="N539" s="47">
        <f ca="1">IFERROR(__xludf.DUMMYFUNCTION("IMPORTRANGE(""https://docs.google.com/spreadsheets/d/1-uDff_7J0KD5mKrp0Vvzr7lt3OU09vwQwhkpOPPYv2Y/edit?usp=sharing"",""งบพรบ!GD88"")"),0)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IFERROR(__xludf.DUMMYFUNCTION("IMPORTRANGE(""https://docs.google.com/spreadsheets/d/1-uDff_7J0KD5mKrp0Vvzr7lt3OU09vwQwhkpOPPYv2Y/edit?usp=sharing"",""งบพรบ!FZ88"")"),0)</f>
        <v>0</v>
      </c>
      <c r="M542" s="47">
        <f ca="1">IFERROR(__xludf.DUMMYFUNCTION("IMPORTRANGE(""https://docs.google.com/spreadsheets/d/1-uDff_7J0KD5mKrp0Vvzr7lt3OU09vwQwhkpOPPYv2Y/edit?usp=sharing"",""งบพรบ!GC88"")"),0)</f>
        <v>0</v>
      </c>
      <c r="N542" s="47">
        <f ca="1">IFERROR(__xludf.DUMMYFUNCTION("IMPORTRANGE(""https://docs.google.com/spreadsheets/d/1-uDff_7J0KD5mKrp0Vvzr7lt3OU09vwQwhkpOPPYv2Y/edit?usp=sharing"",""งบพรบ!GE88"")"),0)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89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89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89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89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89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89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89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89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89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2">
        <f>I566</f>
        <v>0</v>
      </c>
      <c r="J554" s="592">
        <f>J566</f>
        <v>0</v>
      </c>
      <c r="K554" s="377">
        <f>IF(I554&gt;0,J554*100/I554,0)</f>
        <v>0</v>
      </c>
      <c r="L554" s="591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IFERROR(__xludf.DUMMYFUNCTION("IMPORTRANGE(""https://docs.google.com/spreadsheets/d/1-uDff_7J0KD5mKrp0Vvzr7lt3OU09vwQwhkpOPPYv2Y/edit?usp=sharing"",""งบพรบ!GG88"")"),0)</f>
        <v>0</v>
      </c>
      <c r="M560" s="47">
        <f ca="1">IFERROR(__xludf.DUMMYFUNCTION("IMPORTRANGE(""https://docs.google.com/spreadsheets/d/1-uDff_7J0KD5mKrp0Vvzr7lt3OU09vwQwhkpOPPYv2Y/edit?usp=sharing"",""งบพรบ!GL88"")"),0)</f>
        <v>0</v>
      </c>
      <c r="N560" s="47">
        <f ca="1">IFERROR(__xludf.DUMMYFUNCTION("IMPORTRANGE(""https://docs.google.com/spreadsheets/d/1-uDff_7J0KD5mKrp0Vvzr7lt3OU09vwQwhkpOPPYv2Y/edit?usp=sharing"",""งบพรบ!GN88"")"),0)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IFERROR(__xludf.DUMMYFUNCTION("IMPORTRANGE(""https://docs.google.com/spreadsheets/d/1-uDff_7J0KD5mKrp0Vvzr7lt3OU09vwQwhkpOPPYv2Y/edit?usp=sharing"",""งบพรบ!GJ88"")"),0)</f>
        <v>0</v>
      </c>
      <c r="M563" s="47">
        <f ca="1">IFERROR(__xludf.DUMMYFUNCTION("IMPORTRANGE(""https://docs.google.com/spreadsheets/d/1-uDff_7J0KD5mKrp0Vvzr7lt3OU09vwQwhkpOPPYv2Y/edit?usp=sharing"",""งบพรบ!GM88"")"),0)</f>
        <v>0</v>
      </c>
      <c r="N563" s="47">
        <f ca="1">IFERROR(__xludf.DUMMYFUNCTION("IMPORTRANGE(""https://docs.google.com/spreadsheets/d/1-uDff_7J0KD5mKrp0Vvzr7lt3OU09vwQwhkpOPPYv2Y/edit?usp=sharing"",""งบพรบ!GO88"")"),0)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89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89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89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89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89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89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89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89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89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>I587</f>
        <v>15</v>
      </c>
      <c r="J575" s="385">
        <f>J587</f>
        <v>0</v>
      </c>
      <c r="K575" s="377">
        <f>IF(I575&gt;0,J575*100/I575,0)</f>
        <v>0</v>
      </c>
      <c r="L575" s="591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129" t="s">
        <v>18</v>
      </c>
      <c r="D576" s="59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807875</v>
      </c>
      <c r="M576" s="132">
        <f ca="1">M577+M578</f>
        <v>807875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807875</v>
      </c>
      <c r="M578" s="47">
        <f ca="1">M581+M584</f>
        <v>807875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807875</v>
      </c>
      <c r="M579" s="47">
        <f ca="1">M580+M581</f>
        <v>807875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IFERROR(__xludf.DUMMYFUNCTION("IMPORTRANGE(""https://docs.google.com/spreadsheets/d/1-uDff_7J0KD5mKrp0Vvzr7lt3OU09vwQwhkpOPPYv2Y/edit?usp=sharing"",""งบพรบ!GQ88"")"),807875)</f>
        <v>807875</v>
      </c>
      <c r="M581" s="47">
        <f ca="1">IFERROR(__xludf.DUMMYFUNCTION("IMPORTRANGE(""https://docs.google.com/spreadsheets/d/1-uDff_7J0KD5mKrp0Vvzr7lt3OU09vwQwhkpOPPYv2Y/edit?usp=sharing"",""งบพรบ!GV88"")"),807875)</f>
        <v>807875</v>
      </c>
      <c r="N581" s="47">
        <f ca="1">IFERROR(__xludf.DUMMYFUNCTION("IMPORTRANGE(""https://docs.google.com/spreadsheets/d/1-uDff_7J0KD5mKrp0Vvzr7lt3OU09vwQwhkpOPPYv2Y/edit?usp=sharing"",""งบพรบ!GX88"")"),0)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IFERROR(__xludf.DUMMYFUNCTION("IMPORTRANGE(""https://docs.google.com/spreadsheets/d/1-uDff_7J0KD5mKrp0Vvzr7lt3OU09vwQwhkpOPPYv2Y/edit?usp=sharing"",""งบพรบ!GT88"")"),0)</f>
        <v>0</v>
      </c>
      <c r="M584" s="47">
        <f ca="1">IFERROR(__xludf.DUMMYFUNCTION("IMPORTRANGE(""https://docs.google.com/spreadsheets/d/1-uDff_7J0KD5mKrp0Vvzr7lt3OU09vwQwhkpOPPYv2Y/edit?usp=sharing"",""งบพรบ!GW88"")"),0)</f>
        <v>0</v>
      </c>
      <c r="N584" s="47">
        <f ca="1">IFERROR(__xludf.DUMMYFUNCTION("IMPORTRANGE(""https://docs.google.com/spreadsheets/d/1-uDff_7J0KD5mKrp0Vvzr7lt3OU09vwQwhkpOPPYv2Y/edit?usp=sharing"",""งบพรบ!GY88"")"),0)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v>2</v>
      </c>
      <c r="J586" s="175">
        <v>0</v>
      </c>
      <c r="K586" s="176">
        <f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v>15</v>
      </c>
      <c r="J587" s="167">
        <v>0</v>
      </c>
      <c r="K587" s="47">
        <f>IF(I587&gt;0,J587*100/I587,0)</f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89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89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89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89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89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89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89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8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7" t="s">
        <v>217</v>
      </c>
      <c r="C597" s="183"/>
      <c r="D597" s="125"/>
      <c r="E597" s="28"/>
      <c r="F597" s="28"/>
      <c r="G597" s="28"/>
      <c r="H597" s="586" t="s">
        <v>99</v>
      </c>
      <c r="I597" s="193"/>
      <c r="J597" s="33"/>
      <c r="K597" s="34"/>
      <c r="L597" s="582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5"/>
      <c r="B598" s="584" t="s">
        <v>218</v>
      </c>
      <c r="C598" s="125"/>
      <c r="D598" s="28"/>
      <c r="E598" s="28"/>
      <c r="F598" s="28"/>
      <c r="G598" s="31"/>
      <c r="H598" s="583" t="s">
        <v>35</v>
      </c>
      <c r="I598" s="33"/>
      <c r="J598" s="33"/>
      <c r="K598" s="34"/>
      <c r="L598" s="582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IFERROR(__xludf.DUMMYFUNCTION("IMPORTRANGE(""https://docs.google.com/spreadsheets/d/1-uDff_7J0KD5mKrp0Vvzr7lt3OU09vwQwhkpOPPYv2Y/edit?usp=sharing"",""งบพรบ!HK88"")"),0)</f>
        <v>0</v>
      </c>
      <c r="M604" s="47">
        <f ca="1">IFERROR(__xludf.DUMMYFUNCTION("IMPORTRANGE(""https://docs.google.com/spreadsheets/d/1-uDff_7J0KD5mKrp0Vvzr7lt3OU09vwQwhkpOPPYv2Y/edit?usp=sharing"",""งบพรบ!HP88"")"),0)</f>
        <v>0</v>
      </c>
      <c r="N604" s="47">
        <f ca="1">IFERROR(__xludf.DUMMYFUNCTION("IMPORTRANGE(""https://docs.google.com/spreadsheets/d/1-uDff_7J0KD5mKrp0Vvzr7lt3OU09vwQwhkpOPPYv2Y/edit?usp=sharing"",""งบพรบ!HR88"")"),0)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IFERROR(__xludf.DUMMYFUNCTION("IMPORTRANGE(""https://docs.google.com/spreadsheets/d/1ItG2mGa2ceCfYo0BwxsXqNm01IGEUdYcSSLTEv9YCik/edit?usp=sharing"",""เบิกจ่ายกองทุน!AV88"")"),0)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IFERROR(__xludf.DUMMYFUNCTION("IMPORTRANGE(""https://docs.google.com/spreadsheets/d/1ItG2mGa2ceCfYo0BwxsXqNm01IGEUdYcSSLTEv9YCik/edit?usp=sharing"",""เบิกจ่ายกองทุน!AW88"")"),0)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IFERROR(__xludf.DUMMYFUNCTION("IMPORTRANGE(""https://docs.google.com/spreadsheets/d/1ItG2mGa2ceCfYo0BwxsXqNm01IGEUdYcSSLTEv9YCik/edit?usp=sharing"",""เบิกจ่ายกองทุน!AX88"")"),0)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IFERROR(__xludf.DUMMYFUNCTION("IMPORTRANGE(""https://docs.google.com/spreadsheets/d/1-uDff_7J0KD5mKrp0Vvzr7lt3OU09vwQwhkpOPPYv2Y/edit?usp=sharing"",""งบพรบ!HN88"")"),0)</f>
        <v>0</v>
      </c>
      <c r="M607" s="47">
        <f ca="1">IFERROR(__xludf.DUMMYFUNCTION("IMPORTRANGE(""https://docs.google.com/spreadsheets/d/1-uDff_7J0KD5mKrp0Vvzr7lt3OU09vwQwhkpOPPYv2Y/edit?usp=sharing"",""งบพรบ!HQ88"")"),0)</f>
        <v>0</v>
      </c>
      <c r="N607" s="47">
        <f ca="1">IFERROR(__xludf.DUMMYFUNCTION("IMPORTRANGE(""https://docs.google.com/spreadsheets/d/1-uDff_7J0KD5mKrp0Vvzr7lt3OU09vwQwhkpOPPYv2Y/edit?usp=sharing"",""งบพรบ!HS88"")"),0)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IFERROR(__xludf.DUMMYFUNCTION("IMPORTRANGE(""https://docs.google.com/spreadsheets/d/1ItG2mGa2ceCfYo0BwxsXqNm01IGEUdYcSSLTEv9YCik/edit?usp=sharing"",""เบิกจ่ายกองทุน!AY88"")"),0)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IFERROR(__xludf.DUMMYFUNCTION("IMPORTRANGE(""https://docs.google.com/spreadsheets/d/1ItG2mGa2ceCfYo0BwxsXqNm01IGEUdYcSSLTEv9YCik/edit?usp=sharing"",""เบิกจ่ายกองทุน!AZ88"")"),0)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IFERROR(__xludf.DUMMYFUNCTION("IMPORTRANGE(""https://docs.google.com/spreadsheets/d/1ItG2mGa2ceCfYo0BwxsXqNm01IGEUdYcSSLTEv9YCik/edit?usp=sharing"",""เบิกจ่ายกองทุน!BA88"")"),0)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1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0"/>
      <c r="B612" s="579"/>
      <c r="C612" s="579"/>
      <c r="D612" s="579"/>
      <c r="E612" s="578" t="s">
        <v>222</v>
      </c>
      <c r="F612" s="577"/>
      <c r="G612" s="576"/>
      <c r="H612" s="575" t="s">
        <v>35</v>
      </c>
      <c r="I612" s="574"/>
      <c r="J612" s="574"/>
      <c r="K612" s="573"/>
      <c r="L612" s="572"/>
      <c r="M612" s="571"/>
      <c r="N612" s="571"/>
      <c r="O612" s="571"/>
      <c r="P612" s="571"/>
      <c r="Q612" s="571"/>
      <c r="R612" s="571"/>
      <c r="S612" s="571"/>
      <c r="T612" s="571"/>
      <c r="U612" s="571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0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56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463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188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2075</v>
      </c>
      <c r="R616" s="132">
        <f ca="1">R617+R618</f>
        <v>2075</v>
      </c>
      <c r="S616" s="132">
        <f ca="1">S617+S618</f>
        <v>1100</v>
      </c>
      <c r="T616" s="132">
        <f ca="1">IF(Q616&gt;0,S616*100/Q616,0)</f>
        <v>53.012048192771083</v>
      </c>
      <c r="U616" s="132">
        <f ca="1">IF(R616&gt;0,S616*100/R616,0)</f>
        <v>53.012048192771083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2075</v>
      </c>
      <c r="R618" s="47">
        <f ca="1">R621+R624</f>
        <v>2075</v>
      </c>
      <c r="S618" s="47">
        <f ca="1">S621+S624</f>
        <v>1100</v>
      </c>
      <c r="T618" s="47">
        <f ca="1">IF(Q618&gt;0,S618*100/Q618,0)</f>
        <v>53.012048192771083</v>
      </c>
      <c r="U618" s="47">
        <f ca="1">IF(R618&gt;0,S618*100/R618,0)</f>
        <v>53.012048192771083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2075</v>
      </c>
      <c r="R619" s="47">
        <f ca="1">R620+R621</f>
        <v>2075</v>
      </c>
      <c r="S619" s="47">
        <f ca="1">S620+S621</f>
        <v>1100</v>
      </c>
      <c r="T619" s="47">
        <f ca="1">IF(Q619&gt;0,S619*100/Q619,0)</f>
        <v>53.012048192771083</v>
      </c>
      <c r="U619" s="47">
        <f ca="1">IF(R619&gt;0,S619*100/R619,0)</f>
        <v>53.012048192771083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IFERROR(__xludf.DUMMYFUNCTION("IMPORTRANGE(""https://docs.google.com/spreadsheets/d/1ItG2mGa2ceCfYo0BwxsXqNm01IGEUdYcSSLTEv9YCik/edit?usp=sharing"",""เบิกจ่ายกองทุน!F88"")"),2075)</f>
        <v>2075</v>
      </c>
      <c r="R621" s="47">
        <f ca="1">IFERROR(__xludf.DUMMYFUNCTION("IMPORTRANGE(""https://docs.google.com/spreadsheets/d/1ItG2mGa2ceCfYo0BwxsXqNm01IGEUdYcSSLTEv9YCik/edit?usp=sharing"",""เบิกจ่ายกองทุน!G88"")"),2075)</f>
        <v>2075</v>
      </c>
      <c r="S621" s="47">
        <f ca="1">IFERROR(__xludf.DUMMYFUNCTION("IMPORTRANGE(""https://docs.google.com/spreadsheets/d/1ItG2mGa2ceCfYo0BwxsXqNm01IGEUdYcSSLTEv9YCik/edit?usp=sharing"",""เบิกจ่ายกองทุน!H88"")"),1100)</f>
        <v>1100</v>
      </c>
      <c r="T621" s="47">
        <f ca="1">IF(Q621&gt;0,S621*100/Q621,0)</f>
        <v>53.012048192771083</v>
      </c>
      <c r="U621" s="47">
        <f ca="1">IF(R621&gt;0,S621*100/R621,0)</f>
        <v>53.012048192771083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IFERROR(__xludf.DUMMYFUNCTION("IMPORTRANGE(""https://docs.google.com/spreadsheets/d/1eHaY18a8A9IcSdp1K8H6x8fbOy06t2VsZHhMHf-1x7Y/edit?usp=sharing"",""แผน!ID88"")"),0)</f>
        <v>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IFERROR(__xludf.DUMMYFUNCTION("IMPORTRANGE(""https://docs.google.com/spreadsheets/d/1eHaY18a8A9IcSdp1K8H6x8fbOy06t2VsZHhMHf-1x7Y/edit?usp=sharing"",""แผน!IC88"")"),1)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IFERROR(__xludf.DUMMYFUNCTION("IMPORTRANGE(""https://docs.google.com/spreadsheets/d/1eHaY18a8A9IcSdp1K8H6x8fbOy06t2VsZHhMHf-1x7Y/edit?usp=sharing"",""แผน!IC88"")"),1)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IFERROR(__xludf.DUMMYFUNCTION("IMPORTRANGE(""https://docs.google.com/spreadsheets/d/1eHaY18a8A9IcSdp1K8H6x8fbOy06t2VsZHhMHf-1x7Y/edit?usp=sharing"",""แผน!IE88"")"),0)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63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IFERROR(__xludf.DUMMYFUNCTION("IMPORTRANGE(""https://docs.google.com/spreadsheets/d/1ItG2mGa2ceCfYo0BwxsXqNm01IGEUdYcSSLTEv9YCik/edit?usp=sharing"",""เบิกจ่ายกองทุน!I88"")"),0)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IFERROR(__xludf.DUMMYFUNCTION("IMPORTRANGE(""https://docs.google.com/spreadsheets/d/1ItG2mGa2ceCfYo0BwxsXqNm01IGEUdYcSSLTEv9YCik/edit?usp=sharing"",""เบิกจ่ายกองทุน!J88"")"),0)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IFERROR(__xludf.DUMMYFUNCTION("IMPORTRANGE(""https://docs.google.com/spreadsheets/d/1ItG2mGa2ceCfYo0BwxsXqNm01IGEUdYcSSLTEv9YCik/edit?usp=sharing"",""เบิกจ่ายกองทุน!K88"")"),0)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IFERROR(__xludf.DUMMYFUNCTION("IMPORTRANGE(""https://docs.google.com/spreadsheets/d/1eHaY18a8A9IcSdp1K8H6x8fbOy06t2VsZHhMHf-1x7Y/edit?usp=sharing"",""แผน!IF88"")"),0)</f>
        <v>0</v>
      </c>
      <c r="J652" s="152">
        <f ca="1">IFERROR(__xludf.DUMMYFUNCTION("IMPORTRANGE(""https://docs.google.com/spreadsheets/d/1tdoBKaGub7dwA3U6UFTqxio9LNnvDCQjHKmttSEBsFQ/edit?usp=sharing"",""จัดที่ดิน!AU88"")"),0)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IFERROR(__xludf.DUMMYFUNCTION("IMPORTRANGE(""https://docs.google.com/spreadsheets/d/1eHaY18a8A9IcSdp1K8H6x8fbOy06t2VsZHhMHf-1x7Y/edit?usp=sharing"",""แผน!IG88"")"),0)</f>
        <v>0</v>
      </c>
      <c r="J653" s="152">
        <f ca="1">IFERROR(__xludf.DUMMYFUNCTION("IMPORTRANGE(""https://docs.google.com/spreadsheets/d/1tdoBKaGub7dwA3U6UFTqxio9LNnvDCQjHKmttSEBsFQ/edit?usp=sharing"",""จัดที่ดิน!AW88"")"),0)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IFERROR(__xludf.DUMMYFUNCTION("IMPORTRANGE(""https://docs.google.com/spreadsheets/d/1eHaY18a8A9IcSdp1K8H6x8fbOy06t2VsZHhMHf-1x7Y/edit?usp=sharing"",""แผน!IH88"")"),0)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IFERROR(__xludf.DUMMYFUNCTION("IMPORTRANGE(""https://docs.google.com/spreadsheets/d/1eHaY18a8A9IcSdp1K8H6x8fbOy06t2VsZHhMHf-1x7Y/edit?usp=sharing"",""แผน!II88"")"),0)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IFERROR(__xludf.DUMMYFUNCTION("IMPORTRANGE(""https://docs.google.com/spreadsheets/d/1eHaY18a8A9IcSdp1K8H6x8fbOy06t2VsZHhMHf-1x7Y/edit?usp=sharing"",""แผน!IJ88"")"),0)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IFERROR(__xludf.DUMMYFUNCTION("IMPORTRANGE(""https://docs.google.com/spreadsheets/d/1eHaY18a8A9IcSdp1K8H6x8fbOy06t2VsZHhMHf-1x7Y/edit?usp=sharing"",""แผน!IK88"")"),0)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IFERROR(__xludf.DUMMYFUNCTION("IMPORTRANGE(""https://docs.google.com/spreadsheets/d/1tdoBKaGub7dwA3U6UFTqxio9LNnvDCQjHKmttSEBsFQ/edit?usp=sharing"",""จัดที่ดิน!AY88"")"),0)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IFERROR(__xludf.DUMMYFUNCTION("IMPORTRANGE(""https://docs.google.com/spreadsheets/d/1tdoBKaGub7dwA3U6UFTqxio9LNnvDCQjHKmttSEBsFQ/edit?usp=sharing"",""จัดที่ดิน!AZ88"")"),0)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IFERROR(__xludf.DUMMYFUNCTION("IMPORTRANGE(""https://docs.google.com/spreadsheets/d/1eHaY18a8A9IcSdp1K8H6x8fbOy06t2VsZHhMHf-1x7Y/edit?usp=sharing"",""แผน!IL88"")"),0)</f>
        <v>0</v>
      </c>
      <c r="J673" s="152">
        <f ca="1">IFERROR(__xludf.DUMMYFUNCTION("IMPORTRANGE(""https://docs.google.com/spreadsheets/d/1tdoBKaGub7dwA3U6UFTqxio9LNnvDCQjHKmttSEBsFQ/edit?usp=sharing"",""จัดที่ดิน!BA88"")"),0)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IFERROR(__xludf.DUMMYFUNCTION("IMPORTRANGE(""https://docs.google.com/spreadsheets/d/1eHaY18a8A9IcSdp1K8H6x8fbOy06t2VsZHhMHf-1x7Y/edit?usp=sharing"",""แผน!IM88"")"),0)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IFERROR(__xludf.DUMMYFUNCTION("IMPORTRANGE(""https://docs.google.com/spreadsheets/d/1eHaY18a8A9IcSdp1K8H6x8fbOy06t2VsZHhMHf-1x7Y/edit?usp=sharing"",""แผน!IN88"")"),0)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IFERROR(__xludf.DUMMYFUNCTION("IMPORTRANGE(""https://docs.google.com/spreadsheets/d/1eHaY18a8A9IcSdp1K8H6x8fbOy06t2VsZHhMHf-1x7Y/edit?usp=sharing"",""แผน!IO88"")"),0)</f>
        <v>0</v>
      </c>
      <c r="J676" s="152">
        <f ca="1">IFERROR(__xludf.DUMMYFUNCTION("IMPORTRANGE(""https://docs.google.com/spreadsheets/d/1tdoBKaGub7dwA3U6UFTqxio9LNnvDCQjHKmttSEBsFQ/edit?usp=sharing"",""จัดที่ดิน!BF88"")"),0)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IFERROR(__xludf.DUMMYFUNCTION("IMPORTRANGE(""https://docs.google.com/spreadsheets/d/1tdoBKaGub7dwA3U6UFTqxio9LNnvDCQjHKmttSEBsFQ/edit?usp=sharing"",""จัดที่ดิน!BG88"")"),0)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IFERROR(__xludf.DUMMYFUNCTION("IMPORTRANGE(""https://docs.google.com/spreadsheets/d/1eHaY18a8A9IcSdp1K8H6x8fbOy06t2VsZHhMHf-1x7Y/edit?usp=sharing"",""แผน!IP88"")"),0)</f>
        <v>0</v>
      </c>
      <c r="J678" s="152">
        <f ca="1">IFERROR(__xludf.DUMMYFUNCTION("IMPORTRANGE(""https://docs.google.com/spreadsheets/d/1tdoBKaGub7dwA3U6UFTqxio9LNnvDCQjHKmttSEBsFQ/edit?usp=sharing"",""จัดที่ดิน!BH88"")"),0)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IFERROR(__xludf.DUMMYFUNCTION("IMPORTRANGE(""https://docs.google.com/spreadsheets/d/1eHaY18a8A9IcSdp1K8H6x8fbOy06t2VsZHhMHf-1x7Y/edit?usp=sharing"",""แผน!IQ88"")"),0)</f>
        <v>0</v>
      </c>
      <c r="J679" s="152">
        <f ca="1">IFERROR(__xludf.DUMMYFUNCTION("IMPORTRANGE(""https://docs.google.com/spreadsheets/d/1tdoBKaGub7dwA3U6UFTqxio9LNnvDCQjHKmttSEBsFQ/edit?usp=sharing"",""จัดที่ดิน!BK88"")"),0)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IFERROR(__xludf.DUMMYFUNCTION("IMPORTRANGE(""https://docs.google.com/spreadsheets/d/1tdoBKaGub7dwA3U6UFTqxio9LNnvDCQjHKmttSEBsFQ/edit?usp=sharing"",""จัดที่ดิน!BL88"")"),0)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IFERROR(__xludf.DUMMYFUNCTION("IMPORTRANGE(""https://docs.google.com/spreadsheets/d/1eHaY18a8A9IcSdp1K8H6x8fbOy06t2VsZHhMHf-1x7Y/edit?usp=sharing"",""แผน!IR88"")"),0)</f>
        <v>0</v>
      </c>
      <c r="J681" s="152">
        <f ca="1">IFERROR(__xludf.DUMMYFUNCTION("IMPORTRANGE(""https://docs.google.com/spreadsheets/d/1tdoBKaGub7dwA3U6UFTqxio9LNnvDCQjHKmttSEBsFQ/edit?usp=sharing"",""จัดที่ดิน!BM88"")"),0)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IFERROR(__xludf.DUMMYFUNCTION("IMPORTRANGE(""https://docs.google.com/spreadsheets/d/1eHaY18a8A9IcSdp1K8H6x8fbOy06t2VsZHhMHf-1x7Y/edit?usp=sharing"",""แผน!IS88"")"),0)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56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76940</v>
      </c>
      <c r="R690" s="132">
        <f ca="1">R691+R692</f>
        <v>76940</v>
      </c>
      <c r="S690" s="132">
        <f ca="1">S691+S692</f>
        <v>70541.8</v>
      </c>
      <c r="T690" s="132">
        <f ca="1">IF(Q690&gt;0,S690*100/Q690,0)</f>
        <v>91.684169482713799</v>
      </c>
      <c r="U690" s="132">
        <f ca="1">IF(R690&gt;0,S690*100/R690,0)</f>
        <v>91.684169482713799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76940</v>
      </c>
      <c r="R692" s="47">
        <f ca="1">R695+R698</f>
        <v>76940</v>
      </c>
      <c r="S692" s="47">
        <f ca="1">S695+S698</f>
        <v>70541.8</v>
      </c>
      <c r="T692" s="47">
        <f ca="1">IF(Q692&gt;0,S692*100/Q692,0)</f>
        <v>91.684169482713799</v>
      </c>
      <c r="U692" s="47">
        <f ca="1">IF(R692&gt;0,S692*100/R692,0)</f>
        <v>91.684169482713799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76940</v>
      </c>
      <c r="R693" s="47">
        <f ca="1">R694+R695</f>
        <v>76940</v>
      </c>
      <c r="S693" s="47">
        <f ca="1">S694+S695</f>
        <v>70541.8</v>
      </c>
      <c r="T693" s="47">
        <f ca="1">IF(Q693&gt;0,S693*100/Q693,0)</f>
        <v>91.684169482713799</v>
      </c>
      <c r="U693" s="47">
        <f ca="1">IF(R693&gt;0,S693*100/R693,0)</f>
        <v>91.684169482713799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IFERROR(__xludf.DUMMYFUNCTION("IMPORTRANGE(""https://docs.google.com/spreadsheets/d/1ItG2mGa2ceCfYo0BwxsXqNm01IGEUdYcSSLTEv9YCik/edit?usp=sharing"",""เบิกจ่ายกองทุน!L88"")"),76940)</f>
        <v>76940</v>
      </c>
      <c r="R695" s="47">
        <f ca="1">IFERROR(__xludf.DUMMYFUNCTION("IMPORTRANGE(""https://docs.google.com/spreadsheets/d/1ItG2mGa2ceCfYo0BwxsXqNm01IGEUdYcSSLTEv9YCik/edit?usp=sharing"",""เบิกจ่ายกองทุน!M88"")"),76940)</f>
        <v>76940</v>
      </c>
      <c r="S695" s="47">
        <f ca="1">IFERROR(__xludf.DUMMYFUNCTION("IMPORTRANGE(""https://docs.google.com/spreadsheets/d/1ItG2mGa2ceCfYo0BwxsXqNm01IGEUdYcSSLTEv9YCik/edit?usp=sharing"",""เบิกจ่ายกองทุน!N88"")"),70541.8)</f>
        <v>70541.8</v>
      </c>
      <c r="T695" s="47">
        <f ca="1">IF(Q695&gt;0,S695*100/Q695,0)</f>
        <v>91.684169482713799</v>
      </c>
      <c r="U695" s="47">
        <f ca="1">IF(R695&gt;0,S695*100/R695,0)</f>
        <v>91.684169482713799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IFERROR(__xludf.DUMMYFUNCTION("IMPORTRANGE(""https://docs.google.com/spreadsheets/d/1eHaY18a8A9IcSdp1K8H6x8fbOy06t2VsZHhMHf-1x7Y/edit?usp=sharing"",""แผน!LC88"")"),0)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IFERROR(__xludf.DUMMYFUNCTION("IMPORTRANGE(""https://docs.google.com/spreadsheets/d/1eHaY18a8A9IcSdp1K8H6x8fbOy06t2VsZHhMHf-1x7Y/edit?usp=sharing"",""แผน!LJ88"")"),0)</f>
        <v>0</v>
      </c>
      <c r="J703" s="152">
        <f ca="1">IFERROR(__xludf.DUMMYFUNCTION("IMPORTRANGE(""https://docs.google.com/spreadsheets/d/1tdoBKaGub7dwA3U6UFTqxio9LNnvDCQjHKmttSEBsFQ/edit?usp=sharing"",""จัดที่ดิน!AP88"")"),0)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IFERROR(__xludf.DUMMYFUNCTION("IMPORTRANGE(""https://docs.google.com/spreadsheets/d/1tdoBKaGub7dwA3U6UFTqxio9LNnvDCQjHKmttSEBsFQ/edit?usp=sharing"",""จัดที่ดิน!AQ88"")"),0)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IFERROR(__xludf.DUMMYFUNCTION("IMPORTRANGE(""https://docs.google.com/spreadsheets/d/1eHaY18a8A9IcSdp1K8H6x8fbOy06t2VsZHhMHf-1x7Y/edit?usp=sharing"",""แผน!LK88"")"),5)</f>
        <v>5</v>
      </c>
      <c r="J705" s="152">
        <f ca="1">IFERROR(__xludf.DUMMYFUNCTION("IMPORTRANGE(""https://docs.google.com/spreadsheets/d/1tdoBKaGub7dwA3U6UFTqxio9LNnvDCQjHKmttSEBsFQ/edit?usp=sharing"",""จัดที่ดิน!AR88"")"),0)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IFERROR(__xludf.DUMMYFUNCTION("IMPORTRANGE(""https://docs.google.com/spreadsheets/d/1tdoBKaGub7dwA3U6UFTqxio9LNnvDCQjHKmttSEBsFQ/edit?usp=sharing"",""จัดที่ดิน!AS88"")"),0)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IFERROR(__xludf.DUMMYFUNCTION("IMPORTRANGE(""https://docs.google.com/spreadsheets/d/1eHaY18a8A9IcSdp1K8H6x8fbOy06t2VsZHhMHf-1x7Y/edit?usp=sharing"",""แผน!LJ88"")"),0)</f>
        <v>0</v>
      </c>
      <c r="J707" s="152">
        <f ca="1">IFERROR(__xludf.DUMMYFUNCTION("IMPORTRANGE(""https://docs.google.com/spreadsheets/d/1tdoBKaGub7dwA3U6UFTqxio9LNnvDCQjHKmttSEBsFQ/edit?usp=sharing"",""จัดที่ดิน!BN88"")"),0)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IFERROR(__xludf.DUMMYFUNCTION("IMPORTRANGE(""https://docs.google.com/spreadsheets/d/1tdoBKaGub7dwA3U6UFTqxio9LNnvDCQjHKmttSEBsFQ/edit?usp=sharing"",""จัดที่ดิน!BO88"")"),0)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IFERROR(__xludf.DUMMYFUNCTION("IMPORTRANGE(""https://docs.google.com/spreadsheets/d/1eHaY18a8A9IcSdp1K8H6x8fbOy06t2VsZHhMHf-1x7Y/edit?usp=sharing"",""แผน!LK88"")"),5)</f>
        <v>5</v>
      </c>
      <c r="J709" s="152">
        <f ca="1">IFERROR(__xludf.DUMMYFUNCTION("IMPORTRANGE(""https://docs.google.com/spreadsheets/d/1tdoBKaGub7dwA3U6UFTqxio9LNnvDCQjHKmttSEBsFQ/edit?usp=sharing"",""จัดที่ดิน!BP88"")"),0)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IFERROR(__xludf.DUMMYFUNCTION("IMPORTRANGE(""https://docs.google.com/spreadsheets/d/1tdoBKaGub7dwA3U6UFTqxio9LNnvDCQjHKmttSEBsFQ/edit?usp=sharing"",""จัดที่ดิน!BQ88"")"),0)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56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56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56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IFERROR(__xludf.DUMMYFUNCTION("IMPORTRANGE(""https://docs.google.com/spreadsheets/d/1eHaY18a8A9IcSdp1K8H6x8fbOy06t2VsZHhMHf-1x7Y/edit?usp=sharing"",""แผน!GA88"")"),51)</f>
        <v>51</v>
      </c>
      <c r="J726" s="483">
        <f>J742+J746+J749</f>
        <v>51</v>
      </c>
      <c r="K726" s="484">
        <f ca="1">IF(I726&gt;0,J726*100/I726,0)</f>
        <v>100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IFERROR(__xludf.DUMMYFUNCTION("IMPORTRANGE(""https://docs.google.com/spreadsheets/d/1eHaY18a8A9IcSdp1K8H6x8fbOy06t2VsZHhMHf-1x7Y/edit?usp=sharing"",""แผน!FZ88"")"),500)</f>
        <v>500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188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379090</v>
      </c>
      <c r="R728" s="132">
        <f ca="1">R729+R730</f>
        <v>379090</v>
      </c>
      <c r="S728" s="132">
        <f ca="1">S729+S730</f>
        <v>77134</v>
      </c>
      <c r="T728" s="132">
        <f ca="1">IF(Q728&gt;0,S728*100/Q728,0)</f>
        <v>20.347147115460707</v>
      </c>
      <c r="U728" s="132">
        <f ca="1">IF(R728&gt;0,S728*100/R728,0)</f>
        <v>20.347147115460707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379090</v>
      </c>
      <c r="R730" s="47">
        <f ca="1">R733+R736</f>
        <v>379090</v>
      </c>
      <c r="S730" s="47">
        <f ca="1">S733+S736</f>
        <v>77134</v>
      </c>
      <c r="T730" s="47">
        <f ca="1">IF(Q730&gt;0,S730*100/Q730,0)</f>
        <v>20.347147115460707</v>
      </c>
      <c r="U730" s="47">
        <f ca="1">IF(R730&gt;0,S730*100/R730,0)</f>
        <v>20.347147115460707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379090</v>
      </c>
      <c r="R731" s="47">
        <f ca="1">R732+R733</f>
        <v>379090</v>
      </c>
      <c r="S731" s="47">
        <f ca="1">S732+S733</f>
        <v>77134</v>
      </c>
      <c r="T731" s="47">
        <f ca="1">IF(Q731&gt;0,S731*100/Q731,0)</f>
        <v>20.347147115460707</v>
      </c>
      <c r="U731" s="47">
        <f ca="1">IF(R731&gt;0,S731*100/R731,0)</f>
        <v>20.347147115460707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IFERROR(__xludf.DUMMYFUNCTION("IMPORTRANGE(""https://docs.google.com/spreadsheets/d/1ItG2mGa2ceCfYo0BwxsXqNm01IGEUdYcSSLTEv9YCik/edit?usp=sharing"",""เบิกจ่ายกองทุน!O88"")"),379090)</f>
        <v>379090</v>
      </c>
      <c r="R733" s="47">
        <f ca="1">IFERROR(__xludf.DUMMYFUNCTION("IMPORTRANGE(""https://docs.google.com/spreadsheets/d/1ItG2mGa2ceCfYo0BwxsXqNm01IGEUdYcSSLTEv9YCik/edit?usp=sharing"",""เบิกจ่ายกองทุน!P88"")"),379090)</f>
        <v>379090</v>
      </c>
      <c r="S733" s="47">
        <f ca="1">IFERROR(__xludf.DUMMYFUNCTION("IMPORTRANGE(""https://docs.google.com/spreadsheets/d/1ItG2mGa2ceCfYo0BwxsXqNm01IGEUdYcSSLTEv9YCik/edit?usp=sharing"",""เบิกจ่ายกองทุน!Q88"")"),77134)</f>
        <v>77134</v>
      </c>
      <c r="T733" s="47">
        <f ca="1">IF(Q733&gt;0,S733*100/Q733,0)</f>
        <v>20.347147115460707</v>
      </c>
      <c r="U733" s="47">
        <f ca="1">IF(R733&gt;0,S733*100/R733,0)</f>
        <v>20.347147115460707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IFERROR(__xludf.DUMMYFUNCTION("IMPORTRANGE(""https://docs.google.com/spreadsheets/d/1eHaY18a8A9IcSdp1K8H6x8fbOy06t2VsZHhMHf-1x7Y/edit?usp=sharing"",""แผน!GB88"")"),400)</f>
        <v>400</v>
      </c>
      <c r="J740" s="554">
        <v>400</v>
      </c>
      <c r="K740" s="331">
        <f ca="1">IF(I740&gt;0,J740*100/I740,0)</f>
        <v>100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/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IFERROR(__xludf.DUMMYFUNCTION("IMPORTRANGE(""https://docs.google.com/spreadsheets/d/1eHaY18a8A9IcSdp1K8H6x8fbOy06t2VsZHhMHf-1x7Y/edit?usp=sharing"",""แผน!GC88"")"),40)</f>
        <v>40</v>
      </c>
      <c r="J742" s="554">
        <v>40</v>
      </c>
      <c r="K742" s="331">
        <f ca="1">IF(I742&gt;0,J742*100/I742,0)</f>
        <v>100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IFERROR(__xludf.DUMMYFUNCTION("IMPORTRANGE(""https://docs.google.com/spreadsheets/d/1eHaY18a8A9IcSdp1K8H6x8fbOy06t2VsZHhMHf-1x7Y/edit?usp=sharing"",""แผน!GD88"")"),100)</f>
        <v>100</v>
      </c>
      <c r="J744" s="554">
        <v>100</v>
      </c>
      <c r="K744" s="331">
        <f ca="1">IF(I744&gt;0,J744*100/I744,0)</f>
        <v>100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/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IFERROR(__xludf.DUMMYFUNCTION("IMPORTRANGE(""https://docs.google.com/spreadsheets/d/1eHaY18a8A9IcSdp1K8H6x8fbOy06t2VsZHhMHf-1x7Y/edit?usp=sharing"",""แผน!GE88"")"),10)</f>
        <v>10</v>
      </c>
      <c r="J746" s="554">
        <v>10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IFERROR(__xludf.DUMMYFUNCTION("IMPORTRANGE(""https://docs.google.com/spreadsheets/d/1eHaY18a8A9IcSdp1K8H6x8fbOy06t2VsZHhMHf-1x7Y/edit?usp=sharing"",""แผน!GF88"")"),1)</f>
        <v>1</v>
      </c>
      <c r="J749" s="554">
        <v>1</v>
      </c>
      <c r="K749" s="331">
        <f ca="1">IF(I749&gt;0,J749*100/I749,0)</f>
        <v>100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IFERROR(__xludf.DUMMYFUNCTION("IMPORTRANGE(""https://docs.google.com/spreadsheets/d/1eHaY18a8A9IcSdp1K8H6x8fbOy06t2VsZHhMHf-1x7Y/edit?usp=sharing"",""แผน!GB88"")"),400)</f>
        <v>400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IFERROR(__xludf.DUMMYFUNCTION("IMPORTRANGE(""https://docs.google.com/spreadsheets/d/1eHaY18a8A9IcSdp1K8H6x8fbOy06t2VsZHhMHf-1x7Y/edit?usp=sharing"",""แผน!GD88"")"),100)</f>
        <v>100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9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56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40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80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338980</v>
      </c>
      <c r="R760" s="132">
        <f ca="1">R761+R762</f>
        <v>338980</v>
      </c>
      <c r="S760" s="132">
        <f ca="1">S761+S762</f>
        <v>148839</v>
      </c>
      <c r="T760" s="132">
        <f ca="1">IF(Q760&gt;0,S760*100/Q760,0)</f>
        <v>43.907900171101538</v>
      </c>
      <c r="U760" s="132">
        <f ca="1">IF(R760&gt;0,S760*100/R760,0)</f>
        <v>43.907900171101538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338980</v>
      </c>
      <c r="R762" s="47">
        <f ca="1">R765+R768</f>
        <v>338980</v>
      </c>
      <c r="S762" s="47">
        <f ca="1">S765+S768</f>
        <v>148839</v>
      </c>
      <c r="T762" s="47">
        <f ca="1">IF(Q762&gt;0,S762*100/Q762,0)</f>
        <v>43.907900171101538</v>
      </c>
      <c r="U762" s="47">
        <f ca="1">IF(R762&gt;0,S762*100/R762,0)</f>
        <v>43.907900171101538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338980</v>
      </c>
      <c r="R763" s="47">
        <f ca="1">R764+R765</f>
        <v>338980</v>
      </c>
      <c r="S763" s="47">
        <f ca="1">S764+S765</f>
        <v>148839</v>
      </c>
      <c r="T763" s="47">
        <f ca="1">IF(Q763&gt;0,S763*100/Q763,0)</f>
        <v>43.907900171101538</v>
      </c>
      <c r="U763" s="47">
        <f ca="1">IF(R763&gt;0,S763*100/R763,0)</f>
        <v>43.907900171101538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IFERROR(__xludf.DUMMYFUNCTION("IMPORTRANGE(""https://docs.google.com/spreadsheets/d/1ItG2mGa2ceCfYo0BwxsXqNm01IGEUdYcSSLTEv9YCik/edit?usp=sharing"",""เบิกจ่ายกองทุน!AA88"")"),338980)</f>
        <v>338980</v>
      </c>
      <c r="R765" s="47">
        <f ca="1">IFERROR(__xludf.DUMMYFUNCTION("IMPORTRANGE(""https://docs.google.com/spreadsheets/d/1ItG2mGa2ceCfYo0BwxsXqNm01IGEUdYcSSLTEv9YCik/edit?usp=sharing"",""เบิกจ่ายกองทุน!AB88"")"),338980)</f>
        <v>338980</v>
      </c>
      <c r="S765" s="47">
        <f ca="1">IFERROR(__xludf.DUMMYFUNCTION("IMPORTRANGE(""https://docs.google.com/spreadsheets/d/1ItG2mGa2ceCfYo0BwxsXqNm01IGEUdYcSSLTEv9YCik/edit?usp=sharing"",""เบิกจ่ายกองทุน!AC88"")"),148839)</f>
        <v>148839</v>
      </c>
      <c r="T765" s="47">
        <f ca="1">IF(Q765&gt;0,S765*100/Q765,0)</f>
        <v>43.907900171101538</v>
      </c>
      <c r="U765" s="47">
        <f ca="1">IF(R765&gt;0,S765*100/R765,0)</f>
        <v>43.907900171101538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IFERROR(__xludf.DUMMYFUNCTION("IMPORTRANGE(""https://docs.google.com/spreadsheets/d/1eHaY18a8A9IcSdp1K8H6x8fbOy06t2VsZHhMHf-1x7Y/edit?usp=sharing"",""แผน!FI88"")"),0)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IFERROR(__xludf.DUMMYFUNCTION("IMPORTRANGE(""https://docs.google.com/spreadsheets/d/1eHaY18a8A9IcSdp1K8H6x8fbOy06t2VsZHhMHf-1x7Y/edit?usp=sharing"",""แผน!FQ88"")"),40)</f>
        <v>40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IFERROR(__xludf.DUMMYFUNCTION("IMPORTRANGE(""https://docs.google.com/spreadsheets/d/1eHaY18a8A9IcSdp1K8H6x8fbOy06t2VsZHhMHf-1x7Y/edit?usp=sharing"",""แผน!FR88"")"),80)</f>
        <v>80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IFERROR(__xludf.DUMMYFUNCTION("IMPORTRANGE(""https://docs.google.com/spreadsheets/d/1eHaY18a8A9IcSdp1K8H6x8fbOy06t2VsZHhMHf-1x7Y/edit?usp=sharing"",""แผน!FS88"")"),80)</f>
        <v>80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IFERROR(__xludf.DUMMYFUNCTION("IMPORTRANGE(""https://docs.google.com/spreadsheets/d/1eHaY18a8A9IcSdp1K8H6x8fbOy06t2VsZHhMHf-1x7Y/edit?usp=sharing"",""แผน!FT88"")"),40)</f>
        <v>40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IFERROR(__xludf.DUMMYFUNCTION("IMPORTRANGE(""https://docs.google.com/spreadsheets/d/10OvvATaaLtwErnr3qtWFcTmtbfpFEt5Bsqel9sXx0uE/edit?usp=sharing"",""งานกองทุน!D88"")"),200743.15)</f>
        <v>200743.15</v>
      </c>
      <c r="J778" s="152">
        <f ca="1">IFERROR(__xludf.DUMMYFUNCTION("IMPORTRANGE(""https://docs.google.com/spreadsheets/d/10OvvATaaLtwErnr3qtWFcTmtbfpFEt5Bsqel9sXx0uE/edit?usp=sharing"",""งานกองทุน!F88"")"),147345.26)</f>
        <v>147345.26</v>
      </c>
      <c r="K778" s="47">
        <f ca="1">IF(I778&gt;0,J778*100/I778,0)</f>
        <v>73.399894342596497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IFERROR(__xludf.DUMMYFUNCTION("IMPORTRANGE(""https://docs.google.com/spreadsheets/d/10OvvATaaLtwErnr3qtWFcTmtbfpFEt5Bsqel9sXx0uE/edit?usp=sharing"",""งานกองทุน!C88"")"),12)</f>
        <v>12</v>
      </c>
      <c r="J779" s="152">
        <f ca="1">IFERROR(__xludf.DUMMYFUNCTION("IMPORTRANGE(""https://docs.google.com/spreadsheets/d/10OvvATaaLtwErnr3qtWFcTmtbfpFEt5Bsqel9sXx0uE/edit?usp=sharing"",""งานกองทุน!E88"")"),10)</f>
        <v>10</v>
      </c>
      <c r="K779" s="47">
        <f ca="1">IF(I779&gt;0,J779*100/I779,0)</f>
        <v>83.333333333333329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IFERROR(__xludf.DUMMYFUNCTION("IMPORTRANGE(""https://docs.google.com/spreadsheets/d/10OvvATaaLtwErnr3qtWFcTmtbfpFEt5Bsqel9sXx0uE/edit?usp=sharing"",""งานกองทุน!I88"")"),1599847.44)</f>
        <v>1599847.44</v>
      </c>
      <c r="J780" s="152">
        <f ca="1">IFERROR(__xludf.DUMMYFUNCTION("IMPORTRANGE(""https://docs.google.com/spreadsheets/d/10OvvATaaLtwErnr3qtWFcTmtbfpFEt5Bsqel9sXx0uE/edit?usp=sharing"",""งานกองทุน!K88"")"),173042.28)</f>
        <v>173042.28</v>
      </c>
      <c r="K780" s="47">
        <f ca="1">IF(I780&gt;0,J780*100/I780,0)</f>
        <v>10.816173822173944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IFERROR(__xludf.DUMMYFUNCTION("IMPORTRANGE(""https://docs.google.com/spreadsheets/d/10OvvATaaLtwErnr3qtWFcTmtbfpFEt5Bsqel9sXx0uE/edit?usp=sharing"",""งานกองทุน!H88"")"),59)</f>
        <v>59</v>
      </c>
      <c r="J781" s="152">
        <f ca="1">IFERROR(__xludf.DUMMYFUNCTION("IMPORTRANGE(""https://docs.google.com/spreadsheets/d/10OvvATaaLtwErnr3qtWFcTmtbfpFEt5Bsqel9sXx0uE/edit?usp=sharing"",""งานกองทุน!J88"")"),41)</f>
        <v>41</v>
      </c>
      <c r="K781" s="47">
        <f ca="1">IF(I781&gt;0,J781*100/I781,0)</f>
        <v>69.491525423728817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IFERROR(__xludf.DUMMYFUNCTION("IMPORTRANGE(""https://docs.google.com/spreadsheets/d/10OvvATaaLtwErnr3qtWFcTmtbfpFEt5Bsqel9sXx0uE/edit?usp=sharing"",""งานกองทุน!N88"")"),153556)</f>
        <v>153556</v>
      </c>
      <c r="J782" s="152">
        <f ca="1">IFERROR(__xludf.DUMMYFUNCTION("IMPORTRANGE(""https://docs.google.com/spreadsheets/d/10OvvATaaLtwErnr3qtWFcTmtbfpFEt5Bsqel9sXx0uE/edit?usp=sharing"",""งานกองทุน!P88"")"),82936)</f>
        <v>82936</v>
      </c>
      <c r="K782" s="47">
        <f ca="1">IF(I782&gt;0,J782*100/I782,0)</f>
        <v>54.010263356690722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IFERROR(__xludf.DUMMYFUNCTION("IMPORTRANGE(""https://docs.google.com/spreadsheets/d/10OvvATaaLtwErnr3qtWFcTmtbfpFEt5Bsqel9sXx0uE/edit?usp=sharing"",""งานกองทุน!M88"")"),114)</f>
        <v>114</v>
      </c>
      <c r="J783" s="152">
        <f ca="1">IFERROR(__xludf.DUMMYFUNCTION("IMPORTRANGE(""https://docs.google.com/spreadsheets/d/10OvvATaaLtwErnr3qtWFcTmtbfpFEt5Bsqel9sXx0uE/edit?usp=sharing"",""งานกองทุน!O88"")"),53)</f>
        <v>53</v>
      </c>
      <c r="K783" s="47">
        <f ca="1">IF(I783&gt;0,J783*100/I783,0)</f>
        <v>46.491228070175438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IFERROR(__xludf.DUMMYFUNCTION("IMPORTRANGE(""https://docs.google.com/spreadsheets/d/10OvvATaaLtwErnr3qtWFcTmtbfpFEt5Bsqel9sXx0uE/edit?usp=sharing"",""งานกองทุน!S88"")"),3724000)</f>
        <v>3724000</v>
      </c>
      <c r="J784" s="152">
        <f ca="1">IFERROR(__xludf.DUMMYFUNCTION("IMPORTRANGE(""https://docs.google.com/spreadsheets/d/10OvvATaaLtwErnr3qtWFcTmtbfpFEt5Bsqel9sXx0uE/edit?usp=sharing"",""งานกองทุน!U88"")"),2350000)</f>
        <v>2350000</v>
      </c>
      <c r="K784" s="47">
        <f ca="1">IF(I784&gt;0,J784*100/I784,0)</f>
        <v>63.104189044038669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IFERROR(__xludf.DUMMYFUNCTION("IMPORTRANGE(""https://docs.google.com/spreadsheets/d/10OvvATaaLtwErnr3qtWFcTmtbfpFEt5Bsqel9sXx0uE/edit?usp=sharing"",""งานกองทุน!R88"")"),133)</f>
        <v>133</v>
      </c>
      <c r="J785" s="197">
        <f ca="1">IFERROR(__xludf.DUMMYFUNCTION("IMPORTRANGE(""https://docs.google.com/spreadsheets/d/10OvvATaaLtwErnr3qtWFcTmtbfpFEt5Bsqel9sXx0uE/edit?usp=sharing"",""งานกองทุน!T88"")"),47)</f>
        <v>47</v>
      </c>
      <c r="K785" s="111">
        <f ca="1">IF(I785&gt;0,J785*100/I785,0)</f>
        <v>35.338345864661655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4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CA58E-9994-4E7D-941E-EC0057439515}">
  <sheetPr codeName="Sheet2">
    <outlinePr summaryBelow="0" summaryRight="0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7.5703125" bestFit="1" customWidth="1"/>
    <col min="10" max="10" width="15.85546875" bestFit="1" customWidth="1"/>
    <col min="11" max="11" width="13" bestFit="1" customWidth="1"/>
    <col min="12" max="13" width="23.85546875" bestFit="1" customWidth="1"/>
    <col min="14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 x14ac:dyDescent="0.3">
      <c r="A1" s="817" t="s">
        <v>0</v>
      </c>
      <c r="B1" s="817"/>
      <c r="C1" s="817"/>
      <c r="D1" s="817"/>
      <c r="E1" s="817"/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7"/>
      <c r="R1" s="817"/>
      <c r="S1" s="817"/>
      <c r="T1" s="817"/>
      <c r="U1" s="817"/>
    </row>
    <row r="2" spans="1:21" s="897" customFormat="1" ht="19.5" x14ac:dyDescent="0.3">
      <c r="A2" s="817" t="s">
        <v>313</v>
      </c>
      <c r="B2" s="817"/>
      <c r="C2" s="817"/>
      <c r="D2" s="817"/>
      <c r="E2" s="817"/>
      <c r="F2" s="817"/>
      <c r="G2" s="817"/>
      <c r="H2" s="817"/>
      <c r="I2" s="817"/>
      <c r="J2" s="817"/>
      <c r="K2" s="817"/>
      <c r="L2" s="817"/>
      <c r="M2" s="817"/>
      <c r="N2" s="817"/>
      <c r="O2" s="817"/>
      <c r="P2" s="817"/>
      <c r="Q2" s="817"/>
      <c r="R2" s="817"/>
      <c r="S2" s="817"/>
      <c r="T2" s="817"/>
      <c r="U2" s="817"/>
    </row>
    <row r="3" spans="1:21" ht="19.5" x14ac:dyDescent="0.3">
      <c r="A3" s="817" t="s">
        <v>332</v>
      </c>
      <c r="B3" s="817"/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  <c r="S3" s="817"/>
      <c r="T3" s="817"/>
      <c r="U3" s="817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816"/>
      <c r="L4" s="815" t="s">
        <v>2</v>
      </c>
      <c r="M4" s="518"/>
      <c r="N4" s="518"/>
      <c r="O4" s="518"/>
      <c r="P4" s="519"/>
      <c r="Q4" s="814" t="s">
        <v>3</v>
      </c>
      <c r="R4" s="518"/>
      <c r="S4" s="518"/>
      <c r="T4" s="518"/>
      <c r="U4" s="519"/>
    </row>
    <row r="5" spans="1:21" ht="19.5" x14ac:dyDescent="0.3">
      <c r="A5" s="813" t="s">
        <v>4</v>
      </c>
      <c r="B5" s="522"/>
      <c r="C5" s="522"/>
      <c r="D5" s="522"/>
      <c r="E5" s="522"/>
      <c r="F5" s="522"/>
      <c r="G5" s="535"/>
      <c r="H5" s="812" t="s">
        <v>5</v>
      </c>
      <c r="I5" s="527" t="s">
        <v>6</v>
      </c>
      <c r="J5" s="518"/>
      <c r="K5" s="519"/>
      <c r="L5" s="811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0"/>
      <c r="I6" s="7" t="s">
        <v>9</v>
      </c>
      <c r="J6" s="8" t="s">
        <v>10</v>
      </c>
      <c r="K6" s="7" t="s">
        <v>11</v>
      </c>
      <c r="L6" s="809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2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1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1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1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1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1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1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1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1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08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7">
        <f ca="1">L19+L20</f>
        <v>41962410</v>
      </c>
      <c r="M18" s="35">
        <f ca="1">M19+M20</f>
        <v>42109320</v>
      </c>
      <c r="N18" s="35">
        <f ca="1">N19+N20</f>
        <v>1666023.2899999998</v>
      </c>
      <c r="O18" s="35">
        <f ca="1">IF(L18&gt;0,N18*100/L18,0)</f>
        <v>3.970275515634111</v>
      </c>
      <c r="P18" s="35">
        <f ca="1">IF(M18&gt;0,N18*100/M18,0)</f>
        <v>3.9564241122867805</v>
      </c>
      <c r="Q18" s="35">
        <f ca="1">Q19+Q20</f>
        <v>1891168</v>
      </c>
      <c r="R18" s="35">
        <f ca="1">R19+R20</f>
        <v>1923568</v>
      </c>
      <c r="S18" s="35">
        <f ca="1">S19+S20</f>
        <v>300098.58999999997</v>
      </c>
      <c r="T18" s="35">
        <f ca="1">IF(Q18&gt;0,S18*100/Q18,0)</f>
        <v>15.868425755934954</v>
      </c>
      <c r="U18" s="35">
        <f ca="1">IF(R18&gt;0,S18*100/R18,0)</f>
        <v>15.601142772181694</v>
      </c>
    </row>
    <row r="19" spans="1:21" ht="18.75" hidden="1" x14ac:dyDescent="0.25">
      <c r="A19" s="27"/>
      <c r="B19" s="28"/>
      <c r="C19" s="28"/>
      <c r="D19" s="28"/>
      <c r="E19" s="806" t="s">
        <v>20</v>
      </c>
      <c r="F19" s="28"/>
      <c r="G19" s="31"/>
      <c r="H19" s="805" t="s">
        <v>14</v>
      </c>
      <c r="I19" s="33"/>
      <c r="J19" s="33"/>
      <c r="K19" s="34"/>
      <c r="L19" s="804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3">
        <f ca="1">L23+L26</f>
        <v>41962410</v>
      </c>
      <c r="M20" s="39">
        <f ca="1">M23+M26</f>
        <v>42109320</v>
      </c>
      <c r="N20" s="39">
        <f ca="1">N23+N26</f>
        <v>1666023.2899999998</v>
      </c>
      <c r="O20" s="39">
        <f ca="1">IF(L20&gt;0,N20*100/L20,0)</f>
        <v>3.970275515634111</v>
      </c>
      <c r="P20" s="39">
        <f ca="1">IF(M20&gt;0,N20*100/M20,0)</f>
        <v>3.9564241122867805</v>
      </c>
      <c r="Q20" s="39">
        <f ca="1">Q23+Q26</f>
        <v>1891168</v>
      </c>
      <c r="R20" s="39">
        <f ca="1">R23+R26</f>
        <v>1923568</v>
      </c>
      <c r="S20" s="39">
        <f ca="1">S23+S26</f>
        <v>300098.58999999997</v>
      </c>
      <c r="T20" s="39">
        <f ca="1">IF(Q20&gt;0,S20*100/Q20,0)</f>
        <v>15.868425755934954</v>
      </c>
      <c r="U20" s="39">
        <f ca="1">IF(R20&gt;0,S20*100/R20,0)</f>
        <v>15.601142772181694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2594910</v>
      </c>
      <c r="M21" s="47">
        <f ca="1">M22+M23</f>
        <v>2741820</v>
      </c>
      <c r="N21" s="47">
        <f ca="1">N22+N23</f>
        <v>1666023.2899999998</v>
      </c>
      <c r="O21" s="47">
        <f ca="1">IF(L21&gt;0,N21*100/L21,0)</f>
        <v>64.203509562952078</v>
      </c>
      <c r="P21" s="47">
        <f ca="1">IF(M21&gt;0,N21*100/M21,0)</f>
        <v>60.763408611797992</v>
      </c>
      <c r="Q21" s="47">
        <f ca="1">Q22+Q23</f>
        <v>1891168</v>
      </c>
      <c r="R21" s="47">
        <f ca="1">R22+R23</f>
        <v>1923568</v>
      </c>
      <c r="S21" s="47">
        <f ca="1">S22+S23</f>
        <v>300098.58999999997</v>
      </c>
      <c r="T21" s="47">
        <f ca="1">IF(Q21&gt;0,S21*100/Q21,0)</f>
        <v>15.868425755934954</v>
      </c>
      <c r="U21" s="47">
        <f ca="1">IF(R21&gt;0,S21*100/R21,0)</f>
        <v>15.601142772181694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L49+L64+L77+L99+L130+L144+L162+L191+L178+L271+L287+L308+L325+L338+L361+L518</f>
        <v>2594910</v>
      </c>
      <c r="M23" s="47">
        <f ca="1">M49+M64+M77+M99+M130+M144+M162+M191+M178+M271+M287+M308+M325+M338+M361+M518</f>
        <v>2741820</v>
      </c>
      <c r="N23" s="47">
        <f ca="1">N49+N64+N77+N99+N130+N144+N162+N191+N178+N271+N287+N308+N325+N338+N361+N518</f>
        <v>1666023.2899999998</v>
      </c>
      <c r="O23" s="47">
        <f ca="1">IF(L23&gt;0,N23*100/L23,0)</f>
        <v>64.203509562952078</v>
      </c>
      <c r="P23" s="47">
        <f ca="1">IF(M23&gt;0,N23*100/M23,0)</f>
        <v>60.763408611797992</v>
      </c>
      <c r="Q23" s="47">
        <f ca="1">Q77+Q99+Q122+Q144+Q162+Q178+Q191+Q271+Q287+Q308+Q338+Q380+Q397+Q418+Q498+Q604+Q621+Q647+Q695+Q719+Q733+Q765</f>
        <v>1891168</v>
      </c>
      <c r="R23" s="47">
        <f ca="1">R77+R99+R122+R144+R162+R178+R191+R271+R287+R308+R338+R380+R397+R418+R498+R604+R621+R647+R695+R719+R733+R765</f>
        <v>1923568</v>
      </c>
      <c r="S23" s="47">
        <f ca="1">S77+S99+S122+S144+S162+S178+S191+S271+S287+S308+S338+S380+S397+S418+S498+S604+S621+S647+S695+S719+S733+S765</f>
        <v>300098.58999999997</v>
      </c>
      <c r="T23" s="47">
        <f ca="1">IF(Q23&gt;0,S23*100/Q23,0)</f>
        <v>15.868425755934954</v>
      </c>
      <c r="U23" s="47">
        <f ca="1">IF(R23&gt;0,S23*100/R23,0)</f>
        <v>15.601142772181694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39367500</v>
      </c>
      <c r="M24" s="47">
        <f ca="1">M25+M26</f>
        <v>39367500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L52+L67+L80+L102+L133+L147+L165+L194+L181+L274+L290+L311+L328+L341+L364+L521</f>
        <v>39367500</v>
      </c>
      <c r="M26" s="47">
        <f ca="1">M52+M67+M80+M102+M133+M147+M165+M194+M181+M274+M290+M311+M328+M341+M364+M521</f>
        <v>39367500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2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1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1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1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1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1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1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1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1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1">
        <f ca="1">L44+L59+L72+L94+L125+L139+L157+L173+L186+L266+L282+L303+L320+L333+L356</f>
        <v>8538910</v>
      </c>
      <c r="M40" s="800">
        <f ca="1">M44+M59+M72+M94+M125+M139+M157+M173+M186+M266+M282+M303+M320+M333+M356</f>
        <v>8685820</v>
      </c>
      <c r="N40" s="800">
        <f ca="1">N44+N59+N72+N94+N125+N139+N157+N173+N186+N266+N282+N303+N320+N333+N356</f>
        <v>1666023.2899999998</v>
      </c>
      <c r="O40" s="800">
        <f ca="1">IF(L40&gt;0,N40*100/L40,0)</f>
        <v>19.510959712656529</v>
      </c>
      <c r="P40" s="800">
        <f ca="1">IF(M40&gt;0,N40*100/M40,0)</f>
        <v>19.180955741657087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99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1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551520</v>
      </c>
      <c r="M44" s="79">
        <f ca="1">M45+M46</f>
        <v>579310</v>
      </c>
      <c r="N44" s="79">
        <f ca="1">N45+N46</f>
        <v>398352</v>
      </c>
      <c r="O44" s="79">
        <f ca="1">IF(L44&gt;0,N44*100/L44,0)</f>
        <v>72.228024369016538</v>
      </c>
      <c r="P44" s="79">
        <f ca="1">IF(M44&gt;0,N44*100/M44,0)</f>
        <v>68.763183787609393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551520</v>
      </c>
      <c r="M46" s="83">
        <f ca="1">M49+M52</f>
        <v>579310</v>
      </c>
      <c r="N46" s="83">
        <f ca="1">N49+N52</f>
        <v>398352</v>
      </c>
      <c r="O46" s="83">
        <f ca="1">IF(L46&gt;0,N46*100/L46,0)</f>
        <v>72.228024369016538</v>
      </c>
      <c r="P46" s="83">
        <f ca="1">IF(M46&gt;0,N46*100/M46,0)</f>
        <v>68.763183787609393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551520</v>
      </c>
      <c r="M47" s="47">
        <f ca="1">M48+M49</f>
        <v>579310</v>
      </c>
      <c r="N47" s="47">
        <f ca="1">N48+N49</f>
        <v>398352</v>
      </c>
      <c r="O47" s="47">
        <f ca="1">IF(L47&gt;0,N47*100/L47,0)</f>
        <v>72.228024369016538</v>
      </c>
      <c r="P47" s="47">
        <f ca="1">IF(M47&gt;0,N47*100/M47,0)</f>
        <v>68.763183787609393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IFERROR(__xludf.DUMMYFUNCTION("IMPORTRANGE(""https://docs.google.com/spreadsheets/d/1-uDff_7J0KD5mKrp0Vvzr7lt3OU09vwQwhkpOPPYv2Y/edit?usp=sharing"",""งบพรบ!P75"")"),551520)</f>
        <v>551520</v>
      </c>
      <c r="M49" s="47">
        <f ca="1">IFERROR(__xludf.DUMMYFUNCTION("IMPORTRANGE(""https://docs.google.com/spreadsheets/d/1-uDff_7J0KD5mKrp0Vvzr7lt3OU09vwQwhkpOPPYv2Y/edit?usp=sharing"",""งบพรบ!V75"")"),579310)</f>
        <v>579310</v>
      </c>
      <c r="N49" s="47">
        <f ca="1">IFERROR(__xludf.DUMMYFUNCTION("IMPORTRANGE(""https://docs.google.com/spreadsheets/d/1-uDff_7J0KD5mKrp0Vvzr7lt3OU09vwQwhkpOPPYv2Y/edit?usp=sharing"",""งบพรบ!Y75"")"),398352)</f>
        <v>398352</v>
      </c>
      <c r="O49" s="47">
        <f ca="1">IF(L49&gt;0,N49*100/L49,0)</f>
        <v>72.228024369016538</v>
      </c>
      <c r="P49" s="47">
        <f ca="1">IF(M49&gt;0,N49*100/M49,0)</f>
        <v>68.763183787609393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IFERROR(__xludf.DUMMYFUNCTION("IMPORTRANGE(""https://docs.google.com/spreadsheets/d/1-uDff_7J0KD5mKrp0Vvzr7lt3OU09vwQwhkpOPPYv2Y/edit?usp=sharing"",""งบพรบ!S75"")"),0)</f>
        <v>0</v>
      </c>
      <c r="M52" s="47">
        <f ca="1">IFERROR(__xludf.DUMMYFUNCTION("IMPORTRANGE(""https://docs.google.com/spreadsheets/d/1-uDff_7J0KD5mKrp0Vvzr7lt3OU09vwQwhkpOPPYv2Y/edit?usp=sharing"",""งบพรบ!W75"")"),0)</f>
        <v>0</v>
      </c>
      <c r="N52" s="47">
        <f ca="1">IFERROR(__xludf.DUMMYFUNCTION("IMPORTRANGE(""https://docs.google.com/spreadsheets/d/1-uDff_7J0KD5mKrp0Vvzr7lt3OU09vwQwhkpOPPYv2Y/edit?usp=sharing"",""งบพรบ!Z75"")"),0)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6607000</v>
      </c>
      <c r="M59" s="106">
        <f ca="1">M60+M61</f>
        <v>6638000</v>
      </c>
      <c r="N59" s="106">
        <f ca="1">N60+N61</f>
        <v>424793.46</v>
      </c>
      <c r="O59" s="106">
        <f ca="1">IF(L59&gt;0,N59*100/L59,0)</f>
        <v>6.4294454366580895</v>
      </c>
      <c r="P59" s="106">
        <f ca="1">IF(M59&gt;0,N59*100/M59,0)</f>
        <v>6.3994194034347691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6607000</v>
      </c>
      <c r="M61" s="109">
        <f ca="1">M64+M67</f>
        <v>6638000</v>
      </c>
      <c r="N61" s="109">
        <f ca="1">N64+N67</f>
        <v>424793.46</v>
      </c>
      <c r="O61" s="109">
        <f ca="1">IF(L61&gt;0,N61*100/L61,0)</f>
        <v>6.4294454366580895</v>
      </c>
      <c r="P61" s="109">
        <f ca="1">IF(M61&gt;0,N61*100/M61,0)</f>
        <v>6.3994194034347691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663000</v>
      </c>
      <c r="M62" s="47">
        <f ca="1">M63+M64</f>
        <v>694000</v>
      </c>
      <c r="N62" s="47">
        <f ca="1">N63+N64</f>
        <v>424793.46</v>
      </c>
      <c r="O62" s="47">
        <f ca="1">IF(L62&gt;0,N62*100/L62,0)</f>
        <v>64.071411764705886</v>
      </c>
      <c r="P62" s="47">
        <f ca="1">IF(M62&gt;0,N62*100/M62,0)</f>
        <v>61.209432276657061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IFERROR(__xludf.DUMMYFUNCTION("IMPORTRANGE(""https://docs.google.com/spreadsheets/d/1-uDff_7J0KD5mKrp0Vvzr7lt3OU09vwQwhkpOPPYv2Y/edit?usp=sharing"",""งบพรบ!AC75"")"),663000)</f>
        <v>663000</v>
      </c>
      <c r="M64" s="47">
        <f ca="1">IFERROR(__xludf.DUMMYFUNCTION("IMPORTRANGE(""https://docs.google.com/spreadsheets/d/1-uDff_7J0KD5mKrp0Vvzr7lt3OU09vwQwhkpOPPYv2Y/edit?usp=sharing"",""งบพรบ!AH75"")"),694000)</f>
        <v>694000</v>
      </c>
      <c r="N64" s="47">
        <f ca="1">IFERROR(__xludf.DUMMYFUNCTION("IMPORTRANGE(""https://docs.google.com/spreadsheets/d/1-uDff_7J0KD5mKrp0Vvzr7lt3OU09vwQwhkpOPPYv2Y/edit?usp=sharing"",""งบพรบ!AJ75"")"),424793.46)</f>
        <v>424793.46</v>
      </c>
      <c r="O64" s="47">
        <f ca="1">IF(L64&gt;0,N64*100/L64,0)</f>
        <v>64.071411764705886</v>
      </c>
      <c r="P64" s="47">
        <f ca="1">IF(M64&gt;0,N64*100/M64,0)</f>
        <v>61.209432276657061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5944000</v>
      </c>
      <c r="M65" s="47">
        <f ca="1">M66+M67</f>
        <v>5944000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IFERROR(__xludf.DUMMYFUNCTION("IMPORTRANGE(""https://docs.google.com/spreadsheets/d/1-uDff_7J0KD5mKrp0Vvzr7lt3OU09vwQwhkpOPPYv2Y/edit?usp=sharing"",""งบพรบ!AF75"")"),5944000)</f>
        <v>5944000</v>
      </c>
      <c r="M67" s="111">
        <f ca="1">IFERROR(__xludf.DUMMYFUNCTION("IMPORTRANGE(""https://docs.google.com/spreadsheets/d/1-uDff_7J0KD5mKrp0Vvzr7lt3OU09vwQwhkpOPPYv2Y/edit?usp=sharing"",""งบพรบ!AI75"")"),5944000)</f>
        <v>5944000</v>
      </c>
      <c r="N67" s="111">
        <f ca="1">IFERROR(__xludf.DUMMYFUNCTION("IMPORTRANGE(""https://docs.google.com/spreadsheets/d/1-uDff_7J0KD5mKrp0Vvzr7lt3OU09vwQwhkpOPPYv2Y/edit?usp=sharing"",""งบพรบ!AK75"")"),0)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0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IFERROR(__xludf.DUMMYFUNCTION("IMPORTRANGE(""https://docs.google.com/spreadsheets/d/1-uDff_7J0KD5mKrp0Vvzr7lt3OU09vwQwhkpOPPYv2Y/edit?usp=sharing"",""งบพรบ!AM75"")"),0)</f>
        <v>0</v>
      </c>
      <c r="M77" s="47">
        <f ca="1">IFERROR(__xludf.DUMMYFUNCTION("IMPORTRANGE(""https://docs.google.com/spreadsheets/d/1-uDff_7J0KD5mKrp0Vvzr7lt3OU09vwQwhkpOPPYv2Y/edit?usp=sharing"",""งบพรบ!AR75"")"),0)</f>
        <v>0</v>
      </c>
      <c r="N77" s="47">
        <f ca="1">IFERROR(__xludf.DUMMYFUNCTION("IMPORTRANGE(""https://docs.google.com/spreadsheets/d/1-uDff_7J0KD5mKrp0Vvzr7lt3OU09vwQwhkpOPPYv2Y/edit?usp=sharing"",""งบพรบ!AT75"")"),0)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IFERROR(__xludf.DUMMYFUNCTION("IMPORTRANGE(""https://docs.google.com/spreadsheets/d/1ItG2mGa2ceCfYo0BwxsXqNm01IGEUdYcSSLTEv9YCik/edit?usp=sharing"",""เบิกจ่ายกองทุน!BH75"")"),0)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IFERROR(__xludf.DUMMYFUNCTION("IMPORTRANGE(""https://docs.google.com/spreadsheets/d/1ItG2mGa2ceCfYo0BwxsXqNm01IGEUdYcSSLTEv9YCik/edit?usp=sharing"",""เบิกจ่ายกองทุน!BI75"")"),0)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IFERROR(__xludf.DUMMYFUNCTION("IMPORTRANGE(""https://docs.google.com/spreadsheets/d/1ItG2mGa2ceCfYo0BwxsXqNm01IGEUdYcSSLTEv9YCik/edit?usp=sharing"",""เบิกจ่ายกองทุน!BJ75"")"),0)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IFERROR(__xludf.DUMMYFUNCTION("IMPORTRANGE(""https://docs.google.com/spreadsheets/d/1-uDff_7J0KD5mKrp0Vvzr7lt3OU09vwQwhkpOPPYv2Y/edit?usp=sharing"",""งบพรบ!AP75"")"),0)</f>
        <v>0</v>
      </c>
      <c r="M80" s="47">
        <f ca="1">IFERROR(__xludf.DUMMYFUNCTION("IMPORTRANGE(""https://docs.google.com/spreadsheets/d/1-uDff_7J0KD5mKrp0Vvzr7lt3OU09vwQwhkpOPPYv2Y/edit?usp=sharing"",""งบพรบ!AS75"")"),0)</f>
        <v>0</v>
      </c>
      <c r="N80" s="47">
        <f ca="1">IFERROR(__xludf.DUMMYFUNCTION("IMPORTRANGE(""https://docs.google.com/spreadsheets/d/1-uDff_7J0KD5mKrp0Vvzr7lt3OU09vwQwhkpOPPYv2Y/edit?usp=sharing"",""งบพรบ!AU75"")"),0)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IFERROR(__xludf.DUMMYFUNCTION("IMPORTRANGE(""https://docs.google.com/spreadsheets/d/1ItG2mGa2ceCfYo0BwxsXqNm01IGEUdYcSSLTEv9YCik/edit?usp=sharing"",""เบิกจ่ายกองทุน!BK75"")"),0)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IFERROR(__xludf.DUMMYFUNCTION("IMPORTRANGE(""https://docs.google.com/spreadsheets/d/1ItG2mGa2ceCfYo0BwxsXqNm01IGEUdYcSSLTEv9YCik/edit?usp=sharing"",""เบิกจ่ายกองทุน!BL75"")"),0)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IFERROR(__xludf.DUMMYFUNCTION("IMPORTRANGE(""https://docs.google.com/spreadsheets/d/1ItG2mGa2ceCfYo0BwxsXqNm01IGEUdYcSSLTEv9YCik/edit?usp=sharing"",""เบิกจ่ายกองทุน!BM75"")"),0)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IFERROR(__xludf.DUMMYFUNCTION("IMPORTRANGE(""https://docs.google.com/spreadsheets/d/1eHaY18a8A9IcSdp1K8H6x8fbOy06t2VsZHhMHf-1x7Y/edit?usp=sharing"",""แผน!H75"")"),0)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IFERROR(__xludf.DUMMYFUNCTION("IMPORTRANGE(""https://docs.google.com/spreadsheets/d/1eHaY18a8A9IcSdp1K8H6x8fbOy06t2VsZHhMHf-1x7Y/edit?usp=sharing"",""แผน!I75"")"),0)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IFERROR(__xludf.DUMMYFUNCTION("IMPORTRANGE(""https://docs.google.com/spreadsheets/d/1eHaY18a8A9IcSdp1K8H6x8fbOy06t2VsZHhMHf-1x7Y/edit?usp=sharing"",""แผน!F75"")"),0)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IFERROR(__xludf.DUMMYFUNCTION("IMPORTRANGE(""https://docs.google.com/spreadsheets/d/1eHaY18a8A9IcSdp1K8H6x8fbOy06t2VsZHhMHf-1x7Y/edit?usp=sharing"",""แผน!G75"")"),0)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IFERROR(__xludf.DUMMYFUNCTION("IMPORTRANGE(""https://docs.google.com/spreadsheets/d/1eHaY18a8A9IcSdp1K8H6x8fbOy06t2VsZHhMHf-1x7Y/edit?usp=sharing"",""แผน!D75"")"),0)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IFERROR(__xludf.DUMMYFUNCTION("IMPORTRANGE(""https://docs.google.com/spreadsheets/d/1eHaY18a8A9IcSdp1K8H6x8fbOy06t2VsZHhMHf-1x7Y/edit?usp=sharing"",""แผน!E75"")"),0)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IFERROR(__xludf.DUMMYFUNCTION("IMPORTRANGE(""https://docs.google.com/spreadsheets/d/1eHaY18a8A9IcSdp1K8H6x8fbOy06t2VsZHhMHf-1x7Y/edit?usp=sharing"",""แผน!J75"")"),0)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0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IFERROR(__xludf.DUMMYFUNCTION("IMPORTRANGE(""https://docs.google.com/spreadsheets/d/1-uDff_7J0KD5mKrp0Vvzr7lt3OU09vwQwhkpOPPYv2Y/edit?usp=sharing"",""งบพรบ!AW75"")"),0)</f>
        <v>0</v>
      </c>
      <c r="M99" s="47">
        <f ca="1">IFERROR(__xludf.DUMMYFUNCTION("IMPORTRANGE(""https://docs.google.com/spreadsheets/d/1-uDff_7J0KD5mKrp0Vvzr7lt3OU09vwQwhkpOPPYv2Y/edit?usp=sharing"",""งบพรบ!BB75"")"),0)</f>
        <v>0</v>
      </c>
      <c r="N99" s="47">
        <f ca="1">IFERROR(__xludf.DUMMYFUNCTION("IMPORTRANGE(""https://docs.google.com/spreadsheets/d/1-uDff_7J0KD5mKrp0Vvzr7lt3OU09vwQwhkpOPPYv2Y/edit?usp=sharing"",""งบพรบ!BD75"")"),0)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IFERROR(__xludf.DUMMYFUNCTION("IMPORTRANGE(""https://docs.google.com/spreadsheets/d/1ItG2mGa2ceCfYo0BwxsXqNm01IGEUdYcSSLTEv9YCik/edit?usp=sharing"",""เบิกจ่ายกองทุน!AJ75"")"),0)</f>
        <v>0</v>
      </c>
      <c r="R99" s="47">
        <f ca="1">IFERROR(__xludf.DUMMYFUNCTION("IMPORTRANGE(""https://docs.google.com/spreadsheets/d/1ItG2mGa2ceCfYo0BwxsXqNm01IGEUdYcSSLTEv9YCik/edit?usp=sharing"",""เบิกจ่ายกองทุน!AK75"")"),0)</f>
        <v>0</v>
      </c>
      <c r="S99" s="47">
        <f ca="1">IFERROR(__xludf.DUMMYFUNCTION("IMPORTRANGE(""https://docs.google.com/spreadsheets/d/1ItG2mGa2ceCfYo0BwxsXqNm01IGEUdYcSSLTEv9YCik/edit?usp=sharing"",""เบิกจ่ายกองทุน!AL75"")"),0)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IFERROR(__xludf.DUMMYFUNCTION("IMPORTRANGE(""https://docs.google.com/spreadsheets/d/1-uDff_7J0KD5mKrp0Vvzr7lt3OU09vwQwhkpOPPYv2Y/edit?usp=sharing"",""งบพรบ!AZ75"")"),0)</f>
        <v>0</v>
      </c>
      <c r="M102" s="47">
        <f ca="1">IFERROR(__xludf.DUMMYFUNCTION("IMPORTRANGE(""https://docs.google.com/spreadsheets/d/1-uDff_7J0KD5mKrp0Vvzr7lt3OU09vwQwhkpOPPYv2Y/edit?usp=sharing"",""งบพรบ!BC75"")"),0)</f>
        <v>0</v>
      </c>
      <c r="N102" s="47">
        <f ca="1">IFERROR(__xludf.DUMMYFUNCTION("IMPORTRANGE(""https://docs.google.com/spreadsheets/d/1-uDff_7J0KD5mKrp0Vvzr7lt3OU09vwQwhkpOPPYv2Y/edit?usp=sharing"",""งบพรบ!BE75"")"),0)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1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1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1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IFERROR(__xludf.DUMMYFUNCTION("IMPORTRANGE(""https://docs.google.com/spreadsheets/d/1eHaY18a8A9IcSdp1K8H6x8fbOy06t2VsZHhMHf-1x7Y/edit?usp=sharing"",""แผน!N75"")"),0)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IFERROR(__xludf.DUMMYFUNCTION("IMPORTRANGE(""https://docs.google.com/spreadsheets/d/1eHaY18a8A9IcSdp1K8H6x8fbOy06t2VsZHhMHf-1x7Y/edit?usp=sharing"",""แผน!O75"")"),0)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1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1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1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1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IFERROR(__xludf.DUMMYFUNCTION("IMPORTRANGE(""https://docs.google.com/spreadsheets/d/1eHaY18a8A9IcSdp1K8H6x8fbOy06t2VsZHhMHf-1x7Y/edit?usp=sharing"",""แผน!R75"")"),0)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8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9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107845</v>
      </c>
      <c r="T117" s="132">
        <f ca="1">IF(Q117&gt;0,S117*100/Q117,0)</f>
        <v>56.327692468400713</v>
      </c>
      <c r="U117" s="132">
        <f ca="1">IF(R117&gt;0,S117*100/R117,0)</f>
        <v>56.327692468400713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191460</v>
      </c>
      <c r="R119" s="47">
        <f ca="1">R122+R125</f>
        <v>191460</v>
      </c>
      <c r="S119" s="47">
        <f ca="1">S122+S125</f>
        <v>107845</v>
      </c>
      <c r="T119" s="47">
        <f ca="1">IF(Q119&gt;0,S119*100/Q119,0)</f>
        <v>56.327692468400713</v>
      </c>
      <c r="U119" s="47">
        <f ca="1">IF(R119&gt;0,S119*100/R119,0)</f>
        <v>56.327692468400713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107845</v>
      </c>
      <c r="T120" s="47">
        <f ca="1">IF(Q120&gt;0,S120*100/Q120,0)</f>
        <v>56.327692468400713</v>
      </c>
      <c r="U120" s="47">
        <f ca="1">IF(R120&gt;0,S120*100/R120,0)</f>
        <v>56.327692468400713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IFERROR(__xludf.DUMMYFUNCTION("IMPORTRANGE(""https://docs.google.com/spreadsheets/d/1-uDff_7J0KD5mKrp0Vvzr7lt3OU09vwQwhkpOPPYv2Y/edit?usp=sharing"",""งบพรบ!BG75"")"),0)</f>
        <v>0</v>
      </c>
      <c r="M122" s="47">
        <f ca="1">IFERROR(__xludf.DUMMYFUNCTION("IMPORTRANGE(""https://docs.google.com/spreadsheets/d/1-uDff_7J0KD5mKrp0Vvzr7lt3OU09vwQwhkpOPPYv2Y/edit?usp=sharing"",""งบพรบ!BL75"")"),0)</f>
        <v>0</v>
      </c>
      <c r="N122" s="47">
        <f ca="1">IFERROR(__xludf.DUMMYFUNCTION("IMPORTRANGE(""https://docs.google.com/spreadsheets/d/1-uDff_7J0KD5mKrp0Vvzr7lt3OU09vwQwhkpOPPYv2Y/edit?usp=sharing"",""งบพรบ!BN75"")"),0)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IFERROR(__xludf.DUMMYFUNCTION("IMPORTRANGE(""https://docs.google.com/spreadsheets/d/1ItG2mGa2ceCfYo0BwxsXqNm01IGEUdYcSSLTEv9YCik/edit?usp=sharing"",""เบิกจ่ายกองทุน!U75"")"),191460)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IFERROR(__xludf.DUMMYFUNCTION("IMPORTRANGE(""https://docs.google.com/spreadsheets/d/1ItG2mGa2ceCfYo0BwxsXqNm01IGEUdYcSSLTEv9YCik/edit?usp=sharing"",""เบิกจ่ายกองทุน!V75"")"),191460)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IFERROR(__xludf.DUMMYFUNCTION("IMPORTRANGE(""https://docs.google.com/spreadsheets/d/1ItG2mGa2ceCfYo0BwxsXqNm01IGEUdYcSSLTEv9YCik/edit?usp=sharing"",""เบิกจ่ายกองทุน!W75"")"),107845)</f>
        <v>107845</v>
      </c>
      <c r="T122" s="47">
        <f ca="1">IF(Q122&gt;0,S122*100/Q122,0)</f>
        <v>56.327692468400713</v>
      </c>
      <c r="U122" s="47">
        <f ca="1">IF(R122&gt;0,S122*100/R122,0)</f>
        <v>56.327692468400713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IFERROR(__xludf.DUMMYFUNCTION("IMPORTRANGE(""https://docs.google.com/spreadsheets/d/1-uDff_7J0KD5mKrp0Vvzr7lt3OU09vwQwhkpOPPYv2Y/edit?usp=sharing"",""งบพรบ!BJ75"")"),0)</f>
        <v>0</v>
      </c>
      <c r="M125" s="47">
        <f ca="1">IFERROR(__xludf.DUMMYFUNCTION("IMPORTRANGE(""https://docs.google.com/spreadsheets/d/1-uDff_7J0KD5mKrp0Vvzr7lt3OU09vwQwhkpOPPYv2Y/edit?usp=sharing"",""งบพรบ!BM75"")"),0)</f>
        <v>0</v>
      </c>
      <c r="N125" s="47">
        <f ca="1">IFERROR(__xludf.DUMMYFUNCTION("IMPORTRANGE(""https://docs.google.com/spreadsheets/d/1-uDff_7J0KD5mKrp0Vvzr7lt3OU09vwQwhkpOPPYv2Y/edit?usp=sharing"",""งบพรบ!BO75"")"),0)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IFERROR(__xludf.DUMMYFUNCTION("IMPORTRANGE(""https://docs.google.com/spreadsheets/d/1ItG2mGa2ceCfYo0BwxsXqNm01IGEUdYcSSLTEv9YCik/edit?usp=sharing"",""เบิกจ่ายกองทุน!X75"")"),0)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IFERROR(__xludf.DUMMYFUNCTION("IMPORTRANGE(""https://docs.google.com/spreadsheets/d/1ItG2mGa2ceCfYo0BwxsXqNm01IGEUdYcSSLTEv9YCik/edit?usp=sharing"",""เบิกจ่ายกองทุน!Y75"")"),0)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IFERROR(__xludf.DUMMYFUNCTION("IMPORTRANGE(""https://docs.google.com/spreadsheets/d/1ItG2mGa2ceCfYo0BwxsXqNm01IGEUdYcSSLTEv9YCik/edit?usp=sharing"",""เบิกจ่ายกองทุน!Z75"")"),0)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IFERROR(__xludf.DUMMYFUNCTION("IMPORTRANGE(""https://docs.google.com/spreadsheets/d/1eHaY18a8A9IcSdp1K8H6x8fbOy06t2VsZHhMHf-1x7Y/edit?usp=sharing"",""แผน!FF75"")"),15)</f>
        <v>15</v>
      </c>
      <c r="J127" s="167">
        <v>15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IFERROR(__xludf.DUMMYFUNCTION("IMPORTRANGE(""https://docs.google.com/spreadsheets/d/1eHaY18a8A9IcSdp1K8H6x8fbOy06t2VsZHhMHf-1x7Y/edit?usp=sharing"",""แผน!FG75"")"),0)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IFERROR(__xludf.DUMMYFUNCTION("IMPORTRANGE(""https://docs.google.com/spreadsheets/d/1eHaY18a8A9IcSdp1K8H6x8fbOy06t2VsZHhMHf-1x7Y/edit?usp=sharing"",""แผน!FH75"")"),15)</f>
        <v>15</v>
      </c>
      <c r="J129" s="167">
        <v>15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IFERROR(__xludf.DUMMYFUNCTION("IMPORTRANGE(""https://docs.google.com/spreadsheets/d/1eHaY18a8A9IcSdp1K8H6x8fbOy06t2VsZHhMHf-1x7Y/edit?usp=sharing"",""แผน!FI75"")"),0)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1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IFERROR(__xludf.DUMMYFUNCTION("IMPORTRANGE(""https://docs.google.com/spreadsheets/d/1-uDff_7J0KD5mKrp0Vvzr7lt3OU09vwQwhkpOPPYv2Y/edit?usp=sharing"",""งบพรบ!BQ75"")"),0)</f>
        <v>0</v>
      </c>
      <c r="M144" s="47">
        <f ca="1">IFERROR(__xludf.DUMMYFUNCTION("IMPORTRANGE(""https://docs.google.com/spreadsheets/d/1-uDff_7J0KD5mKrp0Vvzr7lt3OU09vwQwhkpOPPYv2Y/edit?usp=sharing"",""งบพรบ!BV75"")"),0)</f>
        <v>0</v>
      </c>
      <c r="N144" s="47">
        <f ca="1">IFERROR(__xludf.DUMMYFUNCTION("IMPORTRANGE(""https://docs.google.com/spreadsheets/d/1-uDff_7J0KD5mKrp0Vvzr7lt3OU09vwQwhkpOPPYv2Y/edit?usp=sharing"",""งบพรบ!BX75"")"),0)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IFERROR(__xludf.DUMMYFUNCTION("IMPORTRANGE(""https://docs.google.com/spreadsheets/d/1ItG2mGa2ceCfYo0BwxsXqNm01IGEUdYcSSLTEv9YCik/edit?usp=sharing"",""เบิกจ่ายกองทุน!CF75"")"),0)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IFERROR(__xludf.DUMMYFUNCTION("IMPORTRANGE(""https://docs.google.com/spreadsheets/d/1ItG2mGa2ceCfYo0BwxsXqNm01IGEUdYcSSLTEv9YCik/edit?usp=sharing"",""เบิกจ่ายกองทุน!CG75"")"),0)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IFERROR(__xludf.DUMMYFUNCTION("IMPORTRANGE(""https://docs.google.com/spreadsheets/d/1ItG2mGa2ceCfYo0BwxsXqNm01IGEUdYcSSLTEv9YCik/edit?usp=sharing"",""เบิกจ่ายกองทุน!CH75"")"),0)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IFERROR(__xludf.DUMMYFUNCTION("IMPORTRANGE(""https://docs.google.com/spreadsheets/d/1-uDff_7J0KD5mKrp0Vvzr7lt3OU09vwQwhkpOPPYv2Y/edit?usp=sharing"",""งบพรบ!BT75"")"),0)</f>
        <v>0</v>
      </c>
      <c r="M147" s="47">
        <f ca="1">IFERROR(__xludf.DUMMYFUNCTION("IMPORTRANGE(""https://docs.google.com/spreadsheets/d/1-uDff_7J0KD5mKrp0Vvzr7lt3OU09vwQwhkpOPPYv2Y/edit?usp=sharing"",""งบพรบ!BW75"")"),0)</f>
        <v>0</v>
      </c>
      <c r="N147" s="47">
        <f ca="1">IFERROR(__xludf.DUMMYFUNCTION("IMPORTRANGE(""https://docs.google.com/spreadsheets/d/1-uDff_7J0KD5mKrp0Vvzr7lt3OU09vwQwhkpOPPYv2Y/edit?usp=sharing"",""งบพรบ!BY75"")"),0)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IFERROR(__xludf.DUMMYFUNCTION("IMPORTRANGE(""https://docs.google.com/spreadsheets/d/1ItG2mGa2ceCfYo0BwxsXqNm01IGEUdYcSSLTEv9YCik/edit?usp=sharing"",""เบิกจ่ายกองทุน!CI75"")"),0)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IFERROR(__xludf.DUMMYFUNCTION("IMPORTRANGE(""https://docs.google.com/spreadsheets/d/1ItG2mGa2ceCfYo0BwxsXqNm01IGEUdYcSSLTEv9YCik/edit?usp=sharing"",""เบิกจ่ายกองทุน!CJ75"")"),0)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IFERROR(__xludf.DUMMYFUNCTION("IMPORTRANGE(""https://docs.google.com/spreadsheets/d/1ItG2mGa2ceCfYo0BwxsXqNm01IGEUdYcSSLTEv9YCik/edit?usp=sharing"",""เบิกจ่ายกองทุน!CK75"")"),0)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IFERROR(__xludf.DUMMYFUNCTION("IMPORTRANGE(""https://docs.google.com/spreadsheets/d/1eHaY18a8A9IcSdp1K8H6x8fbOy06t2VsZHhMHf-1x7Y/edit?usp=sharing"",""แผน!U75"")"),0)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IFERROR(__xludf.DUMMYFUNCTION("IMPORTRANGE(""https://docs.google.com/spreadsheets/d/1eHaY18a8A9IcSdp1K8H6x8fbOy06t2VsZHhMHf-1x7Y/edit?usp=sharing"",""แผน!V75"")"),0)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IFERROR(__xludf.DUMMYFUNCTION("IMPORTRANGE(""https://docs.google.com/spreadsheets/d/1eHaY18a8A9IcSdp1K8H6x8fbOy06t2VsZHhMHf-1x7Y/edit?usp=sharing"",""แผน!W75"")"),0)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IFERROR(__xludf.DUMMYFUNCTION("IMPORTRANGE(""https://docs.google.com/spreadsheets/d/1eHaY18a8A9IcSdp1K8H6x8fbOy06t2VsZHhMHf-1x7Y/edit?usp=sharing"",""แผน!X75"")"),0)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IFERROR(__xludf.DUMMYFUNCTION("IMPORTRANGE(""https://docs.google.com/spreadsheets/d/1eHaY18a8A9IcSdp1K8H6x8fbOy06t2VsZHhMHf-1x7Y/edit?usp=sharing"",""แผน!Y75"")"),0)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IFERROR(__xludf.DUMMYFUNCTION("IMPORTRANGE(""https://docs.google.com/spreadsheets/d/1-uDff_7J0KD5mKrp0Vvzr7lt3OU09vwQwhkpOPPYv2Y/edit?usp=sharing"",""งบพรบ!CA75"")"),0)</f>
        <v>0</v>
      </c>
      <c r="M162" s="47">
        <f ca="1">IFERROR(__xludf.DUMMYFUNCTION("IMPORTRANGE(""https://docs.google.com/spreadsheets/d/1-uDff_7J0KD5mKrp0Vvzr7lt3OU09vwQwhkpOPPYv2Y/edit?usp=sharing"",""งบพรบ!CF75"")"),0)</f>
        <v>0</v>
      </c>
      <c r="N162" s="47">
        <f ca="1">IFERROR(__xludf.DUMMYFUNCTION("IMPORTRANGE(""https://docs.google.com/spreadsheets/d/1-uDff_7J0KD5mKrp0Vvzr7lt3OU09vwQwhkpOPPYv2Y/edit?usp=sharing"",""งบพรบ!CH75"")"),0)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IFERROR(__xludf.DUMMYFUNCTION("IMPORTRANGE(""https://docs.google.com/spreadsheets/d/1ItG2mGa2ceCfYo0BwxsXqNm01IGEUdYcSSLTEv9YCik/edit?usp=sharing"",""เบิกจ่ายกองทุน!AM75"")"),0)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IFERROR(__xludf.DUMMYFUNCTION("IMPORTRANGE(""https://docs.google.com/spreadsheets/d/1ItG2mGa2ceCfYo0BwxsXqNm01IGEUdYcSSLTEv9YCik/edit?usp=sharing"",""เบิกจ่ายกองทุน!AN75"")"),0)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IFERROR(__xludf.DUMMYFUNCTION("IMPORTRANGE(""https://docs.google.com/spreadsheets/d/1ItG2mGa2ceCfYo0BwxsXqNm01IGEUdYcSSLTEv9YCik/edit?usp=sharing"",""เบิกจ่ายกองทุน!AO75"")"),0)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IFERROR(__xludf.DUMMYFUNCTION("IMPORTRANGE(""https://docs.google.com/spreadsheets/d/1-uDff_7J0KD5mKrp0Vvzr7lt3OU09vwQwhkpOPPYv2Y/edit?usp=sharing"",""งบพรบ!CD75"")"),0)</f>
        <v>0</v>
      </c>
      <c r="M165" s="47">
        <f ca="1">IFERROR(__xludf.DUMMYFUNCTION("IMPORTRANGE(""https://docs.google.com/spreadsheets/d/1-uDff_7J0KD5mKrp0Vvzr7lt3OU09vwQwhkpOPPYv2Y/edit?usp=sharing"",""งบพรบ!CG75"")"),0)</f>
        <v>0</v>
      </c>
      <c r="N165" s="47">
        <f ca="1">IFERROR(__xludf.DUMMYFUNCTION("IMPORTRANGE(""https://docs.google.com/spreadsheets/d/1-uDff_7J0KD5mKrp0Vvzr7lt3OU09vwQwhkpOPPYv2Y/edit?usp=sharing"",""งบพรบ!CI75"")"),0)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IFERROR(__xludf.DUMMYFUNCTION("IMPORTRANGE(""https://docs.google.com/spreadsheets/d/1eHaY18a8A9IcSdp1K8H6x8fbOy06t2VsZHhMHf-1x7Y/edit?usp=sharing"",""แผน!Z75"")"),0)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IFERROR(__xludf.DUMMYFUNCTION("IMPORTRANGE(""https://docs.google.com/spreadsheets/d/1eHaY18a8A9IcSdp1K8H6x8fbOy06t2VsZHhMHf-1x7Y/edit?usp=sharing"",""แผน!Z75"")"),0)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IFERROR(__xludf.DUMMYFUNCTION("IMPORTRANGE(""https://docs.google.com/spreadsheets/d/1eHaY18a8A9IcSdp1K8H6x8fbOy06t2VsZHhMHf-1x7Y/edit?usp=sharing"",""แผน!Z75"")"),0)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9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36750</v>
      </c>
      <c r="N173" s="132">
        <f ca="1">N174+N175</f>
        <v>36750</v>
      </c>
      <c r="O173" s="132">
        <f ca="1">IF(L173&gt;0,N173*100/L173,0)</f>
        <v>187.59571209800919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36750</v>
      </c>
      <c r="N175" s="47">
        <f ca="1">N178+N181</f>
        <v>36750</v>
      </c>
      <c r="O175" s="47">
        <f ca="1">IF(L175&gt;0,N175*100/L175,0)</f>
        <v>187.59571209800919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36750</v>
      </c>
      <c r="N176" s="47">
        <f ca="1">N177+N178</f>
        <v>36750</v>
      </c>
      <c r="O176" s="47">
        <f ca="1">IF(L176&gt;0,N176*100/L176,0)</f>
        <v>187.59571209800919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IFERROR(__xludf.DUMMYFUNCTION("IMPORTRANGE(""https://docs.google.com/spreadsheets/d/1-uDff_7J0KD5mKrp0Vvzr7lt3OU09vwQwhkpOPPYv2Y/edit?usp=sharing"",""งบพรบ!CK75"")"),19590)</f>
        <v>19590</v>
      </c>
      <c r="M178" s="47">
        <f ca="1">IFERROR(__xludf.DUMMYFUNCTION("IMPORTRANGE(""https://docs.google.com/spreadsheets/d/1-uDff_7J0KD5mKrp0Vvzr7lt3OU09vwQwhkpOPPYv2Y/edit?usp=sharing"",""งบพรบ!CP75"")"),36750)</f>
        <v>36750</v>
      </c>
      <c r="N178" s="47">
        <f ca="1">IFERROR(__xludf.DUMMYFUNCTION("IMPORTRANGE(""https://docs.google.com/spreadsheets/d/1-uDff_7J0KD5mKrp0Vvzr7lt3OU09vwQwhkpOPPYv2Y/edit?usp=sharing"",""งบพรบ!CR75"")"),36750)</f>
        <v>36750</v>
      </c>
      <c r="O178" s="47">
        <f ca="1">IF(L178&gt;0,N178*100/L178,0)</f>
        <v>187.59571209800919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IFERROR(__xludf.DUMMYFUNCTION("IMPORTRANGE(""https://docs.google.com/spreadsheets/d/1ItG2mGa2ceCfYo0BwxsXqNm01IGEUdYcSSLTEv9YCik/edit?usp=sharing"",""เบิกจ่ายกองทุน!DG75"")"),0)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IFERROR(__xludf.DUMMYFUNCTION("IMPORTRANGE(""https://docs.google.com/spreadsheets/d/1ItG2mGa2ceCfYo0BwxsXqNm01IGEUdYcSSLTEv9YCik/edit?usp=sharing"",""เบิกจ่ายกองทุน!DH75"")"),0)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IFERROR(__xludf.DUMMYFUNCTION("IMPORTRANGE(""https://docs.google.com/spreadsheets/d/1ItG2mGa2ceCfYo0BwxsXqNm01IGEUdYcSSLTEv9YCik/edit?usp=sharing"",""เบิกจ่ายกองทุน!DI75"")"),0)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IFERROR(__xludf.DUMMYFUNCTION("IMPORTRANGE(""https://docs.google.com/spreadsheets/d/1-uDff_7J0KD5mKrp0Vvzr7lt3OU09vwQwhkpOPPYv2Y/edit?usp=sharing"",""งบพรบ!CN75"")"),0)</f>
        <v>0</v>
      </c>
      <c r="M181" s="47">
        <f ca="1">IFERROR(__xludf.DUMMYFUNCTION("IMPORTRANGE(""https://docs.google.com/spreadsheets/d/1-uDff_7J0KD5mKrp0Vvzr7lt3OU09vwQwhkpOPPYv2Y/edit?usp=sharing"",""งบพรบ!CQ75"")"),0)</f>
        <v>0</v>
      </c>
      <c r="N181" s="47">
        <f ca="1">IFERROR(__xludf.DUMMYFUNCTION("IMPORTRANGE(""https://docs.google.com/spreadsheets/d/1-uDff_7J0KD5mKrp0Vvzr7lt3OU09vwQwhkpOPPYv2Y/edit?usp=sharing"",""งบพรบ!CS75"")"),0)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IFERROR(__xludf.DUMMYFUNCTION("IMPORTRANGE(""https://docs.google.com/spreadsheets/d/1eHaY18a8A9IcSdp1K8H6x8fbOy06t2VsZHhMHf-1x7Y/edit?usp=sharing"",""แผน!AA75"")"),7)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9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112400</v>
      </c>
      <c r="M186" s="132">
        <f ca="1">M187+M188</f>
        <v>121100</v>
      </c>
      <c r="N186" s="132">
        <f ca="1">N187+N188</f>
        <v>97381</v>
      </c>
      <c r="O186" s="132">
        <f ca="1">IF(L186&gt;0,N186*100/L186,0)</f>
        <v>86.637900355871892</v>
      </c>
      <c r="P186" s="132">
        <f ca="1">IF(M186&gt;0,N186*100/M186,0)</f>
        <v>80.413707679603633</v>
      </c>
      <c r="Q186" s="132">
        <f ca="1">Q187+Q188</f>
        <v>42000</v>
      </c>
      <c r="R186" s="132">
        <f ca="1">R187+R188</f>
        <v>42000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112400</v>
      </c>
      <c r="M188" s="47">
        <f ca="1">M191+M194</f>
        <v>121100</v>
      </c>
      <c r="N188" s="47">
        <f ca="1">N191+N194</f>
        <v>97381</v>
      </c>
      <c r="O188" s="47">
        <f ca="1">IF(L188&gt;0,N188*100/L188,0)</f>
        <v>86.637900355871892</v>
      </c>
      <c r="P188" s="47">
        <f ca="1">IF(M188&gt;0,N188*100/M188,0)</f>
        <v>80.413707679603633</v>
      </c>
      <c r="Q188" s="47">
        <f ca="1">Q191+Q194</f>
        <v>42000</v>
      </c>
      <c r="R188" s="47">
        <f ca="1">R191+R194</f>
        <v>42000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112400</v>
      </c>
      <c r="M189" s="47">
        <f ca="1">M190+M191</f>
        <v>121100</v>
      </c>
      <c r="N189" s="47">
        <f ca="1">N190+N191</f>
        <v>97381</v>
      </c>
      <c r="O189" s="47">
        <f ca="1">IF(L189&gt;0,N189*100/L189,0)</f>
        <v>86.637900355871892</v>
      </c>
      <c r="P189" s="47">
        <f ca="1">IF(M189&gt;0,N189*100/M189,0)</f>
        <v>80.413707679603633</v>
      </c>
      <c r="Q189" s="47">
        <f ca="1">Q190+Q191</f>
        <v>42000</v>
      </c>
      <c r="R189" s="47">
        <f ca="1">R190+R191</f>
        <v>42000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IFERROR(__xludf.DUMMYFUNCTION("IMPORTRANGE(""https://docs.google.com/spreadsheets/d/1-uDff_7J0KD5mKrp0Vvzr7lt3OU09vwQwhkpOPPYv2Y/edit?usp=sharing"",""งบพรบ!CU75"")"),112400)</f>
        <v>112400</v>
      </c>
      <c r="M191" s="47">
        <f ca="1">IFERROR(__xludf.DUMMYFUNCTION("IMPORTRANGE(""https://docs.google.com/spreadsheets/d/1-uDff_7J0KD5mKrp0Vvzr7lt3OU09vwQwhkpOPPYv2Y/edit?usp=sharing"",""งบพรบ!CZ75"")"),121100)</f>
        <v>121100</v>
      </c>
      <c r="N191" s="47">
        <f ca="1">IFERROR(__xludf.DUMMYFUNCTION("IMPORTRANGE(""https://docs.google.com/spreadsheets/d/1-uDff_7J0KD5mKrp0Vvzr7lt3OU09vwQwhkpOPPYv2Y/edit?usp=sharing"",""งบพรบ!DB75"")"),97381)</f>
        <v>97381</v>
      </c>
      <c r="O191" s="47">
        <f ca="1">IF(L191&gt;0,N191*100/L191,0)</f>
        <v>86.637900355871892</v>
      </c>
      <c r="P191" s="47">
        <f ca="1">IF(M191&gt;0,N191*100/M191,0)</f>
        <v>80.413707679603633</v>
      </c>
      <c r="Q191" s="47">
        <f ca="1">IFERROR(__xludf.DUMMYFUNCTION("IMPORTRANGE(""https://docs.google.com/spreadsheets/d/1ItG2mGa2ceCfYo0BwxsXqNm01IGEUdYcSSLTEv9YCik/edit?usp=sharing"",""เบิกจ่ายกองทุน!BQ75"")"),42000)</f>
        <v>42000</v>
      </c>
      <c r="R191" s="47">
        <f ca="1">IFERROR(__xludf.DUMMYFUNCTION("IMPORTRANGE(""https://docs.google.com/spreadsheets/d/1ItG2mGa2ceCfYo0BwxsXqNm01IGEUdYcSSLTEv9YCik/edit?usp=sharing"",""เบิกจ่ายกองทุน!BR75"")"),42000)</f>
        <v>42000</v>
      </c>
      <c r="S191" s="47">
        <f ca="1">IFERROR(__xludf.DUMMYFUNCTION("IMPORTRANGE(""https://docs.google.com/spreadsheets/d/1ItG2mGa2ceCfYo0BwxsXqNm01IGEUdYcSSLTEv9YCik/edit?usp=sharing"",""เบิกจ่ายกองทุน!BS75"")"),0)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IFERROR(__xludf.DUMMYFUNCTION("IMPORTRANGE(""https://docs.google.com/spreadsheets/d/1-uDff_7J0KD5mKrp0Vvzr7lt3OU09vwQwhkpOPPYv2Y/edit?usp=sharing"",""งบพรบ!CX75"")"),0)</f>
        <v>0</v>
      </c>
      <c r="M194" s="47">
        <f ca="1">IFERROR(__xludf.DUMMYFUNCTION("IMPORTRANGE(""https://docs.google.com/spreadsheets/d/1-uDff_7J0KD5mKrp0Vvzr7lt3OU09vwQwhkpOPPYv2Y/edit?usp=sharing"",""งบพรบ!DA75"")"),0)</f>
        <v>0</v>
      </c>
      <c r="N194" s="47">
        <f ca="1">IFERROR(__xludf.DUMMYFUNCTION("IMPORTRANGE(""https://docs.google.com/spreadsheets/d/1-uDff_7J0KD5mKrp0Vvzr7lt3OU09vwQwhkpOPPYv2Y/edit?usp=sharing"",""งบพรบ!DC75"")"),0)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IFERROR(__xludf.DUMMYFUNCTION("IMPORTRANGE(""https://docs.google.com/spreadsheets/d/1ItG2mGa2ceCfYo0BwxsXqNm01IGEUdYcSSLTEv9YCik/edit?usp=sharing"",""เบิกจ่ายกองทุน!BT75"")"),0)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IFERROR(__xludf.DUMMYFUNCTION("IMPORTRANGE(""https://docs.google.com/spreadsheets/d/1ItG2mGa2ceCfYo0BwxsXqNm01IGEUdYcSSLTEv9YCik/edit?usp=sharing"",""เบิกจ่ายกองทุน!BU75"")"),0)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IFERROR(__xludf.DUMMYFUNCTION("IMPORTRANGE(""https://docs.google.com/spreadsheets/d/1ItG2mGa2ceCfYo0BwxsXqNm01IGEUdYcSSLTEv9YCik/edit?usp=sharing"",""เบิกจ่ายกองทุน!BV75"")"),0)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4</v>
      </c>
      <c r="K195" s="229">
        <f ca="1">IF(I195&gt;0,J195*100/I195,0)</f>
        <v>100</v>
      </c>
      <c r="L195" s="687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IFERROR(__xludf.DUMMYFUNCTION("IMPORTRANGE(""https://docs.google.com/spreadsheets/d/1eHaY18a8A9IcSdp1K8H6x8fbOy06t2VsZHhMHf-1x7Y/edit?usp=sharing"",""แผน!AB75"")"),6000)</f>
        <v>6000</v>
      </c>
      <c r="M196" s="46"/>
      <c r="N196" s="769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IFERROR(__xludf.DUMMYFUNCTION("IMPORTRANGE(""https://docs.google.com/spreadsheets/d/1eHaY18a8A9IcSdp1K8H6x8fbOy06t2VsZHhMHf-1x7Y/edit?usp=sharing"",""แผน!AE75"")"),4)</f>
        <v>4</v>
      </c>
      <c r="J198" s="167">
        <v>4</v>
      </c>
      <c r="K198" s="47">
        <f ca="1">IF(I198&gt;0,J198*100/I198,0)</f>
        <v>100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3</v>
      </c>
      <c r="J202" s="228">
        <f>J209</f>
        <v>0</v>
      </c>
      <c r="K202" s="229">
        <f ca="1">IF(I202&gt;0,J202*100/I202,0)</f>
        <v>0</v>
      </c>
      <c r="L202" s="687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 t="e">
        <f ca="1">L204+L205+L206+L207</f>
        <v>#VALUE!</v>
      </c>
      <c r="M203" s="46"/>
      <c r="N203" s="132">
        <f>N204+N205+N206+N207</f>
        <v>1000</v>
      </c>
      <c r="O203" s="132" t="e">
        <f ca="1">IF(L203&gt;0,N203*100/L203,0)</f>
        <v>#VALUE!</v>
      </c>
      <c r="P203" s="132">
        <f>IF(M203&gt;0,N203*100/M203,0)</f>
        <v>0</v>
      </c>
      <c r="Q203" s="768">
        <f ca="1">Q204+Q205+Q206+Q207</f>
        <v>42000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IFERROR(__xludf.DUMMYFUNCTION("IMPORTRANGE(""https://docs.google.com/spreadsheets/d/1eHaY18a8A9IcSdp1K8H6x8fbOy06t2VsZHhMHf-1x7Y/edit?usp=sharing"",""แผน!AG75"")"),3000)</f>
        <v>3000</v>
      </c>
      <c r="M204" s="46"/>
      <c r="N204" s="743">
        <v>1000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IFERROR(__xludf.DUMMYFUNCTION("IMPORTRANGE(""https://docs.google.com/spreadsheets/d/1eHaY18a8A9IcSdp1K8H6x8fbOy06t2VsZHhMHf-1x7Y/edit?usp=sharing"",""แผน!AH75"")"),0)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 t="str">
        <f ca="1">IFERROR(__xludf.DUMMYFUNCTION("IMPORTRANGE(""https://docs.google.com/spreadsheets/d/1eHaY18a8A9IcSdp1K8H6x8fbOy06t2VsZHhMHf-1x7Y/edit?usp=sharing"",""แผน!AI75"")"),"")</f>
        <v/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IFERROR(__xludf.DUMMYFUNCTION("IMPORTRANGE(""https://docs.google.com/spreadsheets/d/1eHaY18a8A9IcSdp1K8H6x8fbOy06t2VsZHhMHf-1x7Y/edit?usp=sharing"",""แผน!LV75"")"),42000)</f>
        <v>42000</v>
      </c>
      <c r="R206" s="46"/>
      <c r="S206" s="743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IFERROR(__xludf.DUMMYFUNCTION("IMPORTRANGE(""https://docs.google.com/spreadsheets/d/1eHaY18a8A9IcSdp1K8H6x8fbOy06t2VsZHhMHf-1x7Y/edit?usp=sharing"",""แผน!AJ75"")"),12000)</f>
        <v>12000</v>
      </c>
      <c r="M207" s="46"/>
      <c r="N207" s="743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IFERROR(__xludf.DUMMYFUNCTION("IMPORTRANGE(""https://docs.google.com/spreadsheets/d/1eHaY18a8A9IcSdp1K8H6x8fbOy06t2VsZHhMHf-1x7Y/edit?usp=sharing"",""แผน!AK75"")"),3)</f>
        <v>3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IFERROR(__xludf.DUMMYFUNCTION("IMPORTRANGE(""https://docs.google.com/spreadsheets/d/1eHaY18a8A9IcSdp1K8H6x8fbOy06t2VsZHhMHf-1x7Y/edit?usp=sharing"",""แผน!JX75"")"),3)</f>
        <v>3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IFERROR(__xludf.DUMMYFUNCTION("IMPORTRANGE(""https://docs.google.com/spreadsheets/d/1eHaY18a8A9IcSdp1K8H6x8fbOy06t2VsZHhMHf-1x7Y/edit?usp=sharing"",""แผน!JY75"")"),0)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7"/>
      <c r="M213" s="230"/>
      <c r="N213" s="230"/>
      <c r="O213" s="230"/>
      <c r="P213" s="230"/>
      <c r="Q213" s="687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IFERROR(__xludf.DUMMYFUNCTION("IMPORTRANGE(""https://docs.google.com/spreadsheets/d/1eHaY18a8A9IcSdp1K8H6x8fbOy06t2VsZHhMHf-1x7Y/edit?usp=sharing"",""แผน!AM75"")"),0)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IFERROR(__xludf.DUMMYFUNCTION("IMPORTRANGE(""https://docs.google.com/spreadsheets/d/1eHaY18a8A9IcSdp1K8H6x8fbOy06t2VsZHhMHf-1x7Y/edit?usp=sharing"",""แผน!AN75"")"),0)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IFERROR(__xludf.DUMMYFUNCTION("IMPORTRANGE(""https://docs.google.com/spreadsheets/d/1eHaY18a8A9IcSdp1K8H6x8fbOy06t2VsZHhMHf-1x7Y/edit?usp=sharing"",""แผน!AO75"")"),0)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IFERROR(__xludf.DUMMYFUNCTION("IMPORTRANGE(""https://docs.google.com/spreadsheets/d/1eHaY18a8A9IcSdp1K8H6x8fbOy06t2VsZHhMHf-1x7Y/edit?usp=sharing"",""แผน!LY75"")"),0)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IFERROR(__xludf.DUMMYFUNCTION("IMPORTRANGE(""https://docs.google.com/spreadsheets/d/1eHaY18a8A9IcSdp1K8H6x8fbOy06t2VsZHhMHf-1x7Y/edit?usp=sharing"",""แผน!AP75"")"),0)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IFERROR(__xludf.DUMMYFUNCTION("IMPORTRANGE(""https://docs.google.com/spreadsheets/d/1eHaY18a8A9IcSdp1K8H6x8fbOy06t2VsZHhMHf-1x7Y/edit?usp=sharing"",""แผน!AP75"")"),0)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50000</v>
      </c>
      <c r="J221" s="228">
        <f>J229</f>
        <v>0</v>
      </c>
      <c r="K221" s="229">
        <f ca="1">IF(I221&gt;0,J221*100/I221,0)</f>
        <v>0</v>
      </c>
      <c r="L221" s="687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8500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IFERROR(__xludf.DUMMYFUNCTION("IMPORTRANGE(""https://docs.google.com/spreadsheets/d/1eHaY18a8A9IcSdp1K8H6x8fbOy06t2VsZHhMHf-1x7Y/edit?usp=sharing"",""แผน!AR75"")"),7000)</f>
        <v>7000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IFERROR(__xludf.DUMMYFUNCTION("IMPORTRANGE(""https://docs.google.com/spreadsheets/d/1eHaY18a8A9IcSdp1K8H6x8fbOy06t2VsZHhMHf-1x7Y/edit?usp=sharing"",""แผน!AS75"")"),1500)</f>
        <v>1500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IFERROR(__xludf.DUMMYFUNCTION("IMPORTRANGE(""https://docs.google.com/spreadsheets/d/1eHaY18a8A9IcSdp1K8H6x8fbOy06t2VsZHhMHf-1x7Y/edit?usp=sharing"",""แผน!AT75"")"),0)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IFERROR(__xludf.DUMMYFUNCTION("IMPORTRANGE(""https://docs.google.com/spreadsheets/d/1eHaY18a8A9IcSdp1K8H6x8fbOy06t2VsZHhMHf-1x7Y/edit?usp=sharing"",""แผน!AV75"")"),50000)</f>
        <v>50000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IFERROR(__xludf.DUMMYFUNCTION("IMPORTRANGE(""https://docs.google.com/spreadsheets/d/1eHaY18a8A9IcSdp1K8H6x8fbOy06t2VsZHhMHf-1x7Y/edit?usp=sharing"",""แผน!AV75"")"),50000)</f>
        <v>50000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IFERROR(__xludf.DUMMYFUNCTION("IMPORTRANGE(""https://docs.google.com/spreadsheets/d/1eHaY18a8A9IcSdp1K8H6x8fbOy06t2VsZHhMHf-1x7Y/edit?usp=sharing"",""แผน!AU75"")"),0)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7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1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7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IFERROR(__xludf.DUMMYFUNCTION("IMPORTRANGE(""https://docs.google.com/spreadsheets/d/1eHaY18a8A9IcSdp1K8H6x8fbOy06t2VsZHhMHf-1x7Y/edit?usp=sharing"",""แผน!AX75"")"),0)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IFERROR(__xludf.DUMMYFUNCTION("IMPORTRANGE(""https://docs.google.com/spreadsheets/d/1eHaY18a8A9IcSdp1K8H6x8fbOy06t2VsZHhMHf-1x7Y/edit?usp=sharing"",""แผน!AY75"")"),0)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IFERROR(__xludf.DUMMYFUNCTION("IMPORTRANGE(""https://docs.google.com/spreadsheets/d/1eHaY18a8A9IcSdp1K8H6x8fbOy06t2VsZHhMHf-1x7Y/edit?usp=sharing"",""แผน!AZ75"")"),0)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IFERROR(__xludf.DUMMYFUNCTION("IMPORTRANGE(""https://docs.google.com/spreadsheets/d/1eHaY18a8A9IcSdp1K8H6x8fbOy06t2VsZHhMHf-1x7Y/edit?usp=sharing"",""แผน!BA75"")"),0)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1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IFERROR(__xludf.DUMMYFUNCTION("IMPORTRANGE(""https://docs.google.com/spreadsheets/d/1eHaY18a8A9IcSdp1K8H6x8fbOy06t2VsZHhMHf-1x7Y/edit?usp=sharing"",""แผน!BG75"")"),0)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7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IFERROR(__xludf.DUMMYFUNCTION("IMPORTRANGE(""https://docs.google.com/spreadsheets/d/1eHaY18a8A9IcSdp1K8H6x8fbOy06t2VsZHhMHf-1x7Y/edit?usp=sharing"",""แผน!BB75"")"),0)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IFERROR(__xludf.DUMMYFUNCTION("IMPORTRANGE(""https://docs.google.com/spreadsheets/d/1eHaY18a8A9IcSdp1K8H6x8fbOy06t2VsZHhMHf-1x7Y/edit?usp=sharing"",""แผน!BC75"")"),0)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IFERROR(__xludf.DUMMYFUNCTION("IMPORTRANGE(""https://docs.google.com/spreadsheets/d/1eHaY18a8A9IcSdp1K8H6x8fbOy06t2VsZHhMHf-1x7Y/edit?usp=sharing"",""แผน!BD75"")"),0)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IFERROR(__xludf.DUMMYFUNCTION("IMPORTRANGE(""https://docs.google.com/spreadsheets/d/1eHaY18a8A9IcSdp1K8H6x8fbOy06t2VsZHhMHf-1x7Y/edit?usp=sharing"",""แผน!BE75"")"),0)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1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IFERROR(__xludf.DUMMYFUNCTION("IMPORTRANGE(""https://docs.google.com/spreadsheets/d/1eHaY18a8A9IcSdp1K8H6x8fbOy06t2VsZHhMHf-1x7Y/edit?usp=sharing"",""แผน!BH75"")"),0)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22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618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2140</v>
      </c>
      <c r="O266" s="421">
        <f ca="1">IF(L266&gt;0,N266*100/L266,0)</f>
        <v>42.8</v>
      </c>
      <c r="P266" s="421">
        <f ca="1">IF(M266&gt;0,N266*100/M266,0)</f>
        <v>42.8</v>
      </c>
      <c r="Q266" s="421">
        <f ca="1">Q267+Q268</f>
        <v>50660</v>
      </c>
      <c r="R266" s="421">
        <f ca="1">R267+R268</f>
        <v>50660</v>
      </c>
      <c r="S266" s="421">
        <f ca="1">S267+S268</f>
        <v>37570</v>
      </c>
      <c r="T266" s="421">
        <f ca="1">IF(Q266&gt;0,S266*100/Q266,0)</f>
        <v>74.161073825503351</v>
      </c>
      <c r="U266" s="421">
        <f ca="1">IF(R266&gt;0,S266*100/R266,0)</f>
        <v>74.161073825503351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2140</v>
      </c>
      <c r="O268" s="331">
        <f ca="1">IF(L268&gt;0,N268*100/L268,0)</f>
        <v>42.8</v>
      </c>
      <c r="P268" s="331">
        <f ca="1">IF(M268&gt;0,N268*100/M268,0)</f>
        <v>42.8</v>
      </c>
      <c r="Q268" s="331">
        <f ca="1">Q271+Q274</f>
        <v>50660</v>
      </c>
      <c r="R268" s="331">
        <f ca="1">R271+R274</f>
        <v>50660</v>
      </c>
      <c r="S268" s="331">
        <f ca="1">S271+S274</f>
        <v>37570</v>
      </c>
      <c r="T268" s="331">
        <f ca="1">IF(Q268&gt;0,S268*100/Q268,0)</f>
        <v>74.161073825503351</v>
      </c>
      <c r="U268" s="331">
        <f ca="1">IF(R268&gt;0,S268*100/R268,0)</f>
        <v>74.161073825503351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2140</v>
      </c>
      <c r="O269" s="331">
        <f ca="1">IF(L269&gt;0,N269*100/L269,0)</f>
        <v>42.8</v>
      </c>
      <c r="P269" s="331">
        <f ca="1">IF(M269&gt;0,N269*100/M269,0)</f>
        <v>42.8</v>
      </c>
      <c r="Q269" s="331">
        <f ca="1">Q270+Q271</f>
        <v>50660</v>
      </c>
      <c r="R269" s="331">
        <f ca="1">R270+R271</f>
        <v>50660</v>
      </c>
      <c r="S269" s="331">
        <f ca="1">S270+S271</f>
        <v>37570</v>
      </c>
      <c r="T269" s="331">
        <f ca="1">IF(Q269&gt;0,S269*100/Q269,0)</f>
        <v>74.161073825503351</v>
      </c>
      <c r="U269" s="331">
        <f ca="1">IF(R269&gt;0,S269*100/R269,0)</f>
        <v>74.161073825503351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IFERROR(__xludf.DUMMYFUNCTION("IMPORTRANGE(""https://docs.google.com/spreadsheets/d/1-uDff_7J0KD5mKrp0Vvzr7lt3OU09vwQwhkpOPPYv2Y/edit?usp=sharing"",""งบพรบ!DE75"")"),5000)</f>
        <v>5000</v>
      </c>
      <c r="M271" s="331">
        <f ca="1">IFERROR(__xludf.DUMMYFUNCTION("IMPORTRANGE(""https://docs.google.com/spreadsheets/d/1-uDff_7J0KD5mKrp0Vvzr7lt3OU09vwQwhkpOPPYv2Y/edit?usp=sharing"",""งบพรบ!DJ75"")"),5000)</f>
        <v>5000</v>
      </c>
      <c r="N271" s="331">
        <f ca="1">IFERROR(__xludf.DUMMYFUNCTION("IMPORTRANGE(""https://docs.google.com/spreadsheets/d/1-uDff_7J0KD5mKrp0Vvzr7lt3OU09vwQwhkpOPPYv2Y/edit?usp=sharing"",""งบพรบ!DL75"")"),2140)</f>
        <v>2140</v>
      </c>
      <c r="O271" s="331">
        <f ca="1">IF(L271&gt;0,N271*100/L271,0)</f>
        <v>42.8</v>
      </c>
      <c r="P271" s="331">
        <f ca="1">IF(M271&gt;0,N271*100/M271,0)</f>
        <v>42.8</v>
      </c>
      <c r="Q271" s="331">
        <f ca="1">IFERROR(__xludf.DUMMYFUNCTION("IMPORTRANGE(""https://docs.google.com/spreadsheets/d/1ItG2mGa2ceCfYo0BwxsXqNm01IGEUdYcSSLTEv9YCik/edit?usp=sharing"",""เบิกจ่ายกองทุน!AP75"")"),50660)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IFERROR(__xludf.DUMMYFUNCTION("IMPORTRANGE(""https://docs.google.com/spreadsheets/d/1ItG2mGa2ceCfYo0BwxsXqNm01IGEUdYcSSLTEv9YCik/edit?usp=sharing"",""เบิกจ่ายกองทุน!AQ75"")"),50660)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IFERROR(__xludf.DUMMYFUNCTION("IMPORTRANGE(""https://docs.google.com/spreadsheets/d/1ItG2mGa2ceCfYo0BwxsXqNm01IGEUdYcSSLTEv9YCik/edit?usp=sharing"",""เบิกจ่ายกองทุน!AR75"")"),37570)</f>
        <v>37570</v>
      </c>
      <c r="T271" s="331">
        <f ca="1">IF(Q271&gt;0,S271*100/Q271,0)</f>
        <v>74.161073825503351</v>
      </c>
      <c r="U271" s="331">
        <f ca="1">IF(R271&gt;0,S271*100/R271,0)</f>
        <v>74.161073825503351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IFERROR(__xludf.DUMMYFUNCTION("IMPORTRANGE(""https://docs.google.com/spreadsheets/d/1-uDff_7J0KD5mKrp0Vvzr7lt3OU09vwQwhkpOPPYv2Y/edit?usp=sharing"",""งบพรบ!DH75"")"),0)</f>
        <v>0</v>
      </c>
      <c r="M274" s="331">
        <f ca="1">IFERROR(__xludf.DUMMYFUNCTION("IMPORTRANGE(""https://docs.google.com/spreadsheets/d/1-uDff_7J0KD5mKrp0Vvzr7lt3OU09vwQwhkpOPPYv2Y/edit?usp=sharing"",""งบพรบ!DK75"")"),0)</f>
        <v>0</v>
      </c>
      <c r="N274" s="331">
        <f ca="1">IFERROR(__xludf.DUMMYFUNCTION("IMPORTRANGE(""https://docs.google.com/spreadsheets/d/1-uDff_7J0KD5mKrp0Vvzr7lt3OU09vwQwhkpOPPYv2Y/edit?usp=sharing"",""งบพรบ!DM75"")"),0)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423" t="s">
        <v>18</v>
      </c>
      <c r="D275" s="617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IFERROR(__xludf.DUMMYFUNCTION("IMPORTRANGE(""https://docs.google.com/spreadsheets/d/1eHaY18a8A9IcSdp1K8H6x8fbOy06t2VsZHhMHf-1x7Y/edit?usp=sharing"",""แผน!EC75"")"),22)</f>
        <v>22</v>
      </c>
      <c r="J276" s="175">
        <v>22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IFERROR(__xludf.DUMMYFUNCTION("IMPORTRANGE(""https://docs.google.com/spreadsheets/d/1-uDff_7J0KD5mKrp0Vvzr7lt3OU09vwQwhkpOPPYv2Y/edit?usp=sharing"",""งบพรบ!DO75"")"),0)</f>
        <v>0</v>
      </c>
      <c r="M287" s="47">
        <f ca="1">IFERROR(__xludf.DUMMYFUNCTION("IMPORTRANGE(""https://docs.google.com/spreadsheets/d/1-uDff_7J0KD5mKrp0Vvzr7lt3OU09vwQwhkpOPPYv2Y/edit?usp=sharing"",""งบพรบ!DT75"")"),0)</f>
        <v>0</v>
      </c>
      <c r="N287" s="47">
        <f ca="1">IFERROR(__xludf.DUMMYFUNCTION("IMPORTRANGE(""https://docs.google.com/spreadsheets/d/1-uDff_7J0KD5mKrp0Vvzr7lt3OU09vwQwhkpOPPYv2Y/edit?usp=sharing"",""งบพรบ!DV75"")"),0)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IFERROR(__xludf.DUMMYFUNCTION("IMPORTRANGE(""https://docs.google.com/spreadsheets/d/1-uDff_7J0KD5mKrp0Vvzr7lt3OU09vwQwhkpOPPYv2Y/edit?usp=sharing"",""งบพรบ!DR75"")"),0)</f>
        <v>0</v>
      </c>
      <c r="M290" s="47">
        <f ca="1">IFERROR(__xludf.DUMMYFUNCTION("IMPORTRANGE(""https://docs.google.com/spreadsheets/d/1-uDff_7J0KD5mKrp0Vvzr7lt3OU09vwQwhkpOPPYv2Y/edit?usp=sharing"",""งบพรบ!DU75"")"),0)</f>
        <v>0</v>
      </c>
      <c r="N290" s="47">
        <f ca="1">IFERROR(__xludf.DUMMYFUNCTION("IMPORTRANGE(""https://docs.google.com/spreadsheets/d/1-uDff_7J0KD5mKrp0Vvzr7lt3OU09vwQwhkpOPPYv2Y/edit?usp=sharing"",""งบพรบ!DW75"")"),0)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IFERROR(__xludf.DUMMYFUNCTION("IMPORTRANGE(""https://docs.google.com/spreadsheets/d/1eHaY18a8A9IcSdp1K8H6x8fbOy06t2VsZHhMHf-1x7Y/edit?usp=sharing"",""แผน!EE75"")"),0)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IFERROR(__xludf.DUMMYFUNCTION("IMPORTRANGE(""https://docs.google.com/spreadsheets/d/1eHaY18a8A9IcSdp1K8H6x8fbOy06t2VsZHhMHf-1x7Y/edit?usp=sharing"",""แผน!ED75"")"),0)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IFERROR(__xludf.DUMMYFUNCTION("IMPORTRANGE(""https://docs.google.com/spreadsheets/d/1eHaY18a8A9IcSdp1K8H6x8fbOy06t2VsZHhMHf-1x7Y/edit?usp=sharing"",""แผน!ED75"")"),0)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IFERROR(__xludf.DUMMYFUNCTION("IMPORTRANGE(""https://docs.google.com/spreadsheets/d/1eHaY18a8A9IcSdp1K8H6x8fbOy06t2VsZHhMHf-1x7Y/edit?usp=sharing"",""แผน!ED75"")"),0)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1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1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hidden="1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700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hidden="1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hidden="1" x14ac:dyDescent="0.3">
      <c r="A303" s="128"/>
      <c r="B303" s="41"/>
      <c r="C303" s="129" t="s">
        <v>18</v>
      </c>
      <c r="D303" s="59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0</v>
      </c>
      <c r="R305" s="47">
        <f ca="1">R308+R311</f>
        <v>0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hidden="1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IFERROR(__xludf.DUMMYFUNCTION("IMPORTRANGE(""https://docs.google.com/spreadsheets/d/1-uDff_7J0KD5mKrp0Vvzr7lt3OU09vwQwhkpOPPYv2Y/edit?usp=sharing"",""งบพรบ!DY75"")"),0)</f>
        <v>0</v>
      </c>
      <c r="M308" s="47">
        <f ca="1">IFERROR(__xludf.DUMMYFUNCTION("IMPORTRANGE(""https://docs.google.com/spreadsheets/d/1-uDff_7J0KD5mKrp0Vvzr7lt3OU09vwQwhkpOPPYv2Y/edit?usp=sharing"",""งบพรบ!ED75"")"),0)</f>
        <v>0</v>
      </c>
      <c r="N308" s="47">
        <f ca="1">IFERROR(__xludf.DUMMYFUNCTION("IMPORTRANGE(""https://docs.google.com/spreadsheets/d/1-uDff_7J0KD5mKrp0Vvzr7lt3OU09vwQwhkpOPPYv2Y/edit?usp=sharing"",""งบพรบ!EF75"")"),0)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IFERROR(__xludf.DUMMYFUNCTION("IMPORTRANGE(""https://docs.google.com/spreadsheets/d/1ItG2mGa2ceCfYo0BwxsXqNm01IGEUdYcSSLTEv9YCik/edit?usp=sharing"",""เบิกจ่ายกองทุน!BB75"")"),0)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IFERROR(__xludf.DUMMYFUNCTION("IMPORTRANGE(""https://docs.google.com/spreadsheets/d/1ItG2mGa2ceCfYo0BwxsXqNm01IGEUdYcSSLTEv9YCik/edit?usp=sharing"",""เบิกจ่ายกองทุน!BC75"")"),0)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IFERROR(__xludf.DUMMYFUNCTION("IMPORTRANGE(""https://docs.google.com/spreadsheets/d/1ItG2mGa2ceCfYo0BwxsXqNm01IGEUdYcSSLTEv9YCik/edit?usp=sharing"",""เบิกจ่ายกองทุน!BD75"")"),0)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hidden="1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IFERROR(__xludf.DUMMYFUNCTION("IMPORTRANGE(""https://docs.google.com/spreadsheets/d/1-uDff_7J0KD5mKrp0Vvzr7lt3OU09vwQwhkpOPPYv2Y/edit?usp=sharing"",""งบพรบ!EB75"")"),0)</f>
        <v>0</v>
      </c>
      <c r="M311" s="47">
        <f ca="1">IFERROR(__xludf.DUMMYFUNCTION("IMPORTRANGE(""https://docs.google.com/spreadsheets/d/1-uDff_7J0KD5mKrp0Vvzr7lt3OU09vwQwhkpOPPYv2Y/edit?usp=sharing"",""งบพรบ!EE75"")"),0)</f>
        <v>0</v>
      </c>
      <c r="N311" s="47">
        <f ca="1">IFERROR(__xludf.DUMMYFUNCTION("IMPORTRANGE(""https://docs.google.com/spreadsheets/d/1-uDff_7J0KD5mKrp0Vvzr7lt3OU09vwQwhkpOPPYv2Y/edit?usp=sharing"",""งบพรบ!EG75"")"),0)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hidden="1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9"/>
      <c r="E313" s="19"/>
      <c r="F313" s="19"/>
      <c r="G313" s="20"/>
      <c r="H313" s="20"/>
      <c r="I313" s="21"/>
      <c r="J313" s="707"/>
      <c r="K313" s="22"/>
      <c r="L313" s="701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IFERROR(__xludf.DUMMYFUNCTION("IMPORTRANGE(""https://docs.google.com/spreadsheets/d/1eHaY18a8A9IcSdp1K8H6x8fbOy06t2VsZHhMHf-1x7Y/edit?usp=sharing"",""แผน!EF75"")"),0)</f>
        <v>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9"/>
      <c r="E315" s="19"/>
      <c r="F315" s="19"/>
      <c r="G315" s="20"/>
      <c r="H315" s="708"/>
      <c r="I315" s="707"/>
      <c r="J315" s="707"/>
      <c r="K315" s="706"/>
      <c r="L315" s="701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9"/>
      <c r="E316" s="19"/>
      <c r="F316" s="19"/>
      <c r="G316" s="20"/>
      <c r="H316" s="708"/>
      <c r="I316" s="707"/>
      <c r="J316" s="707"/>
      <c r="K316" s="706"/>
      <c r="L316" s="701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5"/>
      <c r="E317" s="19"/>
      <c r="F317" s="19"/>
      <c r="G317" s="20"/>
      <c r="H317" s="704"/>
      <c r="I317" s="703"/>
      <c r="J317" s="703"/>
      <c r="K317" s="702"/>
      <c r="L317" s="701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700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1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59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235000</v>
      </c>
      <c r="M320" s="132">
        <f ca="1">M321+M322</f>
        <v>235000</v>
      </c>
      <c r="N320" s="132">
        <f ca="1">N321+N322</f>
        <v>85930</v>
      </c>
      <c r="O320" s="132">
        <f ca="1">IF(L320&gt;0,N320*100/L320,0)</f>
        <v>36.565957446808511</v>
      </c>
      <c r="P320" s="132">
        <f ca="1">IF(M320&gt;0,N320*100/M320,0)</f>
        <v>36.565957446808511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235000</v>
      </c>
      <c r="M322" s="47">
        <f ca="1">M325+M328</f>
        <v>235000</v>
      </c>
      <c r="N322" s="47">
        <f ca="1">N325+N328</f>
        <v>85930</v>
      </c>
      <c r="O322" s="47">
        <f ca="1">IF(L322&gt;0,N322*100/L322,0)</f>
        <v>36.565957446808511</v>
      </c>
      <c r="P322" s="47">
        <f ca="1">IF(M322&gt;0,N322*100/M322,0)</f>
        <v>36.565957446808511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235000</v>
      </c>
      <c r="M323" s="47">
        <f ca="1">M324+M325</f>
        <v>235000</v>
      </c>
      <c r="N323" s="47">
        <f ca="1">N324+N325</f>
        <v>85930</v>
      </c>
      <c r="O323" s="47">
        <f ca="1">IF(L323&gt;0,N323*100/L323,0)</f>
        <v>36.565957446808511</v>
      </c>
      <c r="P323" s="47">
        <f ca="1">IF(M323&gt;0,N323*100/M323,0)</f>
        <v>36.565957446808511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IFERROR(__xludf.DUMMYFUNCTION("IMPORTRANGE(""https://docs.google.com/spreadsheets/d/1-uDff_7J0KD5mKrp0Vvzr7lt3OU09vwQwhkpOPPYv2Y/edit?usp=sharing"",""งบพรบ!EI75"")"),235000)</f>
        <v>235000</v>
      </c>
      <c r="M325" s="47">
        <f ca="1">IFERROR(__xludf.DUMMYFUNCTION("IMPORTRANGE(""https://docs.google.com/spreadsheets/d/1-uDff_7J0KD5mKrp0Vvzr7lt3OU09vwQwhkpOPPYv2Y/edit?usp=sharing"",""งบพรบ!EN75"")"),235000)</f>
        <v>235000</v>
      </c>
      <c r="N325" s="47">
        <f ca="1">IFERROR(__xludf.DUMMYFUNCTION("IMPORTRANGE(""https://docs.google.com/spreadsheets/d/1-uDff_7J0KD5mKrp0Vvzr7lt3OU09vwQwhkpOPPYv2Y/edit?usp=sharing"",""งบพรบ!EP75"")"),85930)</f>
        <v>85930</v>
      </c>
      <c r="O325" s="47">
        <f ca="1">IF(L325&gt;0,N325*100/L325,0)</f>
        <v>36.565957446808511</v>
      </c>
      <c r="P325" s="47">
        <f ca="1">IF(M325&gt;0,N325*100/M325,0)</f>
        <v>36.565957446808511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IFERROR(__xludf.DUMMYFUNCTION("IMPORTRANGE(""https://docs.google.com/spreadsheets/d/1-uDff_7J0KD5mKrp0Vvzr7lt3OU09vwQwhkpOPPYv2Y/edit?usp=sharing"",""งบพรบ!EL75"")"),0)</f>
        <v>0</v>
      </c>
      <c r="M328" s="47">
        <f ca="1">IFERROR(__xludf.DUMMYFUNCTION("IMPORTRANGE(""https://docs.google.com/spreadsheets/d/1-uDff_7J0KD5mKrp0Vvzr7lt3OU09vwQwhkpOPPYv2Y/edit?usp=sharing"",""งบพรบ!EO75"")"),0)</f>
        <v>0</v>
      </c>
      <c r="N328" s="47">
        <f ca="1">IFERROR(__xludf.DUMMYFUNCTION("IMPORTRANGE(""https://docs.google.com/spreadsheets/d/1-uDff_7J0KD5mKrp0Vvzr7lt3OU09vwQwhkpOPPYv2Y/edit?usp=sharing"",""งบพรบ!EQ75"")"),0)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IFERROR(__xludf.DUMMYFUNCTION("IMPORTRANGE(""https://docs.google.com/spreadsheets/d/1eHaY18a8A9IcSdp1K8H6x8fbOy06t2VsZHhMHf-1x7Y/edit?usp=sharing"",""แผน!EJ75"")"),1)</f>
        <v>1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700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9">
        <f ca="1">I344</f>
        <v>1340</v>
      </c>
      <c r="J332" s="698">
        <f ca="1">J344+J347+J348+J349+J353</f>
        <v>6484</v>
      </c>
      <c r="K332" s="697">
        <f ca="1">IF(I332&gt;0,J332*100/I332,0)</f>
        <v>483.8805970149254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9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183000</v>
      </c>
      <c r="M333" s="132">
        <f ca="1">M334+M335</f>
        <v>183000</v>
      </c>
      <c r="N333" s="132">
        <f ca="1">N334+N335</f>
        <v>97346.67</v>
      </c>
      <c r="O333" s="132">
        <f ca="1">IF(L333&gt;0,N333*100/L333,0)</f>
        <v>53.194901639344259</v>
      </c>
      <c r="P333" s="132">
        <f ca="1">IF(M333&gt;0,N333*100/M333,0)</f>
        <v>53.194901639344259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183000</v>
      </c>
      <c r="M335" s="47">
        <f ca="1">M338+M341</f>
        <v>183000</v>
      </c>
      <c r="N335" s="47">
        <f ca="1">N338+N341</f>
        <v>97346.67</v>
      </c>
      <c r="O335" s="47">
        <f ca="1">IF(L335&gt;0,N335*100/L335,0)</f>
        <v>53.194901639344259</v>
      </c>
      <c r="P335" s="47">
        <f ca="1">IF(M335&gt;0,N335*100/M335,0)</f>
        <v>53.194901639344259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183000</v>
      </c>
      <c r="M336" s="47">
        <f ca="1">M337+M338</f>
        <v>183000</v>
      </c>
      <c r="N336" s="47">
        <f ca="1">N337+N338</f>
        <v>97346.67</v>
      </c>
      <c r="O336" s="47">
        <f ca="1">IF(L336&gt;0,N336*100/L336,0)</f>
        <v>53.194901639344259</v>
      </c>
      <c r="P336" s="47">
        <f ca="1">IF(M336&gt;0,N336*100/M336,0)</f>
        <v>53.194901639344259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IFERROR(__xludf.DUMMYFUNCTION("IMPORTRANGE(""https://docs.google.com/spreadsheets/d/1-uDff_7J0KD5mKrp0Vvzr7lt3OU09vwQwhkpOPPYv2Y/edit?usp=sharing"",""งบพรบ!ES75"")"),183000)</f>
        <v>183000</v>
      </c>
      <c r="M338" s="47">
        <f ca="1">IFERROR(__xludf.DUMMYFUNCTION("IMPORTRANGE(""https://docs.google.com/spreadsheets/d/1-uDff_7J0KD5mKrp0Vvzr7lt3OU09vwQwhkpOPPYv2Y/edit?usp=sharing"",""งบพรบ!EX75"")"),183000)</f>
        <v>183000</v>
      </c>
      <c r="N338" s="47">
        <f ca="1">IFERROR(__xludf.DUMMYFUNCTION("IMPORTRANGE(""https://docs.google.com/spreadsheets/d/1-uDff_7J0KD5mKrp0Vvzr7lt3OU09vwQwhkpOPPYv2Y/edit?usp=sharing"",""งบพรบ!EZ75"")"),97346.67)</f>
        <v>97346.67</v>
      </c>
      <c r="O338" s="47">
        <f ca="1">IF(L338&gt;0,N338*100/L338,0)</f>
        <v>53.194901639344259</v>
      </c>
      <c r="P338" s="47">
        <f ca="1">IF(M338&gt;0,N338*100/M338,0)</f>
        <v>53.194901639344259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IFERROR(__xludf.DUMMYFUNCTION("IMPORTRANGE(""https://docs.google.com/spreadsheets/d/1-uDff_7J0KD5mKrp0Vvzr7lt3OU09vwQwhkpOPPYv2Y/edit?usp=sharing"",""งบพรบ!EV75"")"),0)</f>
        <v>0</v>
      </c>
      <c r="M341" s="47">
        <f ca="1">IFERROR(__xludf.DUMMYFUNCTION("IMPORTRANGE(""https://docs.google.com/spreadsheets/d/1-uDff_7J0KD5mKrp0Vvzr7lt3OU09vwQwhkpOPPYv2Y/edit?usp=sharing"",""งบพรบ!EY75"")"),0)</f>
        <v>0</v>
      </c>
      <c r="N341" s="47">
        <f ca="1">IFERROR(__xludf.DUMMYFUNCTION("IMPORTRANGE(""https://docs.google.com/spreadsheets/d/1-uDff_7J0KD5mKrp0Vvzr7lt3OU09vwQwhkpOPPYv2Y/edit?usp=sharing"",""งบพรบ!FA75"")"),0)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6"/>
      <c r="B343" s="693"/>
      <c r="C343" s="695"/>
      <c r="D343" s="693"/>
      <c r="E343" s="694" t="s">
        <v>137</v>
      </c>
      <c r="F343" s="693"/>
      <c r="G343" s="692"/>
      <c r="H343" s="691" t="s">
        <v>35</v>
      </c>
      <c r="I343" s="690">
        <v>0</v>
      </c>
      <c r="J343" s="690">
        <f ca="1">J344+J347+J348+J349</f>
        <v>1730</v>
      </c>
      <c r="K343" s="689">
        <v>0</v>
      </c>
      <c r="L343" s="687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IFERROR(__xludf.DUMMYFUNCTION("IMPORTRANGE(""https://docs.google.com/spreadsheets/d/1eHaY18a8A9IcSdp1K8H6x8fbOy06t2VsZHhMHf-1x7Y/edit?usp=sharing"",""แผน!EK75"")"),1340)</f>
        <v>1340</v>
      </c>
      <c r="J344" s="152">
        <f ca="1">IFERROR(__xludf.DUMMYFUNCTION("IMPORTRANGE(""https://docs.google.com/spreadsheets/d/1awYsYK3VOup2i3Pq_Yjnu8DRu_mYwSBnCR2QPthd0rU/edit?usp=sharing"",""ศูนย์ยกเว้นโฉนด!D75"")"),1654)</f>
        <v>1654</v>
      </c>
      <c r="K344" s="47">
        <f ca="1">IF(I344&gt;0,J344*100/I344,0)</f>
        <v>123.43283582089552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IFERROR(__xludf.DUMMYFUNCTION("IMPORTRANGE(""https://docs.google.com/spreadsheets/d/1eHaY18a8A9IcSdp1K8H6x8fbOy06t2VsZHhMHf-1x7Y/edit?usp=sharing"",""แผน!EL75"")"),3)</f>
        <v>3</v>
      </c>
      <c r="J346" s="152">
        <f ca="1">IFERROR(__xludf.DUMMYFUNCTION("IMPORTRANGE(""https://docs.google.com/spreadsheets/d/1awYsYK3VOup2i3Pq_Yjnu8DRu_mYwSBnCR2QPthd0rU/edit?usp=sharing"",""ศูนย์รวม!E75"")"),4)</f>
        <v>4</v>
      </c>
      <c r="K346" s="47">
        <f ca="1">IF(I346&gt;0,J346*100/I346,0)</f>
        <v>133.33333333333334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IFERROR(__xludf.DUMMYFUNCTION("IMPORTRANGE(""https://docs.google.com/spreadsheets/d/1awYsYK3VOup2i3Pq_Yjnu8DRu_mYwSBnCR2QPthd0rU/edit?usp=sharing"",""ศูนย์ยกเว้นโฉนด!F75"")"),27)</f>
        <v>27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IFERROR(__xludf.DUMMYFUNCTION("IMPORTRANGE(""https://docs.google.com/spreadsheets/d/1awYsYK3VOup2i3Pq_Yjnu8DRu_mYwSBnCR2QPthd0rU/edit?usp=sharing"",""ศูนย์ยกเว้นโฉนด!G75"")"),49)</f>
        <v>49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IFERROR(__xludf.DUMMYFUNCTION("IMPORTRANGE(""https://docs.google.com/spreadsheets/d/1awYsYK3VOup2i3Pq_Yjnu8DRu_mYwSBnCR2QPthd0rU/edit?usp=sharing"",""ศูนย์ยกเว้นโฉนด!H75"")"),0)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8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4885</v>
      </c>
      <c r="K351" s="229">
        <v>0</v>
      </c>
      <c r="L351" s="687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IFERROR(__xludf.DUMMYFUNCTION("IMPORTRANGE(""https://docs.google.com/spreadsheets/d/1awYsYK3VOup2i3Pq_Yjnu8DRu_mYwSBnCR2QPthd0rU/edit?usp=sharing"",""โฉนดM3!G75"")"),131)</f>
        <v>131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IFERROR(__xludf.DUMMYFUNCTION("IMPORTRANGE(""https://docs.google.com/spreadsheets/d/1awYsYK3VOup2i3Pq_Yjnu8DRu_mYwSBnCR2QPthd0rU/edit?usp=sharing"",""โฉนดM3!H75"")"),4754)</f>
        <v>4754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9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825400</v>
      </c>
      <c r="M356" s="132">
        <f ca="1">M357+M358</f>
        <v>887660</v>
      </c>
      <c r="N356" s="132">
        <f ca="1">N357+N358</f>
        <v>523330.16</v>
      </c>
      <c r="O356" s="132">
        <f ca="1">IF(L356&gt;0,N356*100/L356,0)</f>
        <v>63.40321783377756</v>
      </c>
      <c r="P356" s="132">
        <f ca="1">IF(M356&gt;0,N356*100/M356,0)</f>
        <v>58.956149877205235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825400</v>
      </c>
      <c r="M358" s="47">
        <f ca="1">M361+M364</f>
        <v>887660</v>
      </c>
      <c r="N358" s="47">
        <f ca="1">N361+N364</f>
        <v>523330.16</v>
      </c>
      <c r="O358" s="47">
        <f ca="1">IF(L358&gt;0,N358*100/L358,0)</f>
        <v>63.40321783377756</v>
      </c>
      <c r="P358" s="47">
        <f ca="1">IF(M358&gt;0,N358*100/M358,0)</f>
        <v>58.956149877205235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825400</v>
      </c>
      <c r="M359" s="47">
        <f ca="1">M360+M361</f>
        <v>887660</v>
      </c>
      <c r="N359" s="47">
        <f ca="1">N360+N361</f>
        <v>523330.16</v>
      </c>
      <c r="O359" s="47">
        <f ca="1">IF(L359&gt;0,N359*100/L359,0)</f>
        <v>63.40321783377756</v>
      </c>
      <c r="P359" s="47">
        <f ca="1">IF(M359&gt;0,N359*100/M359,0)</f>
        <v>58.956149877205235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IFERROR(__xludf.DUMMYFUNCTION("IMPORTRANGE(""https://docs.google.com/spreadsheets/d/1-uDff_7J0KD5mKrp0Vvzr7lt3OU09vwQwhkpOPPYv2Y/edit?usp=sharing"",""งบพรบ!FC75"")"),825400)</f>
        <v>825400</v>
      </c>
      <c r="M361" s="47">
        <f ca="1">IFERROR(__xludf.DUMMYFUNCTION("IMPORTRANGE(""https://docs.google.com/spreadsheets/d/1-uDff_7J0KD5mKrp0Vvzr7lt3OU09vwQwhkpOPPYv2Y/edit?usp=sharing"",""งบพรบ!FH75"")"),887660)</f>
        <v>887660</v>
      </c>
      <c r="N361" s="47">
        <f ca="1">IFERROR(__xludf.DUMMYFUNCTION("IMPORTRANGE(""https://docs.google.com/spreadsheets/d/1-uDff_7J0KD5mKrp0Vvzr7lt3OU09vwQwhkpOPPYv2Y/edit?usp=sharing"",""งบพรบ!FJ75"")"),523330.16)</f>
        <v>523330.16</v>
      </c>
      <c r="O361" s="47">
        <f ca="1">IF(L361&gt;0,N361*100/L361,0)</f>
        <v>63.40321783377756</v>
      </c>
      <c r="P361" s="47">
        <f ca="1">IF(M361&gt;0,N361*100/M361,0)</f>
        <v>58.956149877205235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IFERROR(__xludf.DUMMYFUNCTION("IMPORTRANGE(""https://docs.google.com/spreadsheets/d/1-uDff_7J0KD5mKrp0Vvzr7lt3OU09vwQwhkpOPPYv2Y/edit?usp=sharing"",""งบพรบ!FF75"")"),0)</f>
        <v>0</v>
      </c>
      <c r="M364" s="47">
        <f ca="1">IFERROR(__xludf.DUMMYFUNCTION("IMPORTRANGE(""https://docs.google.com/spreadsheets/d/1-uDff_7J0KD5mKrp0Vvzr7lt3OU09vwQwhkpOPPYv2Y/edit?usp=sharing"",""งบพรบ!FI75"")"),0)</f>
        <v>0</v>
      </c>
      <c r="N364" s="47">
        <f ca="1">IFERROR(__xludf.DUMMYFUNCTION("IMPORTRANGE(""https://docs.google.com/spreadsheets/d/1-uDff_7J0KD5mKrp0Vvzr7lt3OU09vwQwhkpOPPYv2Y/edit?usp=sharing"",""งบพรบ!FK75"")"),0)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8" t="s">
        <v>149</v>
      </c>
      <c r="E365" s="225"/>
      <c r="F365" s="225"/>
      <c r="G365" s="226"/>
      <c r="H365" s="234" t="s">
        <v>35</v>
      </c>
      <c r="I365" s="228">
        <f ca="1">I371</f>
        <v>325</v>
      </c>
      <c r="J365" s="228">
        <f ca="1">J371</f>
        <v>253</v>
      </c>
      <c r="K365" s="229">
        <f ca="1">IF(I365&gt;0,J365*100/I365,0)</f>
        <v>77.84615384615384</v>
      </c>
      <c r="L365" s="687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IFERROR(__xludf.DUMMYFUNCTION("IMPORTRANGE(""https://docs.google.com/spreadsheets/d/1tdoBKaGub7dwA3U6UFTqxio9LNnvDCQjHKmttSEBsFQ/edit?usp=sharing"",""จัดที่ดิน!AB75"")"),243)</f>
        <v>243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IFERROR(__xludf.DUMMYFUNCTION("IMPORTRANGE(""https://docs.google.com/spreadsheets/d/1eHaY18a8A9IcSdp1K8H6x8fbOy06t2VsZHhMHf-1x7Y/edit?usp=sharing"",""แผน!EW75"")"),1350)</f>
        <v>1350</v>
      </c>
      <c r="J368" s="686">
        <f ca="1">IFERROR(__xludf.DUMMYFUNCTION("IMPORTRANGE(""https://docs.google.com/spreadsheets/d/1tdoBKaGub7dwA3U6UFTqxio9LNnvDCQjHKmttSEBsFQ/edit?usp=sharing"",""จัดที่ดิน!AC75"")"),2566.54)</f>
        <v>2566.54</v>
      </c>
      <c r="K368" s="47">
        <f ca="1">IF(I368&gt;0,J368*100/I368,0)</f>
        <v>190.11407407407407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IFERROR(__xludf.DUMMYFUNCTION("IMPORTRANGE(""https://docs.google.com/spreadsheets/d/1eHaY18a8A9IcSdp1K8H6x8fbOy06t2VsZHhMHf-1x7Y/edit?usp=sharing"",""แผน!EX75"")"),325)</f>
        <v>325</v>
      </c>
      <c r="J369" s="152">
        <f ca="1">IFERROR(__xludf.DUMMYFUNCTION("IMPORTRANGE(""https://docs.google.com/spreadsheets/d/1tdoBKaGub7dwA3U6UFTqxio9LNnvDCQjHKmttSEBsFQ/edit?usp=sharing"",""จัดที่ดิน!AD75"")"),470)</f>
        <v>470</v>
      </c>
      <c r="K369" s="47">
        <f ca="1">IF(I369&gt;0,J369*100/I369,0)</f>
        <v>144.61538461538461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6">
        <f ca="1">IFERROR(__xludf.DUMMYFUNCTION("IMPORTRANGE(""https://docs.google.com/spreadsheets/d/1tdoBKaGub7dwA3U6UFTqxio9LNnvDCQjHKmttSEBsFQ/edit?usp=sharing"",""จัดที่ดิน!AE75"")"),6903.15)</f>
        <v>6903.15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IFERROR(__xludf.DUMMYFUNCTION("IMPORTRANGE(""https://docs.google.com/spreadsheets/d/1eHaY18a8A9IcSdp1K8H6x8fbOy06t2VsZHhMHf-1x7Y/edit?usp=sharing"",""แผน!EY75"")"),325)</f>
        <v>325</v>
      </c>
      <c r="J371" s="152">
        <f ca="1">IFERROR(__xludf.DUMMYFUNCTION("IMPORTRANGE(""https://docs.google.com/spreadsheets/d/1tdoBKaGub7dwA3U6UFTqxio9LNnvDCQjHKmttSEBsFQ/edit?usp=sharing"",""จัดที่ดิน!AF75"")"),253)</f>
        <v>253</v>
      </c>
      <c r="K371" s="47">
        <f ca="1">IF(I371&gt;0,J371*100/I371,0)</f>
        <v>77.84615384615384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6">
        <f ca="1">IFERROR(__xludf.DUMMYFUNCTION("IMPORTRANGE(""https://docs.google.com/spreadsheets/d/1tdoBKaGub7dwA3U6UFTqxio9LNnvDCQjHKmttSEBsFQ/edit?usp=sharing"",""จัดที่ดิน!AG75"")"),3796.71)</f>
        <v>3796.71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5"/>
      <c r="B374" s="684" t="s">
        <v>153</v>
      </c>
      <c r="C374" s="683"/>
      <c r="D374" s="682"/>
      <c r="E374" s="681"/>
      <c r="F374" s="681"/>
      <c r="G374" s="680"/>
      <c r="H374" s="679" t="s">
        <v>46</v>
      </c>
      <c r="I374" s="678">
        <f ca="1">I386+I388</f>
        <v>1000</v>
      </c>
      <c r="J374" s="678">
        <f ca="1">J386+J388</f>
        <v>0</v>
      </c>
      <c r="K374" s="677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45700</v>
      </c>
      <c r="M375" s="132">
        <f ca="1">M376+M377</f>
        <v>45700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45700</v>
      </c>
      <c r="M377" s="47">
        <f ca="1">M380+M383</f>
        <v>45700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62500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45700</v>
      </c>
      <c r="M378" s="47">
        <f ca="1">M379+M380</f>
        <v>45700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62500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IFERROR(__xludf.DUMMYFUNCTION("IMPORTRANGE(""https://docs.google.com/spreadsheets/d/1-uDff_7J0KD5mKrp0Vvzr7lt3OU09vwQwhkpOPPYv2Y/edit?usp=sharing"",""งบพรบ!IE75"")"),45700)</f>
        <v>45700</v>
      </c>
      <c r="M380" s="47">
        <f ca="1">IFERROR(__xludf.DUMMYFUNCTION("IMPORTRANGE(""https://docs.google.com/spreadsheets/d/1-uDff_7J0KD5mKrp0Vvzr7lt3OU09vwQwhkpOPPYv2Y/edit?usp=sharing"",""งบพรบ!IJ75"")"),45700)</f>
        <v>45700</v>
      </c>
      <c r="N380" s="47">
        <f ca="1">IFERROR(__xludf.DUMMYFUNCTION("IMPORTRANGE(""https://docs.google.com/spreadsheets/d/1-uDff_7J0KD5mKrp0Vvzr7lt3OU09vwQwhkpOPPYv2Y/edit?usp=sharing"",""งบพรบ!IL75"")"),0)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IFERROR(__xludf.DUMMYFUNCTION("IMPORTRANGE(""https://docs.google.com/spreadsheets/d/1ItG2mGa2ceCfYo0BwxsXqNm01IGEUdYcSSLTEv9YCik/edit?usp=sharing"",""เบิกจ่ายกองทุน!BW75"")"),62500)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IFERROR(__xludf.DUMMYFUNCTION("IMPORTRANGE(""https://docs.google.com/spreadsheets/d/1ItG2mGa2ceCfYo0BwxsXqNm01IGEUdYcSSLTEv9YCik/edit?usp=sharing"",""เบิกจ่ายกองทุน!BX75"")"),62500)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IFERROR(__xludf.DUMMYFUNCTION("IMPORTRANGE(""https://docs.google.com/spreadsheets/d/1ItG2mGa2ceCfYo0BwxsXqNm01IGEUdYcSSLTEv9YCik/edit?usp=sharing"",""เบิกจ่ายกองทุน!BY75"")"),0)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IFERROR(__xludf.DUMMYFUNCTION("IMPORTRANGE(""https://docs.google.com/spreadsheets/d/1-uDff_7J0KD5mKrp0Vvzr7lt3OU09vwQwhkpOPPYv2Y/edit?usp=sharing"",""งบพรบ!IH75"")"),0)</f>
        <v>0</v>
      </c>
      <c r="M383" s="47">
        <f ca="1">IFERROR(__xludf.DUMMYFUNCTION("IMPORTRANGE(""https://docs.google.com/spreadsheets/d/1-uDff_7J0KD5mKrp0Vvzr7lt3OU09vwQwhkpOPPYv2Y/edit?usp=sharing"",""งบพรบ!IK75"")"),0)</f>
        <v>0</v>
      </c>
      <c r="N383" s="47">
        <f ca="1">IFERROR(__xludf.DUMMYFUNCTION("IMPORTRANGE(""https://docs.google.com/spreadsheets/d/1-uDff_7J0KD5mKrp0Vvzr7lt3OU09vwQwhkpOPPYv2Y/edit?usp=sharing"",""งบพรบ!IM75"")"),0)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IFERROR(__xludf.DUMMYFUNCTION("IMPORTRANGE(""https://docs.google.com/spreadsheets/d/1w5rwWK1o49a35cNtocGL0gxDwhFSTZUQu90BiH9_zqM/edit?usp=sharing"",""RTK!H75"")"),0)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IFERROR(__xludf.DUMMYFUNCTION("IMPORTRANGE(""https://docs.google.com/spreadsheets/d/1w5rwWK1o49a35cNtocGL0gxDwhFSTZUQu90BiH9_zqM/edit?usp=sharing"",""RTK!G75"")"),1000)</f>
        <v>1000</v>
      </c>
      <c r="J386" s="152">
        <f ca="1">IFERROR(__xludf.DUMMYFUNCTION("IMPORTRANGE(""https://docs.google.com/spreadsheets/d/1w5rwWK1o49a35cNtocGL0gxDwhFSTZUQu90BiH9_zqM/edit?usp=sharing"",""RTK!I75"")"),0)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326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IFERROR(__xludf.DUMMYFUNCTION("IMPORTRANGE(""https://docs.google.com/spreadsheets/d/1w5rwWK1o49a35cNtocGL0gxDwhFSTZUQu90BiH9_zqM/edit?usp=sharing"",""RTK!L75"")"),0)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326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IFERROR(__xludf.DUMMYFUNCTION("IMPORTRANGE(""https://docs.google.com/spreadsheets/d/1w5rwWK1o49a35cNtocGL0gxDwhFSTZUQu90BiH9_zqM/edit?usp=sharing"",""RTK!K75"")"),0)</f>
        <v>0</v>
      </c>
      <c r="J388" s="330">
        <f ca="1">IFERROR(__xludf.DUMMYFUNCTION("IMPORTRANGE(""https://docs.google.com/spreadsheets/d/1w5rwWK1o49a35cNtocGL0gxDwhFSTZUQu90BiH9_zqM/edit?usp=sharing"",""RTK!M75"")"),0)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89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33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IFERROR(__xludf.DUMMYFUNCTION("IMPORTRANGE(""https://docs.google.com/spreadsheets/d/1ItG2mGa2ceCfYo0BwxsXqNm01IGEUdYcSSLTEv9YCik/edit?usp=sharing"",""เบิกจ่ายกองทุน!CL75"")"),0)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IFERROR(__xludf.DUMMYFUNCTION("IMPORTRANGE(""https://docs.google.com/spreadsheets/d/1ItG2mGa2ceCfYo0BwxsXqNm01IGEUdYcSSLTEv9YCik/edit?usp=sharing"",""เบิกจ่ายกองทุน!CM75"")"),0)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IFERROR(__xludf.DUMMYFUNCTION("IMPORTRANGE(""https://docs.google.com/spreadsheets/d/1ItG2mGa2ceCfYo0BwxsXqNm01IGEUdYcSSLTEv9YCik/edit?usp=sharing"",""เบิกจ่ายกองทุน!CN75"")"),0)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89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89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89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89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89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89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89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89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89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33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40" t="s">
        <v>18</v>
      </c>
      <c r="D413" s="676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51370</v>
      </c>
      <c r="M413" s="132">
        <f ca="1">M414+M415</f>
        <v>183870</v>
      </c>
      <c r="N413" s="132">
        <f ca="1">N414+N415</f>
        <v>132500</v>
      </c>
      <c r="O413" s="132">
        <f ca="1">IF(L413&gt;0,N413*100/L413,0)</f>
        <v>257.93264551294527</v>
      </c>
      <c r="P413" s="132">
        <f ca="1">IF(M413&gt;0,N413*100/M413,0)</f>
        <v>72.061782781312886</v>
      </c>
      <c r="Q413" s="132">
        <f ca="1">Q414+Q415</f>
        <v>16200</v>
      </c>
      <c r="R413" s="132">
        <f ca="1">R414+R415</f>
        <v>16200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51370</v>
      </c>
      <c r="M415" s="47">
        <f ca="1">M418+M421</f>
        <v>183870</v>
      </c>
      <c r="N415" s="47">
        <f ca="1">N418+N421</f>
        <v>132500</v>
      </c>
      <c r="O415" s="47">
        <f ca="1">IF(L415&gt;0,N415*100/L415,0)</f>
        <v>257.93264551294527</v>
      </c>
      <c r="P415" s="47">
        <f ca="1">IF(M415&gt;0,N415*100/M415,0)</f>
        <v>72.061782781312886</v>
      </c>
      <c r="Q415" s="47">
        <f ca="1">Q418+Q421</f>
        <v>16200</v>
      </c>
      <c r="R415" s="47">
        <f ca="1">R418+R421</f>
        <v>16200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51370</v>
      </c>
      <c r="M416" s="47">
        <f ca="1">M417+M418</f>
        <v>183870</v>
      </c>
      <c r="N416" s="47">
        <f ca="1">N417+N418</f>
        <v>132500</v>
      </c>
      <c r="O416" s="47">
        <f ca="1">IF(L416&gt;0,N416*100/L416,0)</f>
        <v>257.93264551294527</v>
      </c>
      <c r="P416" s="47">
        <f ca="1">IF(M416&gt;0,N416*100/M416,0)</f>
        <v>72.061782781312886</v>
      </c>
      <c r="Q416" s="47">
        <f ca="1">Q417+Q418</f>
        <v>16200</v>
      </c>
      <c r="R416" s="47">
        <f ca="1">R417+R418</f>
        <v>16200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IFERROR(__xludf.DUMMYFUNCTION("IMPORTRANGE(""https://docs.google.com/spreadsheets/d/1-uDff_7J0KD5mKrp0Vvzr7lt3OU09vwQwhkpOPPYv2Y/edit?usp=sharing"",""งบพรบ!IO75"")"),51370)</f>
        <v>51370</v>
      </c>
      <c r="M418" s="47">
        <f ca="1">IFERROR(__xludf.DUMMYFUNCTION("IMPORTRANGE(""https://docs.google.com/spreadsheets/d/1-uDff_7J0KD5mKrp0Vvzr7lt3OU09vwQwhkpOPPYv2Y/edit?usp=sharing"",""งบพรบ!IT75"")"),183870)</f>
        <v>183870</v>
      </c>
      <c r="N418" s="47">
        <f ca="1">IFERROR(__xludf.DUMMYFUNCTION("IMPORTRANGE(""https://docs.google.com/spreadsheets/d/1-uDff_7J0KD5mKrp0Vvzr7lt3OU09vwQwhkpOPPYv2Y/edit?usp=sharing"",""งบพรบ!IV75"")"),132500)</f>
        <v>132500</v>
      </c>
      <c r="O418" s="47">
        <f ca="1">IF(L418&gt;0,N418*100/L418,0)</f>
        <v>257.93264551294527</v>
      </c>
      <c r="P418" s="47">
        <f ca="1">IF(M418&gt;0,N418*100/M418,0)</f>
        <v>72.061782781312886</v>
      </c>
      <c r="Q418" s="47">
        <f ca="1">IFERROR(__xludf.DUMMYFUNCTION("IMPORTRANGE(""https://docs.google.com/spreadsheets/d/1ItG2mGa2ceCfYo0BwxsXqNm01IGEUdYcSSLTEv9YCik/edit?usp=sharing"",""เบิกจ่ายกองทุน!BZ75"")"),16200)</f>
        <v>16200</v>
      </c>
      <c r="R418" s="47">
        <f ca="1">IFERROR(__xludf.DUMMYFUNCTION("IMPORTRANGE(""https://docs.google.com/spreadsheets/d/1ItG2mGa2ceCfYo0BwxsXqNm01IGEUdYcSSLTEv9YCik/edit?usp=sharing"",""เบิกจ่ายกองทุน!CA75"")"),16200)</f>
        <v>16200</v>
      </c>
      <c r="S418" s="47">
        <f ca="1">IFERROR(__xludf.DUMMYFUNCTION("IMPORTRANGE(""https://docs.google.com/spreadsheets/d/1ItG2mGa2ceCfYo0BwxsXqNm01IGEUdYcSSLTEv9YCik/edit?usp=sharing"",""เบิกจ่ายกองทุน!CB75"")"),0)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IFERROR(__xludf.DUMMYFUNCTION("IMPORTRANGE(""https://docs.google.com/spreadsheets/d/1-uDff_7J0KD5mKrp0Vvzr7lt3OU09vwQwhkpOPPYv2Y/edit?usp=sharing"",""งบพรบ!IR75"")"),0)</f>
        <v>0</v>
      </c>
      <c r="M421" s="47">
        <f ca="1">IFERROR(__xludf.DUMMYFUNCTION("IMPORTRANGE(""https://docs.google.com/spreadsheets/d/1-uDff_7J0KD5mKrp0Vvzr7lt3OU09vwQwhkpOPPYv2Y/edit?usp=sharing"",""งบพรบ!IU75"")"),0)</f>
        <v>0</v>
      </c>
      <c r="N421" s="47">
        <f ca="1">IFERROR(__xludf.DUMMYFUNCTION("IMPORTRANGE(""https://docs.google.com/spreadsheets/d/1-uDff_7J0KD5mKrp0Vvzr7lt3OU09vwQwhkpOPPYv2Y/edit?usp=sharing"",""งบพรบ!IW75"")"),0)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40" t="s">
        <v>18</v>
      </c>
      <c r="D422" s="674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669"/>
      <c r="B423" s="464" t="s">
        <v>160</v>
      </c>
      <c r="C423" s="463"/>
      <c r="D423" s="463"/>
      <c r="E423" s="463"/>
      <c r="F423" s="463"/>
      <c r="G423" s="474"/>
      <c r="H423" s="671" t="s">
        <v>46</v>
      </c>
      <c r="I423" s="468">
        <f ca="1">I440</f>
        <v>0</v>
      </c>
      <c r="J423" s="673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IFERROR(__xludf.DUMMYFUNCTION("IMPORTRANGE(""https://docs.google.com/spreadsheets/d/1eHaY18a8A9IcSdp1K8H6x8fbOy06t2VsZHhMHf-1x7Y/edit?usp=sharing"",""แผน!HJ75"")"),0)</f>
        <v>0</v>
      </c>
      <c r="J424" s="670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IFERROR(__xludf.DUMMYFUNCTION("IMPORTRANGE(""https://docs.google.com/spreadsheets/d/1eHaY18a8A9IcSdp1K8H6x8fbOy06t2VsZHhMHf-1x7Y/edit?usp=sharing"",""แผน!HK75"")"),0)</f>
        <v>0</v>
      </c>
      <c r="J425" s="670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IFERROR(__xludf.DUMMYFUNCTION("IMPORTRANGE(""https://docs.google.com/spreadsheets/d/1eHaY18a8A9IcSdp1K8H6x8fbOy06t2VsZHhMHf-1x7Y/edit?usp=sharing"",""แผน!HJ75"")"),0)</f>
        <v>0</v>
      </c>
      <c r="J432" s="670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IFERROR(__xludf.DUMMYFUNCTION("IMPORTRANGE(""https://docs.google.com/spreadsheets/d/1eHaY18a8A9IcSdp1K8H6x8fbOy06t2VsZHhMHf-1x7Y/edit?usp=sharing"",""แผน!HK75"")"),0)</f>
        <v>0</v>
      </c>
      <c r="J433" s="670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IFERROR(__xludf.DUMMYFUNCTION("IMPORTRANGE(""https://docs.google.com/spreadsheets/d/1eHaY18a8A9IcSdp1K8H6x8fbOy06t2VsZHhMHf-1x7Y/edit?usp=sharing"",""แผน!HJ75"")"),0)</f>
        <v>0</v>
      </c>
      <c r="J440" s="670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IFERROR(__xludf.DUMMYFUNCTION("IMPORTRANGE(""https://docs.google.com/spreadsheets/d/1eHaY18a8A9IcSdp1K8H6x8fbOy06t2VsZHhMHf-1x7Y/edit?usp=sharing"",""แผน!HK75"")"),0)</f>
        <v>0</v>
      </c>
      <c r="J441" s="670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70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70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2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669"/>
      <c r="B456" s="464" t="s">
        <v>177</v>
      </c>
      <c r="C456" s="463"/>
      <c r="D456" s="463"/>
      <c r="E456" s="463"/>
      <c r="F456" s="463"/>
      <c r="G456" s="474"/>
      <c r="H456" s="671" t="s">
        <v>46</v>
      </c>
      <c r="I456" s="468">
        <f ca="1">I457</f>
        <v>167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IFERROR(__xludf.DUMMYFUNCTION("IMPORTRANGE(""https://docs.google.com/spreadsheets/d/1eHaY18a8A9IcSdp1K8H6x8fbOy06t2VsZHhMHf-1x7Y/edit?usp=sharing"",""แผน!HL75"")"),167)</f>
        <v>167</v>
      </c>
      <c r="J457" s="670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IFERROR(__xludf.DUMMYFUNCTION("IMPORTRANGE(""https://docs.google.com/spreadsheets/d/1eHaY18a8A9IcSdp1K8H6x8fbOy06t2VsZHhMHf-1x7Y/edit?usp=sharing"",""แผน!HM75"")"),0)</f>
        <v>0</v>
      </c>
      <c r="J458" s="670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669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100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650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47800</v>
      </c>
      <c r="M493" s="132">
        <f ca="1">M494+M495</f>
        <v>47800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1169450</v>
      </c>
      <c r="R493" s="132">
        <f ca="1">R494+R495</f>
        <v>1169450</v>
      </c>
      <c r="S493" s="132">
        <f ca="1">S494+S495</f>
        <v>53166.59</v>
      </c>
      <c r="T493" s="132">
        <f ca="1">IF(Q493&gt;0,S493*100/Q493,0)</f>
        <v>4.546290136388901</v>
      </c>
      <c r="U493" s="132">
        <f ca="1">IF(R493&gt;0,S493*100/R493,0)</f>
        <v>4.546290136388901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47800</v>
      </c>
      <c r="M495" s="47">
        <f ca="1">M498+M501</f>
        <v>47800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1169450</v>
      </c>
      <c r="R495" s="47">
        <f ca="1">R498+R501</f>
        <v>1169450</v>
      </c>
      <c r="S495" s="47">
        <f ca="1">S498+S501</f>
        <v>53166.59</v>
      </c>
      <c r="T495" s="47">
        <f ca="1">IF(Q495&gt;0,S495*100/Q495,0)</f>
        <v>4.546290136388901</v>
      </c>
      <c r="U495" s="47">
        <f ca="1">IF(R495&gt;0,S495*100/R495,0)</f>
        <v>4.546290136388901</v>
      </c>
    </row>
    <row r="496" spans="1:21" ht="18.75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47800</v>
      </c>
      <c r="M496" s="47">
        <f ca="1">M497+M498</f>
        <v>47800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1169450</v>
      </c>
      <c r="R496" s="47">
        <f ca="1">R497+R498</f>
        <v>1169450</v>
      </c>
      <c r="S496" s="47">
        <f ca="1">S497+S498</f>
        <v>53166.59</v>
      </c>
      <c r="T496" s="47">
        <f ca="1">IF(Q496&gt;0,S496*100/Q496,0)</f>
        <v>4.546290136388901</v>
      </c>
      <c r="U496" s="47">
        <f ca="1">IF(R496&gt;0,S496*100/R496,0)</f>
        <v>4.546290136388901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IFERROR(__xludf.DUMMYFUNCTION("IMPORTRANGE(""https://docs.google.com/spreadsheets/d/1-uDff_7J0KD5mKrp0Vvzr7lt3OU09vwQwhkpOPPYv2Y/edit?usp=sharing"",""งบพรบ!HU75"")"),47800)</f>
        <v>47800</v>
      </c>
      <c r="M498" s="47">
        <f ca="1">IFERROR(__xludf.DUMMYFUNCTION("IMPORTRANGE(""https://docs.google.com/spreadsheets/d/1-uDff_7J0KD5mKrp0Vvzr7lt3OU09vwQwhkpOPPYv2Y/edit?usp=sharing"",""งบพรบ!HZ75"")"),47800)</f>
        <v>47800</v>
      </c>
      <c r="N498" s="47">
        <f ca="1">IFERROR(__xludf.DUMMYFUNCTION("IMPORTRANGE(""https://docs.google.com/spreadsheets/d/1-uDff_7J0KD5mKrp0Vvzr7lt3OU09vwQwhkpOPPYv2Y/edit?usp=sharing"",""งบพรบ!IB75"")"),0)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IFERROR(__xludf.DUMMYFUNCTION("IMPORTRANGE(""https://docs.google.com/spreadsheets/d/1ItG2mGa2ceCfYo0BwxsXqNm01IGEUdYcSSLTEv9YCik/edit?usp=sharing"",""เบิกจ่ายกองทุน!AD75"")"),1169450)</f>
        <v>1169450</v>
      </c>
      <c r="R498" s="47">
        <f ca="1">IFERROR(__xludf.DUMMYFUNCTION("IMPORTRANGE(""https://docs.google.com/spreadsheets/d/1ItG2mGa2ceCfYo0BwxsXqNm01IGEUdYcSSLTEv9YCik/edit?usp=sharing"",""เบิกจ่ายกองทุน!AE75"")"),1169450)</f>
        <v>1169450</v>
      </c>
      <c r="S498" s="47">
        <f ca="1">IFERROR(__xludf.DUMMYFUNCTION("IMPORTRANGE(""https://docs.google.com/spreadsheets/d/1ItG2mGa2ceCfYo0BwxsXqNm01IGEUdYcSSLTEv9YCik/edit?usp=sharing"",""เบิกจ่ายกองทุน!AF75"")"),53166.59)</f>
        <v>53166.59</v>
      </c>
      <c r="T498" s="47">
        <f ca="1">IF(Q498&gt;0,S498*100/Q498,0)</f>
        <v>4.546290136388901</v>
      </c>
      <c r="U498" s="47">
        <f ca="1">IF(R498&gt;0,S498*100/R498,0)</f>
        <v>4.546290136388901</v>
      </c>
    </row>
    <row r="499" spans="1:21" ht="18.75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IFERROR(__xludf.DUMMYFUNCTION("IMPORTRANGE(""https://docs.google.com/spreadsheets/d/1-uDff_7J0KD5mKrp0Vvzr7lt3OU09vwQwhkpOPPYv2Y/edit?usp=sharing"",""งบพรบ!HX75"")"),0)</f>
        <v>0</v>
      </c>
      <c r="M501" s="47">
        <f ca="1">IFERROR(__xludf.DUMMYFUNCTION("IMPORTRANGE(""https://docs.google.com/spreadsheets/d/1-uDff_7J0KD5mKrp0Vvzr7lt3OU09vwQwhkpOPPYv2Y/edit?usp=sharing"",""งบพรบ!IA75"")"),0)</f>
        <v>0</v>
      </c>
      <c r="N501" s="47">
        <f ca="1">IFERROR(__xludf.DUMMYFUNCTION("IMPORTRANGE(""https://docs.google.com/spreadsheets/d/1-uDff_7J0KD5mKrp0Vvzr7lt3OU09vwQwhkpOPPYv2Y/edit?usp=sharing"",""งบพรบ!IC75"")"),0)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IFERROR(__xludf.DUMMYFUNCTION("IMPORTRANGE(""https://docs.google.com/spreadsheets/d/1eHaY18a8A9IcSdp1K8H6x8fbOy06t2VsZHhMHf-1x7Y/edit?usp=sharing"",""แผน!GX75"")"),100)</f>
        <v>100</v>
      </c>
      <c r="J503" s="147">
        <f ca="1">IF(AND(J504=I503,J505=I503,J506=I503,J507=I503),I503,0)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IFERROR(__xludf.DUMMYFUNCTION("IMPORTRANGE(""https://docs.google.com/spreadsheets/d/1eHaY18a8A9IcSdp1K8H6x8fbOy06t2VsZHhMHf-1x7Y/edit?usp=sharing"",""แผน!GY75"")"),0)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IFERROR(__xludf.DUMMYFUNCTION("IMPORTRANGE(""https://docs.google.com/spreadsheets/d/1eHaY18a8A9IcSdp1K8H6x8fbOy06t2VsZHhMHf-1x7Y/edit?usp=sharing"",""แผน!GZ75"")"),0)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IFERROR(__xludf.DUMMYFUNCTION("IMPORTRANGE(""https://docs.google.com/spreadsheets/d/1eHaY18a8A9IcSdp1K8H6x8fbOy06t2VsZHhMHf-1x7Y/edit?usp=sharing"",""แผน!HA75"")"),0)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IFERROR(__xludf.DUMMYFUNCTION("IMPORTRANGE(""https://docs.google.com/spreadsheets/d/1eHaY18a8A9IcSdp1K8H6x8fbOy06t2VsZHhMHf-1x7Y/edit?usp=sharing"",""แผน!HB75"")"),0)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IFERROR(__xludf.DUMMYFUNCTION("IMPORTRANGE(""https://docs.google.com/spreadsheets/d/1eHaY18a8A9IcSdp1K8H6x8fbOy06t2VsZHhMHf-1x7Y/edit?usp=sharing"",""แผน!HC75"")"),0)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x14ac:dyDescent="0.3">
      <c r="A511" s="642" t="s">
        <v>206</v>
      </c>
      <c r="B511" s="640"/>
      <c r="C511" s="640"/>
      <c r="D511" s="641"/>
      <c r="E511" s="640"/>
      <c r="F511" s="640"/>
      <c r="G511" s="640"/>
      <c r="H511" s="639"/>
      <c r="I511" s="638"/>
      <c r="J511" s="638"/>
      <c r="K511" s="637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x14ac:dyDescent="0.3">
      <c r="A512" s="635"/>
      <c r="B512" s="634" t="s">
        <v>207</v>
      </c>
      <c r="C512" s="633"/>
      <c r="D512" s="632"/>
      <c r="E512" s="632"/>
      <c r="F512" s="632"/>
      <c r="G512" s="631"/>
      <c r="H512" s="630" t="s">
        <v>61</v>
      </c>
      <c r="I512" s="629">
        <f>I524</f>
        <v>1</v>
      </c>
      <c r="J512" s="629">
        <f>J524</f>
        <v>0</v>
      </c>
      <c r="K512" s="628">
        <f>IF(I512&gt;0,J512*100/I512,0)</f>
        <v>0</v>
      </c>
      <c r="L512" s="591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x14ac:dyDescent="0.3">
      <c r="A513" s="416"/>
      <c r="B513" s="424"/>
      <c r="C513" s="618" t="s">
        <v>18</v>
      </c>
      <c r="D513" s="418" t="s">
        <v>19</v>
      </c>
      <c r="E513" s="424"/>
      <c r="F513" s="424"/>
      <c r="G513" s="425"/>
      <c r="H513" s="627" t="s">
        <v>14</v>
      </c>
      <c r="I513" s="420"/>
      <c r="J513" s="420"/>
      <c r="K513" s="332"/>
      <c r="L513" s="550">
        <f ca="1">L514+L515</f>
        <v>33423500</v>
      </c>
      <c r="M513" s="132">
        <f ca="1">M514+M515</f>
        <v>33423500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623"/>
      <c r="B514" s="622"/>
      <c r="C514" s="622"/>
      <c r="D514" s="622"/>
      <c r="E514" s="157" t="s">
        <v>20</v>
      </c>
      <c r="F514" s="622"/>
      <c r="G514" s="621"/>
      <c r="H514" s="158" t="s">
        <v>14</v>
      </c>
      <c r="I514" s="626"/>
      <c r="J514" s="626"/>
      <c r="K514" s="625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416"/>
      <c r="B515" s="424"/>
      <c r="C515" s="424"/>
      <c r="D515" s="424"/>
      <c r="E515" s="423" t="s">
        <v>21</v>
      </c>
      <c r="F515" s="424"/>
      <c r="G515" s="425"/>
      <c r="H515" s="329" t="s">
        <v>14</v>
      </c>
      <c r="I515" s="420"/>
      <c r="J515" s="420"/>
      <c r="K515" s="332"/>
      <c r="L515" s="548">
        <f ca="1">L518+L521</f>
        <v>33423500</v>
      </c>
      <c r="M515" s="47">
        <f ca="1">M518+M521</f>
        <v>33423500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x14ac:dyDescent="0.25">
      <c r="A516" s="416"/>
      <c r="B516" s="424"/>
      <c r="C516" s="424"/>
      <c r="D516" s="624" t="s">
        <v>22</v>
      </c>
      <c r="E516" s="424"/>
      <c r="F516" s="424"/>
      <c r="G516" s="425"/>
      <c r="H516" s="426" t="s">
        <v>14</v>
      </c>
      <c r="I516" s="428"/>
      <c r="J516" s="428"/>
      <c r="K516" s="429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623"/>
      <c r="B517" s="622"/>
      <c r="C517" s="622"/>
      <c r="D517" s="622"/>
      <c r="E517" s="157" t="s">
        <v>36</v>
      </c>
      <c r="F517" s="622"/>
      <c r="G517" s="621"/>
      <c r="H517" s="160" t="s">
        <v>14</v>
      </c>
      <c r="I517" s="620"/>
      <c r="J517" s="620"/>
      <c r="K517" s="619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416"/>
      <c r="B518" s="424"/>
      <c r="C518" s="424"/>
      <c r="D518" s="424"/>
      <c r="E518" s="423" t="s">
        <v>37</v>
      </c>
      <c r="F518" s="424"/>
      <c r="G518" s="425"/>
      <c r="H518" s="426" t="s">
        <v>14</v>
      </c>
      <c r="I518" s="428"/>
      <c r="J518" s="428"/>
      <c r="K518" s="429"/>
      <c r="L518" s="548">
        <f ca="1">IFERROR(__xludf.DUMMYFUNCTION("IMPORTRANGE(""https://docs.google.com/spreadsheets/d/1-uDff_7J0KD5mKrp0Vvzr7lt3OU09vwQwhkpOPPYv2Y/edit?usp=sharing"",""งบพรบ!FM75"")"),0)</f>
        <v>0</v>
      </c>
      <c r="M518" s="47">
        <f ca="1">IFERROR(__xludf.DUMMYFUNCTION("IMPORTRANGE(""https://docs.google.com/spreadsheets/d/1-uDff_7J0KD5mKrp0Vvzr7lt3OU09vwQwhkpOPPYv2Y/edit?usp=sharing"",""งบพรบ!FR75"")"),0)</f>
        <v>0</v>
      </c>
      <c r="N518" s="47">
        <f ca="1">IFERROR(__xludf.DUMMYFUNCTION("IMPORTRANGE(""https://docs.google.com/spreadsheets/d/1-uDff_7J0KD5mKrp0Vvzr7lt3OU09vwQwhkpOPPYv2Y/edit?usp=sharing"",""งบพรบ!FT75"")"),0)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x14ac:dyDescent="0.25">
      <c r="A519" s="416"/>
      <c r="B519" s="424"/>
      <c r="C519" s="424"/>
      <c r="D519" s="624" t="s">
        <v>23</v>
      </c>
      <c r="E519" s="424"/>
      <c r="F519" s="424"/>
      <c r="G519" s="425"/>
      <c r="H519" s="431" t="s">
        <v>14</v>
      </c>
      <c r="I519" s="428"/>
      <c r="J519" s="428"/>
      <c r="K519" s="429"/>
      <c r="L519" s="548">
        <f ca="1">L520+L521</f>
        <v>33423500</v>
      </c>
      <c r="M519" s="47">
        <f ca="1">M520+M521</f>
        <v>33423500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623"/>
      <c r="B520" s="622"/>
      <c r="C520" s="622"/>
      <c r="D520" s="622"/>
      <c r="E520" s="157" t="s">
        <v>20</v>
      </c>
      <c r="F520" s="622"/>
      <c r="G520" s="621"/>
      <c r="H520" s="160" t="s">
        <v>14</v>
      </c>
      <c r="I520" s="620"/>
      <c r="J520" s="620"/>
      <c r="K520" s="619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416"/>
      <c r="B521" s="424"/>
      <c r="C521" s="424"/>
      <c r="D521" s="424"/>
      <c r="E521" s="423" t="s">
        <v>21</v>
      </c>
      <c r="F521" s="424"/>
      <c r="G521" s="425"/>
      <c r="H521" s="431" t="s">
        <v>14</v>
      </c>
      <c r="I521" s="428"/>
      <c r="J521" s="428"/>
      <c r="K521" s="429"/>
      <c r="L521" s="548">
        <f ca="1">IFERROR(__xludf.DUMMYFUNCTION("IMPORTRANGE(""https://docs.google.com/spreadsheets/d/1-uDff_7J0KD5mKrp0Vvzr7lt3OU09vwQwhkpOPPYv2Y/edit?usp=sharing"",""งบพรบ!FP75"")"),33423500)</f>
        <v>33423500</v>
      </c>
      <c r="M521" s="47">
        <f ca="1">IFERROR(__xludf.DUMMYFUNCTION("IMPORTRANGE(""https://docs.google.com/spreadsheets/d/1-uDff_7J0KD5mKrp0Vvzr7lt3OU09vwQwhkpOPPYv2Y/edit?usp=sharing"",""งบพรบ!FS75"")"),33423500)</f>
        <v>33423500</v>
      </c>
      <c r="N521" s="47">
        <f ca="1">IFERROR(__xludf.DUMMYFUNCTION("IMPORTRANGE(""https://docs.google.com/spreadsheets/d/1-uDff_7J0KD5mKrp0Vvzr7lt3OU09vwQwhkpOPPYv2Y/edit?usp=sharing"",""งบพรบ!FU75"")"),0)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x14ac:dyDescent="0.3">
      <c r="A522" s="432"/>
      <c r="B522" s="433"/>
      <c r="C522" s="618" t="s">
        <v>18</v>
      </c>
      <c r="D522" s="617" t="s">
        <v>38</v>
      </c>
      <c r="E522" s="435"/>
      <c r="F522" s="435"/>
      <c r="G522" s="436"/>
      <c r="H522" s="439"/>
      <c r="I522" s="428"/>
      <c r="J522" s="420"/>
      <c r="K522" s="332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616"/>
      <c r="B523" s="424"/>
      <c r="C523" s="326"/>
      <c r="D523" s="555" t="s">
        <v>208</v>
      </c>
      <c r="E523" s="433"/>
      <c r="F523" s="424"/>
      <c r="G523" s="425"/>
      <c r="H523" s="615" t="s">
        <v>11</v>
      </c>
      <c r="I523" s="330">
        <v>0</v>
      </c>
      <c r="J523" s="554">
        <v>0</v>
      </c>
      <c r="K523" s="331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616"/>
      <c r="B524" s="424"/>
      <c r="C524" s="326"/>
      <c r="D524" s="555" t="s">
        <v>209</v>
      </c>
      <c r="E524" s="433"/>
      <c r="F524" s="424"/>
      <c r="G524" s="425"/>
      <c r="H524" s="615" t="s">
        <v>61</v>
      </c>
      <c r="I524" s="330">
        <v>1</v>
      </c>
      <c r="J524" s="554">
        <v>0</v>
      </c>
      <c r="K524" s="331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4"/>
      <c r="B525" s="613"/>
      <c r="C525" s="613"/>
      <c r="D525" s="612"/>
      <c r="E525" s="612"/>
      <c r="F525" s="612"/>
      <c r="G525" s="611"/>
      <c r="H525" s="610"/>
      <c r="I525" s="609"/>
      <c r="J525" s="609"/>
      <c r="K525" s="608"/>
      <c r="L525" s="589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89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89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89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89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89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89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607"/>
      <c r="B532" s="606"/>
      <c r="C532" s="606"/>
      <c r="D532" s="605"/>
      <c r="E532" s="605"/>
      <c r="F532" s="605"/>
      <c r="G532" s="604"/>
      <c r="H532" s="603"/>
      <c r="I532" s="602"/>
      <c r="J532" s="602"/>
      <c r="K532" s="601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x14ac:dyDescent="0.3">
      <c r="A533" s="600"/>
      <c r="B533" s="599" t="s">
        <v>210</v>
      </c>
      <c r="C533" s="598"/>
      <c r="D533" s="597"/>
      <c r="E533" s="597"/>
      <c r="F533" s="597"/>
      <c r="G533" s="596"/>
      <c r="H533" s="595" t="s">
        <v>61</v>
      </c>
      <c r="I533" s="594">
        <f>I545</f>
        <v>0</v>
      </c>
      <c r="J533" s="594">
        <f>J545</f>
        <v>0</v>
      </c>
      <c r="K533" s="593">
        <f>IF(I533&gt;0,J533*100/I533,0)</f>
        <v>0</v>
      </c>
      <c r="L533" s="591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x14ac:dyDescent="0.3">
      <c r="A534" s="128"/>
      <c r="B534" s="41"/>
      <c r="C534" s="129" t="s">
        <v>18</v>
      </c>
      <c r="D534" s="59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IFERROR(__xludf.DUMMYFUNCTION("IMPORTRANGE(""https://docs.google.com/spreadsheets/d/1-uDff_7J0KD5mKrp0Vvzr7lt3OU09vwQwhkpOPPYv2Y/edit?usp=sharing"",""งบพรบ!FW75"")"),0)</f>
        <v>0</v>
      </c>
      <c r="M539" s="47">
        <f ca="1">IFERROR(__xludf.DUMMYFUNCTION("IMPORTRANGE(""https://docs.google.com/spreadsheets/d/1-uDff_7J0KD5mKrp0Vvzr7lt3OU09vwQwhkpOPPYv2Y/edit?usp=sharing"",""งบพรบ!GB75"")"),0)</f>
        <v>0</v>
      </c>
      <c r="N539" s="47">
        <f ca="1">IFERROR(__xludf.DUMMYFUNCTION("IMPORTRANGE(""https://docs.google.com/spreadsheets/d/1-uDff_7J0KD5mKrp0Vvzr7lt3OU09vwQwhkpOPPYv2Y/edit?usp=sharing"",""งบพรบ!GD75"")"),0)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IFERROR(__xludf.DUMMYFUNCTION("IMPORTRANGE(""https://docs.google.com/spreadsheets/d/1-uDff_7J0KD5mKrp0Vvzr7lt3OU09vwQwhkpOPPYv2Y/edit?usp=sharing"",""งบพรบ!FZ75"")"),0)</f>
        <v>0</v>
      </c>
      <c r="M542" s="47">
        <f ca="1">IFERROR(__xludf.DUMMYFUNCTION("IMPORTRANGE(""https://docs.google.com/spreadsheets/d/1-uDff_7J0KD5mKrp0Vvzr7lt3OU09vwQwhkpOPPYv2Y/edit?usp=sharing"",""งบพรบ!GC75"")"),0)</f>
        <v>0</v>
      </c>
      <c r="N542" s="47">
        <f ca="1">IFERROR(__xludf.DUMMYFUNCTION("IMPORTRANGE(""https://docs.google.com/spreadsheets/d/1-uDff_7J0KD5mKrp0Vvzr7lt3OU09vwQwhkpOPPYv2Y/edit?usp=sharing"",""งบพรบ!GE75"")"),0)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89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89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89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89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89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89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89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89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89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2">
        <f>I566</f>
        <v>0</v>
      </c>
      <c r="J554" s="592">
        <f>J566</f>
        <v>0</v>
      </c>
      <c r="K554" s="377">
        <f>IF(I554&gt;0,J554*100/I554,0)</f>
        <v>0</v>
      </c>
      <c r="L554" s="591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IFERROR(__xludf.DUMMYFUNCTION("IMPORTRANGE(""https://docs.google.com/spreadsheets/d/1-uDff_7J0KD5mKrp0Vvzr7lt3OU09vwQwhkpOPPYv2Y/edit?usp=sharing"",""งบพรบ!GG75"")"),0)</f>
        <v>0</v>
      </c>
      <c r="M560" s="47">
        <f ca="1">IFERROR(__xludf.DUMMYFUNCTION("IMPORTRANGE(""https://docs.google.com/spreadsheets/d/1-uDff_7J0KD5mKrp0Vvzr7lt3OU09vwQwhkpOPPYv2Y/edit?usp=sharing"",""งบพรบ!GL75"")"),0)</f>
        <v>0</v>
      </c>
      <c r="N560" s="47">
        <f ca="1">IFERROR(__xludf.DUMMYFUNCTION("IMPORTRANGE(""https://docs.google.com/spreadsheets/d/1-uDff_7J0KD5mKrp0Vvzr7lt3OU09vwQwhkpOPPYv2Y/edit?usp=sharing"",""งบพรบ!GN75"")"),0)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IFERROR(__xludf.DUMMYFUNCTION("IMPORTRANGE(""https://docs.google.com/spreadsheets/d/1-uDff_7J0KD5mKrp0Vvzr7lt3OU09vwQwhkpOPPYv2Y/edit?usp=sharing"",""งบพรบ!GJ75"")"),0)</f>
        <v>0</v>
      </c>
      <c r="M563" s="47">
        <f ca="1">IFERROR(__xludf.DUMMYFUNCTION("IMPORTRANGE(""https://docs.google.com/spreadsheets/d/1-uDff_7J0KD5mKrp0Vvzr7lt3OU09vwQwhkpOPPYv2Y/edit?usp=sharing"",""งบพรบ!GM75"")"),0)</f>
        <v>0</v>
      </c>
      <c r="N563" s="47">
        <f ca="1">IFERROR(__xludf.DUMMYFUNCTION("IMPORTRANGE(""https://docs.google.com/spreadsheets/d/1-uDff_7J0KD5mKrp0Vvzr7lt3OU09vwQwhkpOPPYv2Y/edit?usp=sharing"",""งบพรบ!GO75"")"),0)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89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89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89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89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89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89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89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89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89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>I587</f>
        <v>5</v>
      </c>
      <c r="J575" s="385">
        <f>J587</f>
        <v>0</v>
      </c>
      <c r="K575" s="377">
        <f>IF(I575&gt;0,J575*100/I575,0)</f>
        <v>0</v>
      </c>
      <c r="L575" s="591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129" t="s">
        <v>18</v>
      </c>
      <c r="D576" s="59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289514</v>
      </c>
      <c r="M576" s="132">
        <f ca="1">M577+M578</f>
        <v>289514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289514</v>
      </c>
      <c r="M578" s="47">
        <f ca="1">M581+M584</f>
        <v>289514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289514</v>
      </c>
      <c r="M579" s="47">
        <f ca="1">M580+M581</f>
        <v>289514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IFERROR(__xludf.DUMMYFUNCTION("IMPORTRANGE(""https://docs.google.com/spreadsheets/d/1-uDff_7J0KD5mKrp0Vvzr7lt3OU09vwQwhkpOPPYv2Y/edit?usp=sharing"",""งบพรบ!GQ75"")"),289514)</f>
        <v>289514</v>
      </c>
      <c r="M581" s="47">
        <f ca="1">IFERROR(__xludf.DUMMYFUNCTION("IMPORTRANGE(""https://docs.google.com/spreadsheets/d/1-uDff_7J0KD5mKrp0Vvzr7lt3OU09vwQwhkpOPPYv2Y/edit?usp=sharing"",""งบพรบ!GV75"")"),289514)</f>
        <v>289514</v>
      </c>
      <c r="N581" s="47">
        <f ca="1">IFERROR(__xludf.DUMMYFUNCTION("IMPORTRANGE(""https://docs.google.com/spreadsheets/d/1-uDff_7J0KD5mKrp0Vvzr7lt3OU09vwQwhkpOPPYv2Y/edit?usp=sharing"",""งบพรบ!GX75"")"),0)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IFERROR(__xludf.DUMMYFUNCTION("IMPORTRANGE(""https://docs.google.com/spreadsheets/d/1-uDff_7J0KD5mKrp0Vvzr7lt3OU09vwQwhkpOPPYv2Y/edit?usp=sharing"",""งบพรบ!GT75"")"),0)</f>
        <v>0</v>
      </c>
      <c r="M584" s="47">
        <f ca="1">IFERROR(__xludf.DUMMYFUNCTION("IMPORTRANGE(""https://docs.google.com/spreadsheets/d/1-uDff_7J0KD5mKrp0Vvzr7lt3OU09vwQwhkpOPPYv2Y/edit?usp=sharing"",""งบพรบ!GW75"")"),0)</f>
        <v>0</v>
      </c>
      <c r="N584" s="47">
        <f ca="1">IFERROR(__xludf.DUMMYFUNCTION("IMPORTRANGE(""https://docs.google.com/spreadsheets/d/1-uDff_7J0KD5mKrp0Vvzr7lt3OU09vwQwhkpOPPYv2Y/edit?usp=sharing"",""งบพรบ!GY75"")"),0)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v>2</v>
      </c>
      <c r="J586" s="175">
        <v>0</v>
      </c>
      <c r="K586" s="176">
        <f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v>5</v>
      </c>
      <c r="J587" s="167">
        <v>0</v>
      </c>
      <c r="K587" s="47">
        <f>IF(I587&gt;0,J587*100/I587,0)</f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89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89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89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89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89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89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89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8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7" t="s">
        <v>217</v>
      </c>
      <c r="C597" s="183"/>
      <c r="D597" s="125"/>
      <c r="E597" s="28"/>
      <c r="F597" s="28"/>
      <c r="G597" s="28"/>
      <c r="H597" s="586" t="s">
        <v>99</v>
      </c>
      <c r="I597" s="193"/>
      <c r="J597" s="33"/>
      <c r="K597" s="34"/>
      <c r="L597" s="582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5"/>
      <c r="B598" s="584" t="s">
        <v>218</v>
      </c>
      <c r="C598" s="125"/>
      <c r="D598" s="28"/>
      <c r="E598" s="28"/>
      <c r="F598" s="28"/>
      <c r="G598" s="31"/>
      <c r="H598" s="583" t="s">
        <v>35</v>
      </c>
      <c r="I598" s="33"/>
      <c r="J598" s="33"/>
      <c r="K598" s="34"/>
      <c r="L598" s="582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IFERROR(__xludf.DUMMYFUNCTION("IMPORTRANGE(""https://docs.google.com/spreadsheets/d/1-uDff_7J0KD5mKrp0Vvzr7lt3OU09vwQwhkpOPPYv2Y/edit?usp=sharing"",""งบพรบ!HK75"")"),0)</f>
        <v>0</v>
      </c>
      <c r="M604" s="47">
        <f ca="1">IFERROR(__xludf.DUMMYFUNCTION("IMPORTRANGE(""https://docs.google.com/spreadsheets/d/1-uDff_7J0KD5mKrp0Vvzr7lt3OU09vwQwhkpOPPYv2Y/edit?usp=sharing"",""งบพรบ!HP75"")"),0)</f>
        <v>0</v>
      </c>
      <c r="N604" s="47">
        <f ca="1">IFERROR(__xludf.DUMMYFUNCTION("IMPORTRANGE(""https://docs.google.com/spreadsheets/d/1-uDff_7J0KD5mKrp0Vvzr7lt3OU09vwQwhkpOPPYv2Y/edit?usp=sharing"",""งบพรบ!HR75"")"),0)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IFERROR(__xludf.DUMMYFUNCTION("IMPORTRANGE(""https://docs.google.com/spreadsheets/d/1ItG2mGa2ceCfYo0BwxsXqNm01IGEUdYcSSLTEv9YCik/edit?usp=sharing"",""เบิกจ่ายกองทุน!AV75"")"),0)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IFERROR(__xludf.DUMMYFUNCTION("IMPORTRANGE(""https://docs.google.com/spreadsheets/d/1ItG2mGa2ceCfYo0BwxsXqNm01IGEUdYcSSLTEv9YCik/edit?usp=sharing"",""เบิกจ่ายกองทุน!AW75"")"),0)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IFERROR(__xludf.DUMMYFUNCTION("IMPORTRANGE(""https://docs.google.com/spreadsheets/d/1ItG2mGa2ceCfYo0BwxsXqNm01IGEUdYcSSLTEv9YCik/edit?usp=sharing"",""เบิกจ่ายกองทุน!AX75"")"),0)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IFERROR(__xludf.DUMMYFUNCTION("IMPORTRANGE(""https://docs.google.com/spreadsheets/d/1-uDff_7J0KD5mKrp0Vvzr7lt3OU09vwQwhkpOPPYv2Y/edit?usp=sharing"",""งบพรบ!HN75"")"),0)</f>
        <v>0</v>
      </c>
      <c r="M607" s="47">
        <f ca="1">IFERROR(__xludf.DUMMYFUNCTION("IMPORTRANGE(""https://docs.google.com/spreadsheets/d/1-uDff_7J0KD5mKrp0Vvzr7lt3OU09vwQwhkpOPPYv2Y/edit?usp=sharing"",""งบพรบ!HQ75"")"),0)</f>
        <v>0</v>
      </c>
      <c r="N607" s="47">
        <f ca="1">IFERROR(__xludf.DUMMYFUNCTION("IMPORTRANGE(""https://docs.google.com/spreadsheets/d/1-uDff_7J0KD5mKrp0Vvzr7lt3OU09vwQwhkpOPPYv2Y/edit?usp=sharing"",""งบพรบ!HS75"")"),0)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IFERROR(__xludf.DUMMYFUNCTION("IMPORTRANGE(""https://docs.google.com/spreadsheets/d/1ItG2mGa2ceCfYo0BwxsXqNm01IGEUdYcSSLTEv9YCik/edit?usp=sharing"",""เบิกจ่ายกองทุน!AY75"")"),0)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IFERROR(__xludf.DUMMYFUNCTION("IMPORTRANGE(""https://docs.google.com/spreadsheets/d/1ItG2mGa2ceCfYo0BwxsXqNm01IGEUdYcSSLTEv9YCik/edit?usp=sharing"",""เบิกจ่ายกองทุน!AZ75"")"),0)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IFERROR(__xludf.DUMMYFUNCTION("IMPORTRANGE(""https://docs.google.com/spreadsheets/d/1ItG2mGa2ceCfYo0BwxsXqNm01IGEUdYcSSLTEv9YCik/edit?usp=sharing"",""เบิกจ่ายกองทุน!BA75"")"),0)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1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0"/>
      <c r="B612" s="579"/>
      <c r="C612" s="579"/>
      <c r="D612" s="579"/>
      <c r="E612" s="578" t="s">
        <v>222</v>
      </c>
      <c r="F612" s="577"/>
      <c r="G612" s="576"/>
      <c r="H612" s="575" t="s">
        <v>35</v>
      </c>
      <c r="I612" s="574"/>
      <c r="J612" s="574"/>
      <c r="K612" s="573"/>
      <c r="L612" s="572"/>
      <c r="M612" s="571"/>
      <c r="N612" s="571"/>
      <c r="O612" s="571"/>
      <c r="P612" s="571"/>
      <c r="Q612" s="571"/>
      <c r="R612" s="571"/>
      <c r="S612" s="571"/>
      <c r="T612" s="571"/>
      <c r="U612" s="571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0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56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463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188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1800</v>
      </c>
      <c r="R616" s="132">
        <f ca="1">R617+R618</f>
        <v>1800</v>
      </c>
      <c r="S616" s="132">
        <f ca="1">S617+S618</f>
        <v>945</v>
      </c>
      <c r="T616" s="132">
        <f ca="1">IF(Q616&gt;0,S616*100/Q616,0)</f>
        <v>52.5</v>
      </c>
      <c r="U616" s="132">
        <f ca="1">IF(R616&gt;0,S616*100/R616,0)</f>
        <v>52.5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1800</v>
      </c>
      <c r="R618" s="47">
        <f ca="1">R621+R624</f>
        <v>1800</v>
      </c>
      <c r="S618" s="47">
        <f ca="1">S621+S624</f>
        <v>945</v>
      </c>
      <c r="T618" s="47">
        <f ca="1">IF(Q618&gt;0,S618*100/Q618,0)</f>
        <v>52.5</v>
      </c>
      <c r="U618" s="47">
        <f ca="1">IF(R618&gt;0,S618*100/R618,0)</f>
        <v>52.5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1800</v>
      </c>
      <c r="R619" s="47">
        <f ca="1">R620+R621</f>
        <v>1800</v>
      </c>
      <c r="S619" s="47">
        <f ca="1">S620+S621</f>
        <v>945</v>
      </c>
      <c r="T619" s="47">
        <f ca="1">IF(Q619&gt;0,S619*100/Q619,0)</f>
        <v>52.5</v>
      </c>
      <c r="U619" s="47">
        <f ca="1">IF(R619&gt;0,S619*100/R619,0)</f>
        <v>52.5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IFERROR(__xludf.DUMMYFUNCTION("IMPORTRANGE(""https://docs.google.com/spreadsheets/d/1ItG2mGa2ceCfYo0BwxsXqNm01IGEUdYcSSLTEv9YCik/edit?usp=sharing"",""เบิกจ่ายกองทุน!F75"")"),1800)</f>
        <v>1800</v>
      </c>
      <c r="R621" s="47">
        <f ca="1">IFERROR(__xludf.DUMMYFUNCTION("IMPORTRANGE(""https://docs.google.com/spreadsheets/d/1ItG2mGa2ceCfYo0BwxsXqNm01IGEUdYcSSLTEv9YCik/edit?usp=sharing"",""เบิกจ่ายกองทุน!G75"")"),1800)</f>
        <v>1800</v>
      </c>
      <c r="S621" s="47">
        <f ca="1">IFERROR(__xludf.DUMMYFUNCTION("IMPORTRANGE(""https://docs.google.com/spreadsheets/d/1ItG2mGa2ceCfYo0BwxsXqNm01IGEUdYcSSLTEv9YCik/edit?usp=sharing"",""เบิกจ่ายกองทุน!H75"")"),945)</f>
        <v>945</v>
      </c>
      <c r="T621" s="47">
        <f ca="1">IF(Q621&gt;0,S621*100/Q621,0)</f>
        <v>52.5</v>
      </c>
      <c r="U621" s="47">
        <f ca="1">IF(R621&gt;0,S621*100/R621,0)</f>
        <v>52.5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IFERROR(__xludf.DUMMYFUNCTION("IMPORTRANGE(""https://docs.google.com/spreadsheets/d/1eHaY18a8A9IcSdp1K8H6x8fbOy06t2VsZHhMHf-1x7Y/edit?usp=sharing"",""แผน!ID75"")"),0)</f>
        <v>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IFERROR(__xludf.DUMMYFUNCTION("IMPORTRANGE(""https://docs.google.com/spreadsheets/d/1eHaY18a8A9IcSdp1K8H6x8fbOy06t2VsZHhMHf-1x7Y/edit?usp=sharing"",""แผน!IC75"")"),1)</f>
        <v>1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IFERROR(__xludf.DUMMYFUNCTION("IMPORTRANGE(""https://docs.google.com/spreadsheets/d/1eHaY18a8A9IcSdp1K8H6x8fbOy06t2VsZHhMHf-1x7Y/edit?usp=sharing"",""แผน!IC75"")"),1)</f>
        <v>1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IFERROR(__xludf.DUMMYFUNCTION("IMPORTRANGE(""https://docs.google.com/spreadsheets/d/1eHaY18a8A9IcSdp1K8H6x8fbOy06t2VsZHhMHf-1x7Y/edit?usp=sharing"",""แผน!IE75"")"),0)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63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IFERROR(__xludf.DUMMYFUNCTION("IMPORTRANGE(""https://docs.google.com/spreadsheets/d/1ItG2mGa2ceCfYo0BwxsXqNm01IGEUdYcSSLTEv9YCik/edit?usp=sharing"",""เบิกจ่ายกองทุน!I75"")"),0)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IFERROR(__xludf.DUMMYFUNCTION("IMPORTRANGE(""https://docs.google.com/spreadsheets/d/1ItG2mGa2ceCfYo0BwxsXqNm01IGEUdYcSSLTEv9YCik/edit?usp=sharing"",""เบิกจ่ายกองทุน!J75"")"),0)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IFERROR(__xludf.DUMMYFUNCTION("IMPORTRANGE(""https://docs.google.com/spreadsheets/d/1ItG2mGa2ceCfYo0BwxsXqNm01IGEUdYcSSLTEv9YCik/edit?usp=sharing"",""เบิกจ่ายกองทุน!K75"")"),0)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IFERROR(__xludf.DUMMYFUNCTION("IMPORTRANGE(""https://docs.google.com/spreadsheets/d/1eHaY18a8A9IcSdp1K8H6x8fbOy06t2VsZHhMHf-1x7Y/edit?usp=sharing"",""แผน!IF75"")"),0)</f>
        <v>0</v>
      </c>
      <c r="J652" s="152">
        <f ca="1">IFERROR(__xludf.DUMMYFUNCTION("IMPORTRANGE(""https://docs.google.com/spreadsheets/d/1tdoBKaGub7dwA3U6UFTqxio9LNnvDCQjHKmttSEBsFQ/edit?usp=sharing"",""จัดที่ดิน!AU75"")"),0)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IFERROR(__xludf.DUMMYFUNCTION("IMPORTRANGE(""https://docs.google.com/spreadsheets/d/1eHaY18a8A9IcSdp1K8H6x8fbOy06t2VsZHhMHf-1x7Y/edit?usp=sharing"",""แผน!IG75"")"),0)</f>
        <v>0</v>
      </c>
      <c r="J653" s="152">
        <f ca="1">IFERROR(__xludf.DUMMYFUNCTION("IMPORTRANGE(""https://docs.google.com/spreadsheets/d/1tdoBKaGub7dwA3U6UFTqxio9LNnvDCQjHKmttSEBsFQ/edit?usp=sharing"",""จัดที่ดิน!AW75"")"),0)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IFERROR(__xludf.DUMMYFUNCTION("IMPORTRANGE(""https://docs.google.com/spreadsheets/d/1eHaY18a8A9IcSdp1K8H6x8fbOy06t2VsZHhMHf-1x7Y/edit?usp=sharing"",""แผน!IH75"")"),0)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IFERROR(__xludf.DUMMYFUNCTION("IMPORTRANGE(""https://docs.google.com/spreadsheets/d/1eHaY18a8A9IcSdp1K8H6x8fbOy06t2VsZHhMHf-1x7Y/edit?usp=sharing"",""แผน!II75"")"),0)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IFERROR(__xludf.DUMMYFUNCTION("IMPORTRANGE(""https://docs.google.com/spreadsheets/d/1eHaY18a8A9IcSdp1K8H6x8fbOy06t2VsZHhMHf-1x7Y/edit?usp=sharing"",""แผน!IJ75"")"),0)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IFERROR(__xludf.DUMMYFUNCTION("IMPORTRANGE(""https://docs.google.com/spreadsheets/d/1eHaY18a8A9IcSdp1K8H6x8fbOy06t2VsZHhMHf-1x7Y/edit?usp=sharing"",""แผน!IK75"")"),0)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IFERROR(__xludf.DUMMYFUNCTION("IMPORTRANGE(""https://docs.google.com/spreadsheets/d/1tdoBKaGub7dwA3U6UFTqxio9LNnvDCQjHKmttSEBsFQ/edit?usp=sharing"",""จัดที่ดิน!AY75"")"),0)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IFERROR(__xludf.DUMMYFUNCTION("IMPORTRANGE(""https://docs.google.com/spreadsheets/d/1tdoBKaGub7dwA3U6UFTqxio9LNnvDCQjHKmttSEBsFQ/edit?usp=sharing"",""จัดที่ดิน!AZ75"")"),0)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IFERROR(__xludf.DUMMYFUNCTION("IMPORTRANGE(""https://docs.google.com/spreadsheets/d/1eHaY18a8A9IcSdp1K8H6x8fbOy06t2VsZHhMHf-1x7Y/edit?usp=sharing"",""แผน!IL75"")"),0)</f>
        <v>0</v>
      </c>
      <c r="J673" s="152">
        <f ca="1">IFERROR(__xludf.DUMMYFUNCTION("IMPORTRANGE(""https://docs.google.com/spreadsheets/d/1tdoBKaGub7dwA3U6UFTqxio9LNnvDCQjHKmttSEBsFQ/edit?usp=sharing"",""จัดที่ดิน!BA75"")"),0)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IFERROR(__xludf.DUMMYFUNCTION("IMPORTRANGE(""https://docs.google.com/spreadsheets/d/1eHaY18a8A9IcSdp1K8H6x8fbOy06t2VsZHhMHf-1x7Y/edit?usp=sharing"",""แผน!IM75"")"),0)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IFERROR(__xludf.DUMMYFUNCTION("IMPORTRANGE(""https://docs.google.com/spreadsheets/d/1eHaY18a8A9IcSdp1K8H6x8fbOy06t2VsZHhMHf-1x7Y/edit?usp=sharing"",""แผน!IN75"")"),0)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IFERROR(__xludf.DUMMYFUNCTION("IMPORTRANGE(""https://docs.google.com/spreadsheets/d/1eHaY18a8A9IcSdp1K8H6x8fbOy06t2VsZHhMHf-1x7Y/edit?usp=sharing"",""แผน!IO75"")"),0)</f>
        <v>0</v>
      </c>
      <c r="J676" s="152">
        <f ca="1">IFERROR(__xludf.DUMMYFUNCTION("IMPORTRANGE(""https://docs.google.com/spreadsheets/d/1tdoBKaGub7dwA3U6UFTqxio9LNnvDCQjHKmttSEBsFQ/edit?usp=sharing"",""จัดที่ดิน!BF75"")"),0)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IFERROR(__xludf.DUMMYFUNCTION("IMPORTRANGE(""https://docs.google.com/spreadsheets/d/1tdoBKaGub7dwA3U6UFTqxio9LNnvDCQjHKmttSEBsFQ/edit?usp=sharing"",""จัดที่ดิน!BG75"")"),0)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IFERROR(__xludf.DUMMYFUNCTION("IMPORTRANGE(""https://docs.google.com/spreadsheets/d/1eHaY18a8A9IcSdp1K8H6x8fbOy06t2VsZHhMHf-1x7Y/edit?usp=sharing"",""แผน!IP75"")"),0)</f>
        <v>0</v>
      </c>
      <c r="J678" s="152">
        <f ca="1">IFERROR(__xludf.DUMMYFUNCTION("IMPORTRANGE(""https://docs.google.com/spreadsheets/d/1tdoBKaGub7dwA3U6UFTqxio9LNnvDCQjHKmttSEBsFQ/edit?usp=sharing"",""จัดที่ดิน!BH75"")"),0)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IFERROR(__xludf.DUMMYFUNCTION("IMPORTRANGE(""https://docs.google.com/spreadsheets/d/1eHaY18a8A9IcSdp1K8H6x8fbOy06t2VsZHhMHf-1x7Y/edit?usp=sharing"",""แผน!IQ75"")"),0)</f>
        <v>0</v>
      </c>
      <c r="J679" s="152">
        <f ca="1">IFERROR(__xludf.DUMMYFUNCTION("IMPORTRANGE(""https://docs.google.com/spreadsheets/d/1tdoBKaGub7dwA3U6UFTqxio9LNnvDCQjHKmttSEBsFQ/edit?usp=sharing"",""จัดที่ดิน!BK75"")"),0)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IFERROR(__xludf.DUMMYFUNCTION("IMPORTRANGE(""https://docs.google.com/spreadsheets/d/1tdoBKaGub7dwA3U6UFTqxio9LNnvDCQjHKmttSEBsFQ/edit?usp=sharing"",""จัดที่ดิน!BL75"")"),0)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IFERROR(__xludf.DUMMYFUNCTION("IMPORTRANGE(""https://docs.google.com/spreadsheets/d/1eHaY18a8A9IcSdp1K8H6x8fbOy06t2VsZHhMHf-1x7Y/edit?usp=sharing"",""แผน!IR75"")"),0)</f>
        <v>0</v>
      </c>
      <c r="J681" s="152">
        <f ca="1">IFERROR(__xludf.DUMMYFUNCTION("IMPORTRANGE(""https://docs.google.com/spreadsheets/d/1tdoBKaGub7dwA3U6UFTqxio9LNnvDCQjHKmttSEBsFQ/edit?usp=sharing"",""จัดที่ดิน!BM75"")"),0)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IFERROR(__xludf.DUMMYFUNCTION("IMPORTRANGE(""https://docs.google.com/spreadsheets/d/1eHaY18a8A9IcSdp1K8H6x8fbOy06t2VsZHhMHf-1x7Y/edit?usp=sharing"",""แผน!IS75"")"),0)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56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79150</v>
      </c>
      <c r="R690" s="132">
        <f ca="1">R691+R692</f>
        <v>79150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79150</v>
      </c>
      <c r="R692" s="47">
        <f ca="1">R695+R698</f>
        <v>79150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79150</v>
      </c>
      <c r="R693" s="47">
        <f ca="1">R694+R695</f>
        <v>79150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IFERROR(__xludf.DUMMYFUNCTION("IMPORTRANGE(""https://docs.google.com/spreadsheets/d/1ItG2mGa2ceCfYo0BwxsXqNm01IGEUdYcSSLTEv9YCik/edit?usp=sharing"",""เบิกจ่ายกองทุน!L75"")"),79150)</f>
        <v>79150</v>
      </c>
      <c r="R695" s="47">
        <f ca="1">IFERROR(__xludf.DUMMYFUNCTION("IMPORTRANGE(""https://docs.google.com/spreadsheets/d/1ItG2mGa2ceCfYo0BwxsXqNm01IGEUdYcSSLTEv9YCik/edit?usp=sharing"",""เบิกจ่ายกองทุน!M75"")"),79150)</f>
        <v>79150</v>
      </c>
      <c r="S695" s="47">
        <f ca="1">IFERROR(__xludf.DUMMYFUNCTION("IMPORTRANGE(""https://docs.google.com/spreadsheets/d/1ItG2mGa2ceCfYo0BwxsXqNm01IGEUdYcSSLTEv9YCik/edit?usp=sharing"",""เบิกจ่ายกองทุน!N75"")"),0)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IFERROR(__xludf.DUMMYFUNCTION("IMPORTRANGE(""https://docs.google.com/spreadsheets/d/1eHaY18a8A9IcSdp1K8H6x8fbOy06t2VsZHhMHf-1x7Y/edit?usp=sharing"",""แผน!LC75"")"),0)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IFERROR(__xludf.DUMMYFUNCTION("IMPORTRANGE(""https://docs.google.com/spreadsheets/d/1eHaY18a8A9IcSdp1K8H6x8fbOy06t2VsZHhMHf-1x7Y/edit?usp=sharing"",""แผน!LJ75"")"),0)</f>
        <v>0</v>
      </c>
      <c r="J703" s="152">
        <f ca="1">IFERROR(__xludf.DUMMYFUNCTION("IMPORTRANGE(""https://docs.google.com/spreadsheets/d/1tdoBKaGub7dwA3U6UFTqxio9LNnvDCQjHKmttSEBsFQ/edit?usp=sharing"",""จัดที่ดิน!AP75"")"),0)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IFERROR(__xludf.DUMMYFUNCTION("IMPORTRANGE(""https://docs.google.com/spreadsheets/d/1tdoBKaGub7dwA3U6UFTqxio9LNnvDCQjHKmttSEBsFQ/edit?usp=sharing"",""จัดที่ดิน!AQ75"")"),0)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IFERROR(__xludf.DUMMYFUNCTION("IMPORTRANGE(""https://docs.google.com/spreadsheets/d/1eHaY18a8A9IcSdp1K8H6x8fbOy06t2VsZHhMHf-1x7Y/edit?usp=sharing"",""แผน!LK75"")"),5)</f>
        <v>5</v>
      </c>
      <c r="J705" s="152">
        <f ca="1">IFERROR(__xludf.DUMMYFUNCTION("IMPORTRANGE(""https://docs.google.com/spreadsheets/d/1tdoBKaGub7dwA3U6UFTqxio9LNnvDCQjHKmttSEBsFQ/edit?usp=sharing"",""จัดที่ดิน!AR75"")"),0)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IFERROR(__xludf.DUMMYFUNCTION("IMPORTRANGE(""https://docs.google.com/spreadsheets/d/1tdoBKaGub7dwA3U6UFTqxio9LNnvDCQjHKmttSEBsFQ/edit?usp=sharing"",""จัดที่ดิน!AS75"")"),0)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IFERROR(__xludf.DUMMYFUNCTION("IMPORTRANGE(""https://docs.google.com/spreadsheets/d/1eHaY18a8A9IcSdp1K8H6x8fbOy06t2VsZHhMHf-1x7Y/edit?usp=sharing"",""แผน!LJ75"")"),0)</f>
        <v>0</v>
      </c>
      <c r="J707" s="152">
        <f ca="1">IFERROR(__xludf.DUMMYFUNCTION("IMPORTRANGE(""https://docs.google.com/spreadsheets/d/1tdoBKaGub7dwA3U6UFTqxio9LNnvDCQjHKmttSEBsFQ/edit?usp=sharing"",""จัดที่ดิน!BN75"")"),0)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IFERROR(__xludf.DUMMYFUNCTION("IMPORTRANGE(""https://docs.google.com/spreadsheets/d/1tdoBKaGub7dwA3U6UFTqxio9LNnvDCQjHKmttSEBsFQ/edit?usp=sharing"",""จัดที่ดิน!BO75"")"),0)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IFERROR(__xludf.DUMMYFUNCTION("IMPORTRANGE(""https://docs.google.com/spreadsheets/d/1eHaY18a8A9IcSdp1K8H6x8fbOy06t2VsZHhMHf-1x7Y/edit?usp=sharing"",""แผน!LK75"")"),5)</f>
        <v>5</v>
      </c>
      <c r="J709" s="152">
        <f ca="1">IFERROR(__xludf.DUMMYFUNCTION("IMPORTRANGE(""https://docs.google.com/spreadsheets/d/1tdoBKaGub7dwA3U6UFTqxio9LNnvDCQjHKmttSEBsFQ/edit?usp=sharing"",""จัดที่ดิน!BP75"")"),11)</f>
        <v>11</v>
      </c>
      <c r="K709" s="47">
        <f ca="1">IF(I709&gt;0,J709*100/I709,0)</f>
        <v>220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IFERROR(__xludf.DUMMYFUNCTION("IMPORTRANGE(""https://docs.google.com/spreadsheets/d/1tdoBKaGub7dwA3U6UFTqxio9LNnvDCQjHKmttSEBsFQ/edit?usp=sharing"",""จัดที่ดิน!BQ75"")"),0)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56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56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56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IFERROR(__xludf.DUMMYFUNCTION("IMPORTRANGE(""https://docs.google.com/spreadsheets/d/1eHaY18a8A9IcSdp1K8H6x8fbOy06t2VsZHhMHf-1x7Y/edit?usp=sharing"",""แผน!GA75"")"),16)</f>
        <v>16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IFERROR(__xludf.DUMMYFUNCTION("IMPORTRANGE(""https://docs.google.com/spreadsheets/d/1eHaY18a8A9IcSdp1K8H6x8fbOy06t2VsZHhMHf-1x7Y/edit?usp=sharing"",""แผน!FZ75"")"),150)</f>
        <v>150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188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143438</v>
      </c>
      <c r="R728" s="132">
        <f ca="1">R729+R730</f>
        <v>175838</v>
      </c>
      <c r="S728" s="132">
        <f ca="1">S729+S730</f>
        <v>46415</v>
      </c>
      <c r="T728" s="132">
        <f ca="1">IF(Q728&gt;0,S728*100/Q728,0)</f>
        <v>32.358928596327331</v>
      </c>
      <c r="U728" s="132">
        <f ca="1">IF(R728&gt;0,S728*100/R728,0)</f>
        <v>26.396455828660471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143438</v>
      </c>
      <c r="R730" s="47">
        <f ca="1">R733+R736</f>
        <v>175838</v>
      </c>
      <c r="S730" s="47">
        <f ca="1">S733+S736</f>
        <v>46415</v>
      </c>
      <c r="T730" s="47">
        <f ca="1">IF(Q730&gt;0,S730*100/Q730,0)</f>
        <v>32.358928596327331</v>
      </c>
      <c r="U730" s="47">
        <f ca="1">IF(R730&gt;0,S730*100/R730,0)</f>
        <v>26.396455828660471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143438</v>
      </c>
      <c r="R731" s="47">
        <f ca="1">R732+R733</f>
        <v>175838</v>
      </c>
      <c r="S731" s="47">
        <f ca="1">S732+S733</f>
        <v>46415</v>
      </c>
      <c r="T731" s="47">
        <f ca="1">IF(Q731&gt;0,S731*100/Q731,0)</f>
        <v>32.358928596327331</v>
      </c>
      <c r="U731" s="47">
        <f ca="1">IF(R731&gt;0,S731*100/R731,0)</f>
        <v>26.396455828660471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IFERROR(__xludf.DUMMYFUNCTION("IMPORTRANGE(""https://docs.google.com/spreadsheets/d/1ItG2mGa2ceCfYo0BwxsXqNm01IGEUdYcSSLTEv9YCik/edit?usp=sharing"",""เบิกจ่ายกองทุน!O75"")"),143438)</f>
        <v>143438</v>
      </c>
      <c r="R733" s="47">
        <f ca="1">IFERROR(__xludf.DUMMYFUNCTION("IMPORTRANGE(""https://docs.google.com/spreadsheets/d/1ItG2mGa2ceCfYo0BwxsXqNm01IGEUdYcSSLTEv9YCik/edit?usp=sharing"",""เบิกจ่ายกองทุน!P75"")"),175838)</f>
        <v>175838</v>
      </c>
      <c r="S733" s="47">
        <f ca="1">IFERROR(__xludf.DUMMYFUNCTION("IMPORTRANGE(""https://docs.google.com/spreadsheets/d/1ItG2mGa2ceCfYo0BwxsXqNm01IGEUdYcSSLTEv9YCik/edit?usp=sharing"",""เบิกจ่ายกองทุน!Q75"")"),46415)</f>
        <v>46415</v>
      </c>
      <c r="T733" s="47">
        <f ca="1">IF(Q733&gt;0,S733*100/Q733,0)</f>
        <v>32.358928596327331</v>
      </c>
      <c r="U733" s="47">
        <f ca="1">IF(R733&gt;0,S733*100/R733,0)</f>
        <v>26.396455828660471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IFERROR(__xludf.DUMMYFUNCTION("IMPORTRANGE(""https://docs.google.com/spreadsheets/d/1eHaY18a8A9IcSdp1K8H6x8fbOy06t2VsZHhMHf-1x7Y/edit?usp=sharing"",""แผน!GB75"")"),120)</f>
        <v>120</v>
      </c>
      <c r="J740" s="554">
        <v>0</v>
      </c>
      <c r="K740" s="331">
        <f ca="1">IF(I740&gt;0,J740*100/I740,0)</f>
        <v>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IFERROR(__xludf.DUMMYFUNCTION("IMPORTRANGE(""https://docs.google.com/spreadsheets/d/1eHaY18a8A9IcSdp1K8H6x8fbOy06t2VsZHhMHf-1x7Y/edit?usp=sharing"",""แผน!GC75"")"),12)</f>
        <v>12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IFERROR(__xludf.DUMMYFUNCTION("IMPORTRANGE(""https://docs.google.com/spreadsheets/d/1eHaY18a8A9IcSdp1K8H6x8fbOy06t2VsZHhMHf-1x7Y/edit?usp=sharing"",""แผน!GD75"")"),30)</f>
        <v>30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IFERROR(__xludf.DUMMYFUNCTION("IMPORTRANGE(""https://docs.google.com/spreadsheets/d/1eHaY18a8A9IcSdp1K8H6x8fbOy06t2VsZHhMHf-1x7Y/edit?usp=sharing"",""แผน!GE75"")"),3)</f>
        <v>3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IFERROR(__xludf.DUMMYFUNCTION("IMPORTRANGE(""https://docs.google.com/spreadsheets/d/1eHaY18a8A9IcSdp1K8H6x8fbOy06t2VsZHhMHf-1x7Y/edit?usp=sharing"",""แผน!GF75"")"),1)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IFERROR(__xludf.DUMMYFUNCTION("IMPORTRANGE(""https://docs.google.com/spreadsheets/d/1eHaY18a8A9IcSdp1K8H6x8fbOy06t2VsZHhMHf-1x7Y/edit?usp=sharing"",""แผน!GB75"")"),120)</f>
        <v>120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IFERROR(__xludf.DUMMYFUNCTION("IMPORTRANGE(""https://docs.google.com/spreadsheets/d/1eHaY18a8A9IcSdp1K8H6x8fbOy06t2VsZHhMHf-1x7Y/edit?usp=sharing"",""แผน!GD75"")"),30)</f>
        <v>30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9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56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15</v>
      </c>
      <c r="J758" s="483">
        <f>J772</f>
        <v>15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45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134510</v>
      </c>
      <c r="R760" s="132">
        <f ca="1">R761+R762</f>
        <v>134510</v>
      </c>
      <c r="S760" s="132">
        <f ca="1">S761+S762</f>
        <v>54157</v>
      </c>
      <c r="T760" s="132">
        <f ca="1">IF(Q760&gt;0,S760*100/Q760,0)</f>
        <v>40.262434019775483</v>
      </c>
      <c r="U760" s="132">
        <f ca="1">IF(R760&gt;0,S760*100/R760,0)</f>
        <v>40.262434019775483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134510</v>
      </c>
      <c r="R762" s="47">
        <f ca="1">R765+R768</f>
        <v>134510</v>
      </c>
      <c r="S762" s="47">
        <f ca="1">S765+S768</f>
        <v>54157</v>
      </c>
      <c r="T762" s="47">
        <f ca="1">IF(Q762&gt;0,S762*100/Q762,0)</f>
        <v>40.262434019775483</v>
      </c>
      <c r="U762" s="47">
        <f ca="1">IF(R762&gt;0,S762*100/R762,0)</f>
        <v>40.262434019775483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134510</v>
      </c>
      <c r="R763" s="47">
        <f ca="1">R764+R765</f>
        <v>134510</v>
      </c>
      <c r="S763" s="47">
        <f ca="1">S764+S765</f>
        <v>54157</v>
      </c>
      <c r="T763" s="47">
        <f ca="1">IF(Q763&gt;0,S763*100/Q763,0)</f>
        <v>40.262434019775483</v>
      </c>
      <c r="U763" s="47">
        <f ca="1">IF(R763&gt;0,S763*100/R763,0)</f>
        <v>40.262434019775483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IFERROR(__xludf.DUMMYFUNCTION("IMPORTRANGE(""https://docs.google.com/spreadsheets/d/1ItG2mGa2ceCfYo0BwxsXqNm01IGEUdYcSSLTEv9YCik/edit?usp=sharing"",""เบิกจ่ายกองทุน!AA75"")"),134510)</f>
        <v>134510</v>
      </c>
      <c r="R765" s="47">
        <f ca="1">IFERROR(__xludf.DUMMYFUNCTION("IMPORTRANGE(""https://docs.google.com/spreadsheets/d/1ItG2mGa2ceCfYo0BwxsXqNm01IGEUdYcSSLTEv9YCik/edit?usp=sharing"",""เบิกจ่ายกองทุน!AB75"")"),134510)</f>
        <v>134510</v>
      </c>
      <c r="S765" s="47">
        <f ca="1">IFERROR(__xludf.DUMMYFUNCTION("IMPORTRANGE(""https://docs.google.com/spreadsheets/d/1ItG2mGa2ceCfYo0BwxsXqNm01IGEUdYcSSLTEv9YCik/edit?usp=sharing"",""เบิกจ่ายกองทุน!AC75"")"),54157)</f>
        <v>54157</v>
      </c>
      <c r="T765" s="47">
        <f ca="1">IF(Q765&gt;0,S765*100/Q765,0)</f>
        <v>40.262434019775483</v>
      </c>
      <c r="U765" s="47">
        <f ca="1">IF(R765&gt;0,S765*100/R765,0)</f>
        <v>40.262434019775483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IFERROR(__xludf.DUMMYFUNCTION("IMPORTRANGE(""https://docs.google.com/spreadsheets/d/1eHaY18a8A9IcSdp1K8H6x8fbOy06t2VsZHhMHf-1x7Y/edit?usp=sharing"",""แผน!FI75"")"),0)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IFERROR(__xludf.DUMMYFUNCTION("IMPORTRANGE(""https://docs.google.com/spreadsheets/d/1eHaY18a8A9IcSdp1K8H6x8fbOy06t2VsZHhMHf-1x7Y/edit?usp=sharing"",""แผน!FQ75"")"),15)</f>
        <v>15</v>
      </c>
      <c r="J772" s="167">
        <v>15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IFERROR(__xludf.DUMMYFUNCTION("IMPORTRANGE(""https://docs.google.com/spreadsheets/d/1eHaY18a8A9IcSdp1K8H6x8fbOy06t2VsZHhMHf-1x7Y/edit?usp=sharing"",""แผน!FR75"")"),45)</f>
        <v>45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IFERROR(__xludf.DUMMYFUNCTION("IMPORTRANGE(""https://docs.google.com/spreadsheets/d/1eHaY18a8A9IcSdp1K8H6x8fbOy06t2VsZHhMHf-1x7Y/edit?usp=sharing"",""แผน!FS75"")"),45)</f>
        <v>45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IFERROR(__xludf.DUMMYFUNCTION("IMPORTRANGE(""https://docs.google.com/spreadsheets/d/1eHaY18a8A9IcSdp1K8H6x8fbOy06t2VsZHhMHf-1x7Y/edit?usp=sharing"",""แผน!FT75"")"),15)</f>
        <v>15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IFERROR(__xludf.DUMMYFUNCTION("IMPORTRANGE(""https://docs.google.com/spreadsheets/d/10OvvATaaLtwErnr3qtWFcTmtbfpFEt5Bsqel9sXx0uE/edit?usp=sharing"",""งานกองทุน!D75"")"),198638.23)</f>
        <v>198638.23</v>
      </c>
      <c r="J778" s="152">
        <f ca="1">IFERROR(__xludf.DUMMYFUNCTION("IMPORTRANGE(""https://docs.google.com/spreadsheets/d/10OvvATaaLtwErnr3qtWFcTmtbfpFEt5Bsqel9sXx0uE/edit?usp=sharing"",""งานกองทุน!F75"")"),228574.38)</f>
        <v>228574.38</v>
      </c>
      <c r="K778" s="47">
        <f ca="1">IF(I778&gt;0,J778*100/I778,0)</f>
        <v>115.07068906121444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IFERROR(__xludf.DUMMYFUNCTION("IMPORTRANGE(""https://docs.google.com/spreadsheets/d/10OvvATaaLtwErnr3qtWFcTmtbfpFEt5Bsqel9sXx0uE/edit?usp=sharing"",""งานกองทุน!C75"")"),18)</f>
        <v>18</v>
      </c>
      <c r="J779" s="152">
        <f ca="1">IFERROR(__xludf.DUMMYFUNCTION("IMPORTRANGE(""https://docs.google.com/spreadsheets/d/10OvvATaaLtwErnr3qtWFcTmtbfpFEt5Bsqel9sXx0uE/edit?usp=sharing"",""งานกองทุน!E75"")"),24)</f>
        <v>24</v>
      </c>
      <c r="K779" s="47">
        <f ca="1">IF(I779&gt;0,J779*100/I779,0)</f>
        <v>133.33333333333334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IFERROR(__xludf.DUMMYFUNCTION("IMPORTRANGE(""https://docs.google.com/spreadsheets/d/10OvvATaaLtwErnr3qtWFcTmtbfpFEt5Bsqel9sXx0uE/edit?usp=sharing"",""งานกองทุน!I75"")"),2716463.14)</f>
        <v>2716463.14</v>
      </c>
      <c r="J780" s="152">
        <f ca="1">IFERROR(__xludf.DUMMYFUNCTION("IMPORTRANGE(""https://docs.google.com/spreadsheets/d/10OvvATaaLtwErnr3qtWFcTmtbfpFEt5Bsqel9sXx0uE/edit?usp=sharing"",""งานกองทุน!K75"")"),619472.82)</f>
        <v>619472.81999999995</v>
      </c>
      <c r="K780" s="47">
        <f ca="1">IF(I780&gt;0,J780*100/I780,0)</f>
        <v>22.804388945251798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IFERROR(__xludf.DUMMYFUNCTION("IMPORTRANGE(""https://docs.google.com/spreadsheets/d/10OvvATaaLtwErnr3qtWFcTmtbfpFEt5Bsqel9sXx0uE/edit?usp=sharing"",""งานกองทุน!H75"")"),90)</f>
        <v>90</v>
      </c>
      <c r="J781" s="152">
        <f ca="1">IFERROR(__xludf.DUMMYFUNCTION("IMPORTRANGE(""https://docs.google.com/spreadsheets/d/10OvvATaaLtwErnr3qtWFcTmtbfpFEt5Bsqel9sXx0uE/edit?usp=sharing"",""งานกองทุน!J75"")"),65)</f>
        <v>65</v>
      </c>
      <c r="K781" s="47">
        <f ca="1">IF(I781&gt;0,J781*100/I781,0)</f>
        <v>72.222222222222229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IFERROR(__xludf.DUMMYFUNCTION("IMPORTRANGE(""https://docs.google.com/spreadsheets/d/10OvvATaaLtwErnr3qtWFcTmtbfpFEt5Bsqel9sXx0uE/edit?usp=sharing"",""งานกองทุน!N75"")"),0)</f>
        <v>0</v>
      </c>
      <c r="J782" s="152">
        <f ca="1">IFERROR(__xludf.DUMMYFUNCTION("IMPORTRANGE(""https://docs.google.com/spreadsheets/d/10OvvATaaLtwErnr3qtWFcTmtbfpFEt5Bsqel9sXx0uE/edit?usp=sharing"",""งานกองทุน!P75"")"),0)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IFERROR(__xludf.DUMMYFUNCTION("IMPORTRANGE(""https://docs.google.com/spreadsheets/d/10OvvATaaLtwErnr3qtWFcTmtbfpFEt5Bsqel9sXx0uE/edit?usp=sharing"",""งานกองทุน!M75"")"),0)</f>
        <v>0</v>
      </c>
      <c r="J783" s="152">
        <f ca="1">IFERROR(__xludf.DUMMYFUNCTION("IMPORTRANGE(""https://docs.google.com/spreadsheets/d/10OvvATaaLtwErnr3qtWFcTmtbfpFEt5Bsqel9sXx0uE/edit?usp=sharing"",""งานกองทุน!O75"")"),0)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IFERROR(__xludf.DUMMYFUNCTION("IMPORTRANGE(""https://docs.google.com/spreadsheets/d/10OvvATaaLtwErnr3qtWFcTmtbfpFEt5Bsqel9sXx0uE/edit?usp=sharing"",""งานกองทุน!S75"")"),1120000)</f>
        <v>1120000</v>
      </c>
      <c r="J784" s="152">
        <f ca="1">IFERROR(__xludf.DUMMYFUNCTION("IMPORTRANGE(""https://docs.google.com/spreadsheets/d/10OvvATaaLtwErnr3qtWFcTmtbfpFEt5Bsqel9sXx0uE/edit?usp=sharing"",""งานกองทุน!U75"")"),400000)</f>
        <v>400000</v>
      </c>
      <c r="K784" s="47">
        <f ca="1">IF(I784&gt;0,J784*100/I784,0)</f>
        <v>35.714285714285715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IFERROR(__xludf.DUMMYFUNCTION("IMPORTRANGE(""https://docs.google.com/spreadsheets/d/10OvvATaaLtwErnr3qtWFcTmtbfpFEt5Bsqel9sXx0uE/edit?usp=sharing"",""งานกองทุน!R75"")"),40)</f>
        <v>40</v>
      </c>
      <c r="J785" s="197">
        <f ca="1">IFERROR(__xludf.DUMMYFUNCTION("IMPORTRANGE(""https://docs.google.com/spreadsheets/d/10OvvATaaLtwErnr3qtWFcTmtbfpFEt5Bsqel9sXx0uE/edit?usp=sharing"",""งานกองทุน!T75"")"),8)</f>
        <v>8</v>
      </c>
      <c r="K785" s="111">
        <f ca="1">IF(I785&gt;0,J785*100/I785,0)</f>
        <v>20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4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0E514-411F-4729-9355-897BA8E3D72F}">
  <sheetPr codeName="Sheet3">
    <outlinePr summaryBelow="0" summaryRight="0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7.5703125" bestFit="1" customWidth="1"/>
    <col min="10" max="10" width="15.8554687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 x14ac:dyDescent="0.3">
      <c r="A1" s="817" t="s">
        <v>0</v>
      </c>
      <c r="B1" s="817"/>
      <c r="C1" s="817"/>
      <c r="D1" s="817"/>
      <c r="E1" s="817"/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7"/>
      <c r="R1" s="817"/>
      <c r="S1" s="817"/>
      <c r="T1" s="817"/>
      <c r="U1" s="817"/>
    </row>
    <row r="2" spans="1:21" s="897" customFormat="1" ht="19.5" x14ac:dyDescent="0.3">
      <c r="A2" s="817" t="s">
        <v>314</v>
      </c>
      <c r="B2" s="817"/>
      <c r="C2" s="817"/>
      <c r="D2" s="817"/>
      <c r="E2" s="817"/>
      <c r="F2" s="817"/>
      <c r="G2" s="817"/>
      <c r="H2" s="817"/>
      <c r="I2" s="817"/>
      <c r="J2" s="817"/>
      <c r="K2" s="817"/>
      <c r="L2" s="817"/>
      <c r="M2" s="817"/>
      <c r="N2" s="817"/>
      <c r="O2" s="817"/>
      <c r="P2" s="817"/>
      <c r="Q2" s="817"/>
      <c r="R2" s="817"/>
      <c r="S2" s="817"/>
      <c r="T2" s="817"/>
      <c r="U2" s="817"/>
    </row>
    <row r="3" spans="1:21" ht="19.5" x14ac:dyDescent="0.3">
      <c r="A3" s="817" t="s">
        <v>332</v>
      </c>
      <c r="B3" s="817"/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  <c r="S3" s="817"/>
      <c r="T3" s="817"/>
      <c r="U3" s="817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816"/>
      <c r="L4" s="815" t="s">
        <v>2</v>
      </c>
      <c r="M4" s="518"/>
      <c r="N4" s="518"/>
      <c r="O4" s="518"/>
      <c r="P4" s="519"/>
      <c r="Q4" s="814" t="s">
        <v>3</v>
      </c>
      <c r="R4" s="518"/>
      <c r="S4" s="518"/>
      <c r="T4" s="518"/>
      <c r="U4" s="519"/>
    </row>
    <row r="5" spans="1:21" ht="19.5" x14ac:dyDescent="0.3">
      <c r="A5" s="813" t="s">
        <v>4</v>
      </c>
      <c r="B5" s="522"/>
      <c r="C5" s="522"/>
      <c r="D5" s="522"/>
      <c r="E5" s="522"/>
      <c r="F5" s="522"/>
      <c r="G5" s="535"/>
      <c r="H5" s="812" t="s">
        <v>5</v>
      </c>
      <c r="I5" s="527" t="s">
        <v>6</v>
      </c>
      <c r="J5" s="518"/>
      <c r="K5" s="519"/>
      <c r="L5" s="811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0"/>
      <c r="I6" s="7" t="s">
        <v>9</v>
      </c>
      <c r="J6" s="8" t="s">
        <v>10</v>
      </c>
      <c r="K6" s="7" t="s">
        <v>11</v>
      </c>
      <c r="L6" s="809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2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1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1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1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1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1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1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1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1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08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7">
        <f ca="1">L19+L20</f>
        <v>7162992</v>
      </c>
      <c r="M18" s="35">
        <f ca="1">M19+M20</f>
        <v>7395286</v>
      </c>
      <c r="N18" s="35">
        <f ca="1">N19+N20</f>
        <v>1755897.09</v>
      </c>
      <c r="O18" s="35">
        <f ca="1">IF(L18&gt;0,N18*100/L18,0)</f>
        <v>24.51345876136676</v>
      </c>
      <c r="P18" s="35">
        <f ca="1">IF(M18&gt;0,N18*100/M18,0)</f>
        <v>23.743464282517269</v>
      </c>
      <c r="Q18" s="35">
        <f ca="1">Q19+Q20</f>
        <v>2651677.39</v>
      </c>
      <c r="R18" s="35">
        <f ca="1">R19+R20</f>
        <v>2676177</v>
      </c>
      <c r="S18" s="35">
        <f ca="1">S19+S20</f>
        <v>593028.09000000008</v>
      </c>
      <c r="T18" s="35">
        <f ca="1">IF(Q18&gt;0,S18*100/Q18,0)</f>
        <v>22.364262418815589</v>
      </c>
      <c r="U18" s="35">
        <f ca="1">IF(R18&gt;0,S18*100/R18,0)</f>
        <v>22.159524201874543</v>
      </c>
    </row>
    <row r="19" spans="1:21" ht="18.75" hidden="1" x14ac:dyDescent="0.25">
      <c r="A19" s="27"/>
      <c r="B19" s="28"/>
      <c r="C19" s="28"/>
      <c r="D19" s="28"/>
      <c r="E19" s="806" t="s">
        <v>20</v>
      </c>
      <c r="F19" s="28"/>
      <c r="G19" s="31"/>
      <c r="H19" s="805" t="s">
        <v>14</v>
      </c>
      <c r="I19" s="33"/>
      <c r="J19" s="33"/>
      <c r="K19" s="34"/>
      <c r="L19" s="804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3">
        <f ca="1">L23+L26</f>
        <v>7162992</v>
      </c>
      <c r="M20" s="39">
        <f ca="1">M23+M26</f>
        <v>7395286</v>
      </c>
      <c r="N20" s="39">
        <f ca="1">N23+N26</f>
        <v>1755897.09</v>
      </c>
      <c r="O20" s="39">
        <f ca="1">IF(L20&gt;0,N20*100/L20,0)</f>
        <v>24.51345876136676</v>
      </c>
      <c r="P20" s="39">
        <f ca="1">IF(M20&gt;0,N20*100/M20,0)</f>
        <v>23.743464282517269</v>
      </c>
      <c r="Q20" s="39">
        <f ca="1">Q23+Q26</f>
        <v>2651677.39</v>
      </c>
      <c r="R20" s="39">
        <f ca="1">R23+R26</f>
        <v>2676177</v>
      </c>
      <c r="S20" s="39">
        <f ca="1">S23+S26</f>
        <v>593028.09000000008</v>
      </c>
      <c r="T20" s="39">
        <f ca="1">IF(Q20&gt;0,S20*100/Q20,0)</f>
        <v>22.364262418815589</v>
      </c>
      <c r="U20" s="39">
        <f ca="1">IF(R20&gt;0,S20*100/R20,0)</f>
        <v>22.159524201874543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2646092</v>
      </c>
      <c r="M21" s="47">
        <f ca="1">M22+M23</f>
        <v>2878386</v>
      </c>
      <c r="N21" s="47">
        <f ca="1">N22+N23</f>
        <v>1725997.09</v>
      </c>
      <c r="O21" s="47">
        <f ca="1">IF(L21&gt;0,N21*100/L21,0)</f>
        <v>65.228158733709932</v>
      </c>
      <c r="P21" s="47">
        <f ca="1">IF(M21&gt;0,N21*100/M21,0)</f>
        <v>59.964059372162041</v>
      </c>
      <c r="Q21" s="47">
        <f ca="1">Q22+Q23</f>
        <v>2651677.39</v>
      </c>
      <c r="R21" s="47">
        <f ca="1">R22+R23</f>
        <v>2676177</v>
      </c>
      <c r="S21" s="47">
        <f ca="1">S22+S23</f>
        <v>593028.09000000008</v>
      </c>
      <c r="T21" s="47">
        <f ca="1">IF(Q21&gt;0,S21*100/Q21,0)</f>
        <v>22.364262418815589</v>
      </c>
      <c r="U21" s="47">
        <f ca="1">IF(R21&gt;0,S21*100/R21,0)</f>
        <v>22.159524201874543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L49+L64+L77+L99+L130+L144+L162+L191+L178+L271+L287+L308+L325+L338+L361+L518</f>
        <v>2646092</v>
      </c>
      <c r="M23" s="47">
        <f ca="1">M49+M64+M77+M99+M130+M144+M162+M191+M178+M271+M287+M308+M325+M338+M361+M518</f>
        <v>2878386</v>
      </c>
      <c r="N23" s="47">
        <f ca="1">N49+N64+N77+N99+N130+N144+N162+N191+N178+N271+N287+N308+N325+N338+N361+N518</f>
        <v>1725997.09</v>
      </c>
      <c r="O23" s="47">
        <f ca="1">IF(L23&gt;0,N23*100/L23,0)</f>
        <v>65.228158733709932</v>
      </c>
      <c r="P23" s="47">
        <f ca="1">IF(M23&gt;0,N23*100/M23,0)</f>
        <v>59.964059372162041</v>
      </c>
      <c r="Q23" s="47">
        <f ca="1">Q77+Q99+Q122+Q144+Q162+Q178+Q191+Q271+Q287+Q308+Q338+Q380+Q397+Q418+Q498+Q604+Q621+Q647+Q695+Q719+Q733+Q765</f>
        <v>2651677.39</v>
      </c>
      <c r="R23" s="47">
        <f ca="1">R77+R99+R122+R144+R162+R178+R191+R271+R287+R308+R338+R380+R397+R418+R498+R604+R621+R647+R695+R719+R733+R765</f>
        <v>2676177</v>
      </c>
      <c r="S23" s="47">
        <f ca="1">S77+S99+S122+S144+S162+S178+S191+S271+S287+S308+S338+S380+S397+S418+S498+S604+S621+S647+S695+S719+S733+S765</f>
        <v>593028.09000000008</v>
      </c>
      <c r="T23" s="47">
        <f ca="1">IF(Q23&gt;0,S23*100/Q23,0)</f>
        <v>22.364262418815589</v>
      </c>
      <c r="U23" s="47">
        <f ca="1">IF(R23&gt;0,S23*100/R23,0)</f>
        <v>22.159524201874543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4516900</v>
      </c>
      <c r="M24" s="47">
        <f ca="1">M25+M26</f>
        <v>4516900</v>
      </c>
      <c r="N24" s="47">
        <f ca="1">N25+N26</f>
        <v>29900</v>
      </c>
      <c r="O24" s="47">
        <f ca="1">IF(L24&gt;0,N24*100/L24,0)</f>
        <v>0.6619584228121056</v>
      </c>
      <c r="P24" s="47">
        <f ca="1">IF(M24&gt;0,N24*100/M24,0)</f>
        <v>0.6619584228121056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L52+L67+L80+L102+L133+L147+L165+L194+L181+L274+L290+L311+L328+L341+L364+L521</f>
        <v>4516900</v>
      </c>
      <c r="M26" s="47">
        <f ca="1">M52+M67+M80+M102+M133+M147+M165+M194+M181+M274+M290+M311+M328+M341+M364+M521</f>
        <v>4516900</v>
      </c>
      <c r="N26" s="47">
        <f ca="1">N52+N67+N80+N102+N133+N147+N165+N194+N181+N274+N290+N311+N328+N341+N364+N521</f>
        <v>29900</v>
      </c>
      <c r="O26" s="47">
        <f ca="1">IF(L26&gt;0,N26*100/L26,0)</f>
        <v>0.6619584228121056</v>
      </c>
      <c r="P26" s="47">
        <f ca="1">IF(M26&gt;0,N26*100/M26,0)</f>
        <v>0.6619584228121056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2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1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1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1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1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1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1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1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1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1">
        <f ca="1">L44+L59+L72+L94+L125+L139+L157+L173+L186+L266+L282+L303+L320+L333+L356</f>
        <v>7162992</v>
      </c>
      <c r="M40" s="800">
        <f ca="1">M44+M59+M72+M94+M125+M139+M157+M173+M186+M266+M282+M303+M320+M333+M356</f>
        <v>7395286</v>
      </c>
      <c r="N40" s="800">
        <f ca="1">N44+N59+N72+N94+N125+N139+N157+N173+N186+N266+N282+N303+N320+N333+N356</f>
        <v>1755897.09</v>
      </c>
      <c r="O40" s="800">
        <f ca="1">IF(L40&gt;0,N40*100/L40,0)</f>
        <v>24.51345876136676</v>
      </c>
      <c r="P40" s="800">
        <f ca="1">IF(M40&gt;0,N40*100/M40,0)</f>
        <v>23.743464282517269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99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1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616032</v>
      </c>
      <c r="M44" s="79">
        <f ca="1">M45+M46</f>
        <v>692646</v>
      </c>
      <c r="N44" s="79">
        <f ca="1">N45+N46</f>
        <v>495406</v>
      </c>
      <c r="O44" s="79">
        <f ca="1">IF(L44&gt;0,N44*100/L44,0)</f>
        <v>80.418874344189916</v>
      </c>
      <c r="P44" s="79">
        <f ca="1">IF(M44&gt;0,N44*100/M44,0)</f>
        <v>71.523693199700858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616032</v>
      </c>
      <c r="M46" s="83">
        <f ca="1">M49+M52</f>
        <v>692646</v>
      </c>
      <c r="N46" s="83">
        <f ca="1">N49+N52</f>
        <v>495406</v>
      </c>
      <c r="O46" s="83">
        <f ca="1">IF(L46&gt;0,N46*100/L46,0)</f>
        <v>80.418874344189916</v>
      </c>
      <c r="P46" s="83">
        <f ca="1">IF(M46&gt;0,N46*100/M46,0)</f>
        <v>71.523693199700858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616032</v>
      </c>
      <c r="M47" s="47">
        <f ca="1">M48+M49</f>
        <v>692646</v>
      </c>
      <c r="N47" s="47">
        <f ca="1">N48+N49</f>
        <v>495406</v>
      </c>
      <c r="O47" s="47">
        <f ca="1">IF(L47&gt;0,N47*100/L47,0)</f>
        <v>80.418874344189916</v>
      </c>
      <c r="P47" s="47">
        <f ca="1">IF(M47&gt;0,N47*100/M47,0)</f>
        <v>71.523693199700858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IFERROR(__xludf.DUMMYFUNCTION("IMPORTRANGE(""https://docs.google.com/spreadsheets/d/1-uDff_7J0KD5mKrp0Vvzr7lt3OU09vwQwhkpOPPYv2Y/edit?usp=sharing"",""งบพรบ!P76"")"),616032)</f>
        <v>616032</v>
      </c>
      <c r="M49" s="47">
        <f ca="1">IFERROR(__xludf.DUMMYFUNCTION("IMPORTRANGE(""https://docs.google.com/spreadsheets/d/1-uDff_7J0KD5mKrp0Vvzr7lt3OU09vwQwhkpOPPYv2Y/edit?usp=sharing"",""งบพรบ!V76"")"),692646)</f>
        <v>692646</v>
      </c>
      <c r="N49" s="47">
        <f ca="1">IFERROR(__xludf.DUMMYFUNCTION("IMPORTRANGE(""https://docs.google.com/spreadsheets/d/1-uDff_7J0KD5mKrp0Vvzr7lt3OU09vwQwhkpOPPYv2Y/edit?usp=sharing"",""งบพรบ!Y76"")"),495406)</f>
        <v>495406</v>
      </c>
      <c r="O49" s="47">
        <f ca="1">IF(L49&gt;0,N49*100/L49,0)</f>
        <v>80.418874344189916</v>
      </c>
      <c r="P49" s="47">
        <f ca="1">IF(M49&gt;0,N49*100/M49,0)</f>
        <v>71.523693199700858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IFERROR(__xludf.DUMMYFUNCTION("IMPORTRANGE(""https://docs.google.com/spreadsheets/d/1-uDff_7J0KD5mKrp0Vvzr7lt3OU09vwQwhkpOPPYv2Y/edit?usp=sharing"",""งบพรบ!S76"")"),0)</f>
        <v>0</v>
      </c>
      <c r="M52" s="47">
        <f ca="1">IFERROR(__xludf.DUMMYFUNCTION("IMPORTRANGE(""https://docs.google.com/spreadsheets/d/1-uDff_7J0KD5mKrp0Vvzr7lt3OU09vwQwhkpOPPYv2Y/edit?usp=sharing"",""งบพรบ!W76"")"),0)</f>
        <v>0</v>
      </c>
      <c r="N52" s="47">
        <f ca="1">IFERROR(__xludf.DUMMYFUNCTION("IMPORTRANGE(""https://docs.google.com/spreadsheets/d/1-uDff_7J0KD5mKrp0Vvzr7lt3OU09vwQwhkpOPPYv2Y/edit?usp=sharing"",""งบพรบ!Z76"")"),0)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724700</v>
      </c>
      <c r="M59" s="106">
        <f ca="1">M60+M61</f>
        <v>784240</v>
      </c>
      <c r="N59" s="106">
        <f ca="1">N60+N61</f>
        <v>598371.30000000005</v>
      </c>
      <c r="O59" s="106">
        <f ca="1">IF(L59&gt;0,N59*100/L59,0)</f>
        <v>82.568138540085556</v>
      </c>
      <c r="P59" s="106">
        <f ca="1">IF(M59&gt;0,N59*100/M59,0)</f>
        <v>76.299512904213003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724700</v>
      </c>
      <c r="M61" s="109">
        <f ca="1">M64+M67</f>
        <v>784240</v>
      </c>
      <c r="N61" s="109">
        <f ca="1">N64+N67</f>
        <v>598371.30000000005</v>
      </c>
      <c r="O61" s="109">
        <f ca="1">IF(L61&gt;0,N61*100/L61,0)</f>
        <v>82.568138540085556</v>
      </c>
      <c r="P61" s="109">
        <f ca="1">IF(M61&gt;0,N61*100/M61,0)</f>
        <v>76.299512904213003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694800</v>
      </c>
      <c r="M62" s="47">
        <f ca="1">M63+M64</f>
        <v>754340</v>
      </c>
      <c r="N62" s="47">
        <f ca="1">N63+N64</f>
        <v>568471.30000000005</v>
      </c>
      <c r="O62" s="47">
        <f ca="1">IF(L62&gt;0,N62*100/L62,0)</f>
        <v>81.817976396085214</v>
      </c>
      <c r="P62" s="47">
        <f ca="1">IF(M62&gt;0,N62*100/M62,0)</f>
        <v>75.360089614762586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IFERROR(__xludf.DUMMYFUNCTION("IMPORTRANGE(""https://docs.google.com/spreadsheets/d/1-uDff_7J0KD5mKrp0Vvzr7lt3OU09vwQwhkpOPPYv2Y/edit?usp=sharing"",""งบพรบ!AC76"")"),694800)</f>
        <v>694800</v>
      </c>
      <c r="M64" s="47">
        <f ca="1">IFERROR(__xludf.DUMMYFUNCTION("IMPORTRANGE(""https://docs.google.com/spreadsheets/d/1-uDff_7J0KD5mKrp0Vvzr7lt3OU09vwQwhkpOPPYv2Y/edit?usp=sharing"",""งบพรบ!AH76"")"),754340)</f>
        <v>754340</v>
      </c>
      <c r="N64" s="47">
        <f ca="1">IFERROR(__xludf.DUMMYFUNCTION("IMPORTRANGE(""https://docs.google.com/spreadsheets/d/1-uDff_7J0KD5mKrp0Vvzr7lt3OU09vwQwhkpOPPYv2Y/edit?usp=sharing"",""งบพรบ!AJ76"")"),568471.3)</f>
        <v>568471.30000000005</v>
      </c>
      <c r="O64" s="47">
        <f ca="1">IF(L64&gt;0,N64*100/L64,0)</f>
        <v>81.817976396085214</v>
      </c>
      <c r="P64" s="47">
        <f ca="1">IF(M64&gt;0,N64*100/M64,0)</f>
        <v>75.360089614762586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29900</v>
      </c>
      <c r="M65" s="47">
        <f ca="1">M66+M67</f>
        <v>29900</v>
      </c>
      <c r="N65" s="47">
        <f ca="1">N66+N67</f>
        <v>29900</v>
      </c>
      <c r="O65" s="47">
        <f ca="1">IF(L65&gt;0,N65*100/L65,0)</f>
        <v>100</v>
      </c>
      <c r="P65" s="47">
        <f ca="1">IF(M65&gt;0,N65*100/M65,0)</f>
        <v>100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IFERROR(__xludf.DUMMYFUNCTION("IMPORTRANGE(""https://docs.google.com/spreadsheets/d/1-uDff_7J0KD5mKrp0Vvzr7lt3OU09vwQwhkpOPPYv2Y/edit?usp=sharing"",""งบพรบ!AF76"")"),29900)</f>
        <v>29900</v>
      </c>
      <c r="M67" s="111">
        <f ca="1">IFERROR(__xludf.DUMMYFUNCTION("IMPORTRANGE(""https://docs.google.com/spreadsheets/d/1-uDff_7J0KD5mKrp0Vvzr7lt3OU09vwQwhkpOPPYv2Y/edit?usp=sharing"",""งบพรบ!AI76"")"),29900)</f>
        <v>29900</v>
      </c>
      <c r="N67" s="111">
        <f ca="1">IFERROR(__xludf.DUMMYFUNCTION("IMPORTRANGE(""https://docs.google.com/spreadsheets/d/1-uDff_7J0KD5mKrp0Vvzr7lt3OU09vwQwhkpOPPYv2Y/edit?usp=sharing"",""งบพรบ!AK76"")"),29900)</f>
        <v>29900</v>
      </c>
      <c r="O67" s="111">
        <f ca="1">IF(L67&gt;0,N67*100/L67,0)</f>
        <v>100</v>
      </c>
      <c r="P67" s="111">
        <f ca="1">IF(M67&gt;0,N67*100/M67,0)</f>
        <v>100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1</v>
      </c>
      <c r="J70" s="127">
        <f>J82</f>
        <v>1</v>
      </c>
      <c r="K70" s="35">
        <f ca="1">IF(I70&gt;0,J70*100/I70,0)</f>
        <v>100</v>
      </c>
      <c r="L70" s="58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30</v>
      </c>
      <c r="J71" s="127">
        <f>J83</f>
        <v>30</v>
      </c>
      <c r="K71" s="35">
        <f ca="1">IF(I71&gt;0,J71*100/I71,0)</f>
        <v>100</v>
      </c>
      <c r="L71" s="58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590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90000</v>
      </c>
      <c r="M72" s="132">
        <f ca="1">M73+M74</f>
        <v>142000</v>
      </c>
      <c r="N72" s="132">
        <f ca="1">N73+N74</f>
        <v>38567</v>
      </c>
      <c r="O72" s="132">
        <f ca="1">IF(L72&gt;0,N72*100/L72,0)</f>
        <v>42.852222222222224</v>
      </c>
      <c r="P72" s="132">
        <f ca="1">IF(M72&gt;0,N72*100/M72,0)</f>
        <v>27.159859154929578</v>
      </c>
      <c r="Q72" s="132">
        <f ca="1">Q73+Q74</f>
        <v>388700</v>
      </c>
      <c r="R72" s="132">
        <f ca="1">R73+R74</f>
        <v>388700</v>
      </c>
      <c r="S72" s="132">
        <f ca="1">S73+S74</f>
        <v>10840</v>
      </c>
      <c r="T72" s="132">
        <f ca="1">IF(Q72&gt;0,S72*100/Q72,0)</f>
        <v>2.7887831232312839</v>
      </c>
      <c r="U72" s="132">
        <f ca="1">IF(R72&gt;0,S72*100/R72,0)</f>
        <v>2.7887831232312839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90000</v>
      </c>
      <c r="M74" s="47">
        <f ca="1">M77+M80</f>
        <v>142000</v>
      </c>
      <c r="N74" s="47">
        <f ca="1">N77+N80</f>
        <v>38567</v>
      </c>
      <c r="O74" s="47">
        <f ca="1">IF(L74&gt;0,N74*100/L74,0)</f>
        <v>42.852222222222224</v>
      </c>
      <c r="P74" s="47">
        <f ca="1">IF(M74&gt;0,N74*100/M74,0)</f>
        <v>27.159859154929578</v>
      </c>
      <c r="Q74" s="47">
        <f ca="1">Q77+Q80</f>
        <v>388700</v>
      </c>
      <c r="R74" s="47">
        <f ca="1">R77+R80</f>
        <v>388700</v>
      </c>
      <c r="S74" s="47">
        <f ca="1">S77+S80</f>
        <v>10840</v>
      </c>
      <c r="T74" s="47">
        <f ca="1">IF(Q74&gt;0,S74*100/Q74,0)</f>
        <v>2.7887831232312839</v>
      </c>
      <c r="U74" s="47">
        <f ca="1">IF(R74&gt;0,S74*100/R74,0)</f>
        <v>2.7887831232312839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90000</v>
      </c>
      <c r="M75" s="47">
        <f ca="1">M76+M77</f>
        <v>142000</v>
      </c>
      <c r="N75" s="47">
        <f ca="1">N76+N77</f>
        <v>38567</v>
      </c>
      <c r="O75" s="47">
        <f ca="1">IF(L75&gt;0,N75*100/L75,0)</f>
        <v>42.852222222222224</v>
      </c>
      <c r="P75" s="47">
        <f ca="1">IF(M75&gt;0,N75*100/M75,0)</f>
        <v>27.159859154929578</v>
      </c>
      <c r="Q75" s="47">
        <f ca="1">Q76+Q77</f>
        <v>388700</v>
      </c>
      <c r="R75" s="47">
        <f ca="1">R76+R77</f>
        <v>388700</v>
      </c>
      <c r="S75" s="47">
        <f ca="1">S76+S77</f>
        <v>10840</v>
      </c>
      <c r="T75" s="47">
        <f ca="1">IF(Q75&gt;0,S75*100/Q75,0)</f>
        <v>2.7887831232312839</v>
      </c>
      <c r="U75" s="47">
        <f ca="1">IF(R75&gt;0,S75*100/R75,0)</f>
        <v>2.7887831232312839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IFERROR(__xludf.DUMMYFUNCTION("IMPORTRANGE(""https://docs.google.com/spreadsheets/d/1-uDff_7J0KD5mKrp0Vvzr7lt3OU09vwQwhkpOPPYv2Y/edit?usp=sharing"",""งบพรบ!AM76"")"),90000)</f>
        <v>90000</v>
      </c>
      <c r="M77" s="47">
        <f ca="1">IFERROR(__xludf.DUMMYFUNCTION("IMPORTRANGE(""https://docs.google.com/spreadsheets/d/1-uDff_7J0KD5mKrp0Vvzr7lt3OU09vwQwhkpOPPYv2Y/edit?usp=sharing"",""งบพรบ!AR76"")"),142000)</f>
        <v>142000</v>
      </c>
      <c r="N77" s="47">
        <f ca="1">IFERROR(__xludf.DUMMYFUNCTION("IMPORTRANGE(""https://docs.google.com/spreadsheets/d/1-uDff_7J0KD5mKrp0Vvzr7lt3OU09vwQwhkpOPPYv2Y/edit?usp=sharing"",""งบพรบ!AT76"")"),38567)</f>
        <v>38567</v>
      </c>
      <c r="O77" s="47">
        <f ca="1">IF(L77&gt;0,N77*100/L77,0)</f>
        <v>42.852222222222224</v>
      </c>
      <c r="P77" s="47">
        <f ca="1">IF(M77&gt;0,N77*100/M77,0)</f>
        <v>27.159859154929578</v>
      </c>
      <c r="Q77" s="47">
        <f ca="1">IFERROR(__xludf.DUMMYFUNCTION("IMPORTRANGE(""https://docs.google.com/spreadsheets/d/1ItG2mGa2ceCfYo0BwxsXqNm01IGEUdYcSSLTEv9YCik/edit?usp=sharing"",""เบิกจ่ายกองทุน!BH76"")"),388700)</f>
        <v>388700</v>
      </c>
      <c r="R77" s="47">
        <f ca="1">IFERROR(__xludf.DUMMYFUNCTION("IMPORTRANGE(""https://docs.google.com/spreadsheets/d/1ItG2mGa2ceCfYo0BwxsXqNm01IGEUdYcSSLTEv9YCik/edit?usp=sharing"",""เบิกจ่ายกองทุน!BI76"")"),388700)</f>
        <v>388700</v>
      </c>
      <c r="S77" s="47">
        <f ca="1">IFERROR(__xludf.DUMMYFUNCTION("IMPORTRANGE(""https://docs.google.com/spreadsheets/d/1ItG2mGa2ceCfYo0BwxsXqNm01IGEUdYcSSLTEv9YCik/edit?usp=sharing"",""เบิกจ่ายกองทุน!BJ76"")"),10840)</f>
        <v>10840</v>
      </c>
      <c r="T77" s="47">
        <f ca="1">IF(Q77&gt;0,S77*100/Q77,0)</f>
        <v>2.7887831232312839</v>
      </c>
      <c r="U77" s="47">
        <f ca="1">IF(R77&gt;0,S77*100/R77,0)</f>
        <v>2.7887831232312839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IFERROR(__xludf.DUMMYFUNCTION("IMPORTRANGE(""https://docs.google.com/spreadsheets/d/1-uDff_7J0KD5mKrp0Vvzr7lt3OU09vwQwhkpOPPYv2Y/edit?usp=sharing"",""งบพรบ!AP76"")"),0)</f>
        <v>0</v>
      </c>
      <c r="M80" s="47">
        <f ca="1">IFERROR(__xludf.DUMMYFUNCTION("IMPORTRANGE(""https://docs.google.com/spreadsheets/d/1-uDff_7J0KD5mKrp0Vvzr7lt3OU09vwQwhkpOPPYv2Y/edit?usp=sharing"",""งบพรบ!AS76"")"),0)</f>
        <v>0</v>
      </c>
      <c r="N80" s="47">
        <f ca="1">IFERROR(__xludf.DUMMYFUNCTION("IMPORTRANGE(""https://docs.google.com/spreadsheets/d/1-uDff_7J0KD5mKrp0Vvzr7lt3OU09vwQwhkpOPPYv2Y/edit?usp=sharing"",""งบพรบ!AU76"")"),0)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IFERROR(__xludf.DUMMYFUNCTION("IMPORTRANGE(""https://docs.google.com/spreadsheets/d/1ItG2mGa2ceCfYo0BwxsXqNm01IGEUdYcSSLTEv9YCik/edit?usp=sharing"",""เบิกจ่ายกองทุน!BK76"")"),0)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IFERROR(__xludf.DUMMYFUNCTION("IMPORTRANGE(""https://docs.google.com/spreadsheets/d/1ItG2mGa2ceCfYo0BwxsXqNm01IGEUdYcSSLTEv9YCik/edit?usp=sharing"",""เบิกจ่ายกองทุน!BL76"")"),0)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IFERROR(__xludf.DUMMYFUNCTION("IMPORTRANGE(""https://docs.google.com/spreadsheets/d/1ItG2mGa2ceCfYo0BwxsXqNm01IGEUdYcSSLTEv9YCik/edit?usp=sharing"",""เบิกจ่ายกองทุน!BM76"")"),0)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1</v>
      </c>
      <c r="J82" s="147">
        <f>J84+J86+J88</f>
        <v>1</v>
      </c>
      <c r="K82" s="148">
        <f ca="1">IF(I82&gt;0,J82*100/I82,0)</f>
        <v>100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30</v>
      </c>
      <c r="J83" s="147">
        <f>J85+J87+J89</f>
        <v>30</v>
      </c>
      <c r="K83" s="148">
        <f ca="1">IF(I83&gt;0,J83*100/I83,0)</f>
        <v>100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IFERROR(__xludf.DUMMYFUNCTION("IMPORTRANGE(""https://docs.google.com/spreadsheets/d/1eHaY18a8A9IcSdp1K8H6x8fbOy06t2VsZHhMHf-1x7Y/edit?usp=sharing"",""แผน!H76"")"),0)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IFERROR(__xludf.DUMMYFUNCTION("IMPORTRANGE(""https://docs.google.com/spreadsheets/d/1eHaY18a8A9IcSdp1K8H6x8fbOy06t2VsZHhMHf-1x7Y/edit?usp=sharing"",""แผน!I76"")"),0)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IFERROR(__xludf.DUMMYFUNCTION("IMPORTRANGE(""https://docs.google.com/spreadsheets/d/1eHaY18a8A9IcSdp1K8H6x8fbOy06t2VsZHhMHf-1x7Y/edit?usp=sharing"",""แผน!F76"")"),1)</f>
        <v>1</v>
      </c>
      <c r="J86" s="167">
        <v>1</v>
      </c>
      <c r="K86" s="153">
        <f ca="1">IF(I86&gt;0,J86*100/I86,0)</f>
        <v>100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IFERROR(__xludf.DUMMYFUNCTION("IMPORTRANGE(""https://docs.google.com/spreadsheets/d/1eHaY18a8A9IcSdp1K8H6x8fbOy06t2VsZHhMHf-1x7Y/edit?usp=sharing"",""แผน!G76"")"),30)</f>
        <v>30</v>
      </c>
      <c r="J87" s="167">
        <v>30</v>
      </c>
      <c r="K87" s="153">
        <f ca="1">IF(I87&gt;0,J87*100/I87,0)</f>
        <v>100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IFERROR(__xludf.DUMMYFUNCTION("IMPORTRANGE(""https://docs.google.com/spreadsheets/d/1eHaY18a8A9IcSdp1K8H6x8fbOy06t2VsZHhMHf-1x7Y/edit?usp=sharing"",""แผน!D76"")"),0)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IFERROR(__xludf.DUMMYFUNCTION("IMPORTRANGE(""https://docs.google.com/spreadsheets/d/1eHaY18a8A9IcSdp1K8H6x8fbOy06t2VsZHhMHf-1x7Y/edit?usp=sharing"",""แผน!E76"")"),0)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IFERROR(__xludf.DUMMYFUNCTION("IMPORTRANGE(""https://docs.google.com/spreadsheets/d/1eHaY18a8A9IcSdp1K8H6x8fbOy06t2VsZHhMHf-1x7Y/edit?usp=sharing"",""แผน!J76"")"),1)</f>
        <v>1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0</v>
      </c>
      <c r="K92" s="35">
        <f ca="1">IF(I92&gt;0,J92*100/I92,0)</f>
        <v>0</v>
      </c>
      <c r="L92" s="58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0</v>
      </c>
      <c r="K93" s="35">
        <f ca="1">IF(I93&gt;0,J93*100/I93,0)</f>
        <v>0</v>
      </c>
      <c r="L93" s="58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590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6000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21150</v>
      </c>
      <c r="T94" s="132">
        <f ca="1">IF(Q94&gt;0,S94*100/Q94,0)</f>
        <v>25.053304904051174</v>
      </c>
      <c r="U94" s="132">
        <f ca="1">IF(R94&gt;0,S94*100/R94,0)</f>
        <v>25.053304904051174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6000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84420</v>
      </c>
      <c r="R96" s="47">
        <f ca="1">R99+R102</f>
        <v>84420</v>
      </c>
      <c r="S96" s="47">
        <f ca="1">S99+S102</f>
        <v>21150</v>
      </c>
      <c r="T96" s="47">
        <f ca="1">IF(Q96&gt;0,S96*100/Q96,0)</f>
        <v>25.053304904051174</v>
      </c>
      <c r="U96" s="47">
        <f ca="1">IF(R96&gt;0,S96*100/R96,0)</f>
        <v>25.053304904051174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6000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84420</v>
      </c>
      <c r="R97" s="47">
        <f ca="1">R98+R99</f>
        <v>84420</v>
      </c>
      <c r="S97" s="47">
        <f ca="1">S98+S99</f>
        <v>21150</v>
      </c>
      <c r="T97" s="47">
        <f ca="1">IF(Q97&gt;0,S97*100/Q97,0)</f>
        <v>25.053304904051174</v>
      </c>
      <c r="U97" s="47">
        <f ca="1">IF(R97&gt;0,S97*100/R97,0)</f>
        <v>25.053304904051174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IFERROR(__xludf.DUMMYFUNCTION("IMPORTRANGE(""https://docs.google.com/spreadsheets/d/1-uDff_7J0KD5mKrp0Vvzr7lt3OU09vwQwhkpOPPYv2Y/edit?usp=sharing"",""งบพรบ!AW76"")"),0)</f>
        <v>0</v>
      </c>
      <c r="M99" s="47">
        <f ca="1">IFERROR(__xludf.DUMMYFUNCTION("IMPORTRANGE(""https://docs.google.com/spreadsheets/d/1-uDff_7J0KD5mKrp0Vvzr7lt3OU09vwQwhkpOPPYv2Y/edit?usp=sharing"",""งบพรบ!BB76"")"),6000)</f>
        <v>6000</v>
      </c>
      <c r="N99" s="47">
        <f ca="1">IFERROR(__xludf.DUMMYFUNCTION("IMPORTRANGE(""https://docs.google.com/spreadsheets/d/1-uDff_7J0KD5mKrp0Vvzr7lt3OU09vwQwhkpOPPYv2Y/edit?usp=sharing"",""งบพรบ!BD76"")"),0)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IFERROR(__xludf.DUMMYFUNCTION("IMPORTRANGE(""https://docs.google.com/spreadsheets/d/1ItG2mGa2ceCfYo0BwxsXqNm01IGEUdYcSSLTEv9YCik/edit?usp=sharing"",""เบิกจ่ายกองทุน!AJ76"")"),84420)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IFERROR(__xludf.DUMMYFUNCTION("IMPORTRANGE(""https://docs.google.com/spreadsheets/d/1ItG2mGa2ceCfYo0BwxsXqNm01IGEUdYcSSLTEv9YCik/edit?usp=sharing"",""เบิกจ่ายกองทุน!AK76"")"),84420)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IFERROR(__xludf.DUMMYFUNCTION("IMPORTRANGE(""https://docs.google.com/spreadsheets/d/1ItG2mGa2ceCfYo0BwxsXqNm01IGEUdYcSSLTEv9YCik/edit?usp=sharing"",""เบิกจ่ายกองทุน!AL76"")"),21150)</f>
        <v>21150</v>
      </c>
      <c r="T99" s="47">
        <f ca="1">IF(Q99&gt;0,S99*100/Q99,0)</f>
        <v>25.053304904051174</v>
      </c>
      <c r="U99" s="47">
        <f ca="1">IF(R99&gt;0,S99*100/R99,0)</f>
        <v>25.053304904051174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IFERROR(__xludf.DUMMYFUNCTION("IMPORTRANGE(""https://docs.google.com/spreadsheets/d/1-uDff_7J0KD5mKrp0Vvzr7lt3OU09vwQwhkpOPPYv2Y/edit?usp=sharing"",""งบพรบ!AZ76"")"),0)</f>
        <v>0</v>
      </c>
      <c r="M102" s="47">
        <f ca="1">IFERROR(__xludf.DUMMYFUNCTION("IMPORTRANGE(""https://docs.google.com/spreadsheets/d/1-uDff_7J0KD5mKrp0Vvzr7lt3OU09vwQwhkpOPPYv2Y/edit?usp=sharing"",""งบพรบ!BC76"")"),0)</f>
        <v>0</v>
      </c>
      <c r="N102" s="47">
        <f ca="1">IFERROR(__xludf.DUMMYFUNCTION("IMPORTRANGE(""https://docs.google.com/spreadsheets/d/1-uDff_7J0KD5mKrp0Vvzr7lt3OU09vwQwhkpOPPYv2Y/edit?usp=sharing"",""งบพรบ!BE76"")"),0)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1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1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1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IFERROR(__xludf.DUMMYFUNCTION("IMPORTRANGE(""https://docs.google.com/spreadsheets/d/1eHaY18a8A9IcSdp1K8H6x8fbOy06t2VsZHhMHf-1x7Y/edit?usp=sharing"",""แผน!N76"")"),30)</f>
        <v>30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IFERROR(__xludf.DUMMYFUNCTION("IMPORTRANGE(""https://docs.google.com/spreadsheets/d/1eHaY18a8A9IcSdp1K8H6x8fbOy06t2VsZHhMHf-1x7Y/edit?usp=sharing"",""แผน!O76"")"),10)</f>
        <v>10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1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1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1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IFERROR(__xludf.DUMMYFUNCTION("IMPORTRANGE(""https://docs.google.com/spreadsheets/d/1eHaY18a8A9IcSdp1K8H6x8fbOy06t2VsZHhMHf-1x7Y/edit?usp=sharing"",""แผน!N76"")"),30)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IFERROR(__xludf.DUMMYFUNCTION("IMPORTRANGE(""https://docs.google.com/spreadsheets/d/1eHaY18a8A9IcSdp1K8H6x8fbOy06t2VsZHhMHf-1x7Y/edit?usp=sharing"",""แผน!O76"")"),10)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20</v>
      </c>
      <c r="J116" s="127">
        <f>J127</f>
        <v>20</v>
      </c>
      <c r="K116" s="35">
        <f ca="1">IF(I116&gt;0,J116*100/I116,0)</f>
        <v>100</v>
      </c>
      <c r="L116" s="58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9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209360</v>
      </c>
      <c r="R117" s="132">
        <f ca="1">R118+R119</f>
        <v>209360</v>
      </c>
      <c r="S117" s="132">
        <f ca="1">S118+S119</f>
        <v>112887</v>
      </c>
      <c r="T117" s="132">
        <f ca="1">IF(Q117&gt;0,S117*100/Q117,0)</f>
        <v>53.920042032862057</v>
      </c>
      <c r="U117" s="132">
        <f ca="1">IF(R117&gt;0,S117*100/R117,0)</f>
        <v>53.920042032862057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209360</v>
      </c>
      <c r="R119" s="47">
        <f ca="1">R122+R125</f>
        <v>209360</v>
      </c>
      <c r="S119" s="47">
        <f ca="1">S122+S125</f>
        <v>112887</v>
      </c>
      <c r="T119" s="47">
        <f ca="1">IF(Q119&gt;0,S119*100/Q119,0)</f>
        <v>53.920042032862057</v>
      </c>
      <c r="U119" s="47">
        <f ca="1">IF(R119&gt;0,S119*100/R119,0)</f>
        <v>53.920042032862057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209360</v>
      </c>
      <c r="R120" s="47">
        <f ca="1">R121+R122</f>
        <v>209360</v>
      </c>
      <c r="S120" s="47">
        <f ca="1">S121+S122</f>
        <v>112887</v>
      </c>
      <c r="T120" s="47">
        <f ca="1">IF(Q120&gt;0,S120*100/Q120,0)</f>
        <v>53.920042032862057</v>
      </c>
      <c r="U120" s="47">
        <f ca="1">IF(R120&gt;0,S120*100/R120,0)</f>
        <v>53.920042032862057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IFERROR(__xludf.DUMMYFUNCTION("IMPORTRANGE(""https://docs.google.com/spreadsheets/d/1-uDff_7J0KD5mKrp0Vvzr7lt3OU09vwQwhkpOPPYv2Y/edit?usp=sharing"",""งบพรบ!BG76"")"),0)</f>
        <v>0</v>
      </c>
      <c r="M122" s="47">
        <f ca="1">IFERROR(__xludf.DUMMYFUNCTION("IMPORTRANGE(""https://docs.google.com/spreadsheets/d/1-uDff_7J0KD5mKrp0Vvzr7lt3OU09vwQwhkpOPPYv2Y/edit?usp=sharing"",""งบพรบ!BL76"")"),0)</f>
        <v>0</v>
      </c>
      <c r="N122" s="47">
        <f ca="1">IFERROR(__xludf.DUMMYFUNCTION("IMPORTRANGE(""https://docs.google.com/spreadsheets/d/1-uDff_7J0KD5mKrp0Vvzr7lt3OU09vwQwhkpOPPYv2Y/edit?usp=sharing"",""งบพรบ!BN76"")"),0)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IFERROR(__xludf.DUMMYFUNCTION("IMPORTRANGE(""https://docs.google.com/spreadsheets/d/1ItG2mGa2ceCfYo0BwxsXqNm01IGEUdYcSSLTEv9YCik/edit?usp=sharing"",""เบิกจ่ายกองทุน!U76"")"),209360)</f>
        <v>209360</v>
      </c>
      <c r="R122" s="47">
        <f ca="1">IFERROR(__xludf.DUMMYFUNCTION("IMPORTRANGE(""https://docs.google.com/spreadsheets/d/1ItG2mGa2ceCfYo0BwxsXqNm01IGEUdYcSSLTEv9YCik/edit?usp=sharing"",""เบิกจ่ายกองทุน!V76"")"),209360)</f>
        <v>209360</v>
      </c>
      <c r="S122" s="47">
        <f ca="1">IFERROR(__xludf.DUMMYFUNCTION("IMPORTRANGE(""https://docs.google.com/spreadsheets/d/1ItG2mGa2ceCfYo0BwxsXqNm01IGEUdYcSSLTEv9YCik/edit?usp=sharing"",""เบิกจ่ายกองทุน!W76"")"),112887)</f>
        <v>112887</v>
      </c>
      <c r="T122" s="47">
        <f ca="1">IF(Q122&gt;0,S122*100/Q122,0)</f>
        <v>53.920042032862057</v>
      </c>
      <c r="U122" s="47">
        <f ca="1">IF(R122&gt;0,S122*100/R122,0)</f>
        <v>53.920042032862057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IFERROR(__xludf.DUMMYFUNCTION("IMPORTRANGE(""https://docs.google.com/spreadsheets/d/1-uDff_7J0KD5mKrp0Vvzr7lt3OU09vwQwhkpOPPYv2Y/edit?usp=sharing"",""งบพรบ!BJ76"")"),0)</f>
        <v>0</v>
      </c>
      <c r="M125" s="47">
        <f ca="1">IFERROR(__xludf.DUMMYFUNCTION("IMPORTRANGE(""https://docs.google.com/spreadsheets/d/1-uDff_7J0KD5mKrp0Vvzr7lt3OU09vwQwhkpOPPYv2Y/edit?usp=sharing"",""งบพรบ!BM76"")"),0)</f>
        <v>0</v>
      </c>
      <c r="N125" s="47">
        <f ca="1">IFERROR(__xludf.DUMMYFUNCTION("IMPORTRANGE(""https://docs.google.com/spreadsheets/d/1-uDff_7J0KD5mKrp0Vvzr7lt3OU09vwQwhkpOPPYv2Y/edit?usp=sharing"",""งบพรบ!BO76"")"),0)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IFERROR(__xludf.DUMMYFUNCTION("IMPORTRANGE(""https://docs.google.com/spreadsheets/d/1ItG2mGa2ceCfYo0BwxsXqNm01IGEUdYcSSLTEv9YCik/edit?usp=sharing"",""เบิกจ่ายกองทุน!X76"")"),0)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IFERROR(__xludf.DUMMYFUNCTION("IMPORTRANGE(""https://docs.google.com/spreadsheets/d/1ItG2mGa2ceCfYo0BwxsXqNm01IGEUdYcSSLTEv9YCik/edit?usp=sharing"",""เบิกจ่ายกองทุน!Y76"")"),0)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IFERROR(__xludf.DUMMYFUNCTION("IMPORTRANGE(""https://docs.google.com/spreadsheets/d/1ItG2mGa2ceCfYo0BwxsXqNm01IGEUdYcSSLTEv9YCik/edit?usp=sharing"",""เบิกจ่ายกองทุน!Z76"")"),0)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IFERROR(__xludf.DUMMYFUNCTION("IMPORTRANGE(""https://docs.google.com/spreadsheets/d/1eHaY18a8A9IcSdp1K8H6x8fbOy06t2VsZHhMHf-1x7Y/edit?usp=sharing"",""แผน!FF76"")"),20)</f>
        <v>20</v>
      </c>
      <c r="J127" s="167">
        <v>20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IFERROR(__xludf.DUMMYFUNCTION("IMPORTRANGE(""https://docs.google.com/spreadsheets/d/1eHaY18a8A9IcSdp1K8H6x8fbOy06t2VsZHhMHf-1x7Y/edit?usp=sharing"",""แผน!FG76"")"),0)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IFERROR(__xludf.DUMMYFUNCTION("IMPORTRANGE(""https://docs.google.com/spreadsheets/d/1eHaY18a8A9IcSdp1K8H6x8fbOy06t2VsZHhMHf-1x7Y/edit?usp=sharing"",""แผน!FH76"")"),20)</f>
        <v>20</v>
      </c>
      <c r="J129" s="167">
        <v>20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IFERROR(__xludf.DUMMYFUNCTION("IMPORTRANGE(""https://docs.google.com/spreadsheets/d/1eHaY18a8A9IcSdp1K8H6x8fbOy06t2VsZHhMHf-1x7Y/edit?usp=sharing"",""แผน!FI76"")"),0)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1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20</v>
      </c>
      <c r="J137" s="127">
        <f>J152</f>
        <v>20</v>
      </c>
      <c r="K137" s="35">
        <f ca="1">IF(I137&gt;0,J137*100/I137,0)</f>
        <v>100</v>
      </c>
      <c r="L137" s="58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2</v>
      </c>
      <c r="J138" s="127">
        <f>J153</f>
        <v>2</v>
      </c>
      <c r="K138" s="35">
        <f ca="1">IF(I138&gt;0,J138*100/I138,0)</f>
        <v>100</v>
      </c>
      <c r="L138" s="58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59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111200</v>
      </c>
      <c r="M139" s="132">
        <f ca="1">M140+M141</f>
        <v>106200</v>
      </c>
      <c r="N139" s="132">
        <f ca="1">N140+N141</f>
        <v>85650</v>
      </c>
      <c r="O139" s="132">
        <f ca="1">IF(L139&gt;0,N139*100/L139,0)</f>
        <v>77.023381294964025</v>
      </c>
      <c r="P139" s="132">
        <f ca="1">IF(M139&gt;0,N139*100/M139,0)</f>
        <v>80.649717514124291</v>
      </c>
      <c r="Q139" s="132">
        <f ca="1">Q140+Q141</f>
        <v>44860</v>
      </c>
      <c r="R139" s="132">
        <f ca="1">R140+R141</f>
        <v>44860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111200</v>
      </c>
      <c r="M141" s="47">
        <f ca="1">M144+M147</f>
        <v>106200</v>
      </c>
      <c r="N141" s="47">
        <f ca="1">N144+N147</f>
        <v>85650</v>
      </c>
      <c r="O141" s="47">
        <f ca="1">IF(L141&gt;0,N141*100/L141,0)</f>
        <v>77.023381294964025</v>
      </c>
      <c r="P141" s="47">
        <f ca="1">IF(M141&gt;0,N141*100/M141,0)</f>
        <v>80.649717514124291</v>
      </c>
      <c r="Q141" s="47">
        <f ca="1">Q144+Q147</f>
        <v>44860</v>
      </c>
      <c r="R141" s="47">
        <f ca="1">R144+R147</f>
        <v>44860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111200</v>
      </c>
      <c r="M142" s="47">
        <f ca="1">M143+M144</f>
        <v>106200</v>
      </c>
      <c r="N142" s="47">
        <f ca="1">N143+N144</f>
        <v>85650</v>
      </c>
      <c r="O142" s="47">
        <f ca="1">IF(L142&gt;0,N142*100/L142,0)</f>
        <v>77.023381294964025</v>
      </c>
      <c r="P142" s="47">
        <f ca="1">IF(M142&gt;0,N142*100/M142,0)</f>
        <v>80.649717514124291</v>
      </c>
      <c r="Q142" s="47">
        <f ca="1">Q143+Q144</f>
        <v>44860</v>
      </c>
      <c r="R142" s="47">
        <f ca="1">R143+R144</f>
        <v>44860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IFERROR(__xludf.DUMMYFUNCTION("IMPORTRANGE(""https://docs.google.com/spreadsheets/d/1-uDff_7J0KD5mKrp0Vvzr7lt3OU09vwQwhkpOPPYv2Y/edit?usp=sharing"",""งบพรบ!BQ76"")"),111200)</f>
        <v>111200</v>
      </c>
      <c r="M144" s="47">
        <f ca="1">IFERROR(__xludf.DUMMYFUNCTION("IMPORTRANGE(""https://docs.google.com/spreadsheets/d/1-uDff_7J0KD5mKrp0Vvzr7lt3OU09vwQwhkpOPPYv2Y/edit?usp=sharing"",""งบพรบ!BV76"")"),106200)</f>
        <v>106200</v>
      </c>
      <c r="N144" s="47">
        <f ca="1">IFERROR(__xludf.DUMMYFUNCTION("IMPORTRANGE(""https://docs.google.com/spreadsheets/d/1-uDff_7J0KD5mKrp0Vvzr7lt3OU09vwQwhkpOPPYv2Y/edit?usp=sharing"",""งบพรบ!BX76"")"),85650)</f>
        <v>85650</v>
      </c>
      <c r="O144" s="47">
        <f ca="1">IF(L144&gt;0,N144*100/L144,0)</f>
        <v>77.023381294964025</v>
      </c>
      <c r="P144" s="47">
        <f ca="1">IF(M144&gt;0,N144*100/M144,0)</f>
        <v>80.649717514124291</v>
      </c>
      <c r="Q144" s="47">
        <f ca="1">IFERROR(__xludf.DUMMYFUNCTION("IMPORTRANGE(""https://docs.google.com/spreadsheets/d/1ItG2mGa2ceCfYo0BwxsXqNm01IGEUdYcSSLTEv9YCik/edit?usp=sharing"",""เบิกจ่ายกองทุน!CF76"")"),44860)</f>
        <v>44860</v>
      </c>
      <c r="R144" s="47">
        <f ca="1">IFERROR(__xludf.DUMMYFUNCTION("IMPORTRANGE(""https://docs.google.com/spreadsheets/d/1ItG2mGa2ceCfYo0BwxsXqNm01IGEUdYcSSLTEv9YCik/edit?usp=sharing"",""เบิกจ่ายกองทุน!CG76"")"),44860)</f>
        <v>44860</v>
      </c>
      <c r="S144" s="47">
        <f ca="1">IFERROR(__xludf.DUMMYFUNCTION("IMPORTRANGE(""https://docs.google.com/spreadsheets/d/1ItG2mGa2ceCfYo0BwxsXqNm01IGEUdYcSSLTEv9YCik/edit?usp=sharing"",""เบิกจ่ายกองทุน!CH76"")"),0)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IFERROR(__xludf.DUMMYFUNCTION("IMPORTRANGE(""https://docs.google.com/spreadsheets/d/1-uDff_7J0KD5mKrp0Vvzr7lt3OU09vwQwhkpOPPYv2Y/edit?usp=sharing"",""งบพรบ!BT76"")"),0)</f>
        <v>0</v>
      </c>
      <c r="M147" s="47">
        <f ca="1">IFERROR(__xludf.DUMMYFUNCTION("IMPORTRANGE(""https://docs.google.com/spreadsheets/d/1-uDff_7J0KD5mKrp0Vvzr7lt3OU09vwQwhkpOPPYv2Y/edit?usp=sharing"",""งบพรบ!BW76"")"),0)</f>
        <v>0</v>
      </c>
      <c r="N147" s="47">
        <f ca="1">IFERROR(__xludf.DUMMYFUNCTION("IMPORTRANGE(""https://docs.google.com/spreadsheets/d/1-uDff_7J0KD5mKrp0Vvzr7lt3OU09vwQwhkpOPPYv2Y/edit?usp=sharing"",""งบพรบ!BY76"")"),0)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IFERROR(__xludf.DUMMYFUNCTION("IMPORTRANGE(""https://docs.google.com/spreadsheets/d/1ItG2mGa2ceCfYo0BwxsXqNm01IGEUdYcSSLTEv9YCik/edit?usp=sharing"",""เบิกจ่ายกองทุน!CI76"")"),0)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IFERROR(__xludf.DUMMYFUNCTION("IMPORTRANGE(""https://docs.google.com/spreadsheets/d/1ItG2mGa2ceCfYo0BwxsXqNm01IGEUdYcSSLTEv9YCik/edit?usp=sharing"",""เบิกจ่ายกองทุน!CJ76"")"),0)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IFERROR(__xludf.DUMMYFUNCTION("IMPORTRANGE(""https://docs.google.com/spreadsheets/d/1ItG2mGa2ceCfYo0BwxsXqNm01IGEUdYcSSLTEv9YCik/edit?usp=sharing"",""เบิกจ่ายกองทุน!CK76"")"),0)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IFERROR(__xludf.DUMMYFUNCTION("IMPORTRANGE(""https://docs.google.com/spreadsheets/d/1eHaY18a8A9IcSdp1K8H6x8fbOy06t2VsZHhMHf-1x7Y/edit?usp=sharing"",""แผน!U76"")"),0)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IFERROR(__xludf.DUMMYFUNCTION("IMPORTRANGE(""https://docs.google.com/spreadsheets/d/1eHaY18a8A9IcSdp1K8H6x8fbOy06t2VsZHhMHf-1x7Y/edit?usp=sharing"",""แผน!V76"")"),0)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IFERROR(__xludf.DUMMYFUNCTION("IMPORTRANGE(""https://docs.google.com/spreadsheets/d/1eHaY18a8A9IcSdp1K8H6x8fbOy06t2VsZHhMHf-1x7Y/edit?usp=sharing"",""แผน!W76"")"),20)</f>
        <v>20</v>
      </c>
      <c r="J152" s="167">
        <v>20</v>
      </c>
      <c r="K152" s="47">
        <f ca="1">IF(I152&gt;0,J152*100/I152,0)</f>
        <v>100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IFERROR(__xludf.DUMMYFUNCTION("IMPORTRANGE(""https://docs.google.com/spreadsheets/d/1eHaY18a8A9IcSdp1K8H6x8fbOy06t2VsZHhMHf-1x7Y/edit?usp=sharing"",""แผน!X76"")"),2)</f>
        <v>2</v>
      </c>
      <c r="J153" s="167">
        <v>2</v>
      </c>
      <c r="K153" s="47">
        <f ca="1">IF(I153&gt;0,J153*100/I153,0)</f>
        <v>100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IFERROR(__xludf.DUMMYFUNCTION("IMPORTRANGE(""https://docs.google.com/spreadsheets/d/1eHaY18a8A9IcSdp1K8H6x8fbOy06t2VsZHhMHf-1x7Y/edit?usp=sharing"",""แผน!Y76"")"),0)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I167</f>
        <v>15</v>
      </c>
      <c r="J156" s="127">
        <f>J167</f>
        <v>27</v>
      </c>
      <c r="K156" s="35">
        <f ca="1">IF(I156&gt;0,J156*100/I156,0)</f>
        <v>180</v>
      </c>
      <c r="L156" s="58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59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4500</v>
      </c>
      <c r="M157" s="132">
        <f ca="1">M158+M159</f>
        <v>11670</v>
      </c>
      <c r="N157" s="132">
        <f ca="1">N158+N159</f>
        <v>6825.41</v>
      </c>
      <c r="O157" s="132">
        <f ca="1">IF(L157&gt;0,N157*100/L157,0)</f>
        <v>151.67577777777777</v>
      </c>
      <c r="P157" s="132">
        <f ca="1">IF(M157&gt;0,N157*100/M157,0)</f>
        <v>58.486803770351329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4500</v>
      </c>
      <c r="M159" s="47">
        <f ca="1">M162+M165</f>
        <v>11670</v>
      </c>
      <c r="N159" s="47">
        <f ca="1">N162+N165</f>
        <v>6825.41</v>
      </c>
      <c r="O159" s="47">
        <f ca="1">IF(L159&gt;0,N159*100/L159,0)</f>
        <v>151.67577777777777</v>
      </c>
      <c r="P159" s="47">
        <f ca="1">IF(M159&gt;0,N159*100/M159,0)</f>
        <v>58.486803770351329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4500</v>
      </c>
      <c r="M160" s="47">
        <f ca="1">M161+M162</f>
        <v>11670</v>
      </c>
      <c r="N160" s="47">
        <f ca="1">N161+N162</f>
        <v>6825.41</v>
      </c>
      <c r="O160" s="47">
        <f ca="1">IF(L160&gt;0,N160*100/L160,0)</f>
        <v>151.67577777777777</v>
      </c>
      <c r="P160" s="47">
        <f ca="1">IF(M160&gt;0,N160*100/M160,0)</f>
        <v>58.486803770351329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IFERROR(__xludf.DUMMYFUNCTION("IMPORTRANGE(""https://docs.google.com/spreadsheets/d/1-uDff_7J0KD5mKrp0Vvzr7lt3OU09vwQwhkpOPPYv2Y/edit?usp=sharing"",""งบพรบ!CA76"")"),4500)</f>
        <v>4500</v>
      </c>
      <c r="M162" s="47">
        <f ca="1">IFERROR(__xludf.DUMMYFUNCTION("IMPORTRANGE(""https://docs.google.com/spreadsheets/d/1-uDff_7J0KD5mKrp0Vvzr7lt3OU09vwQwhkpOPPYv2Y/edit?usp=sharing"",""งบพรบ!CF76"")"),11670)</f>
        <v>11670</v>
      </c>
      <c r="N162" s="47">
        <f ca="1">IFERROR(__xludf.DUMMYFUNCTION("IMPORTRANGE(""https://docs.google.com/spreadsheets/d/1-uDff_7J0KD5mKrp0Vvzr7lt3OU09vwQwhkpOPPYv2Y/edit?usp=sharing"",""งบพรบ!CH76"")"),6825.41)</f>
        <v>6825.41</v>
      </c>
      <c r="O162" s="47">
        <f ca="1">IF(L162&gt;0,N162*100/L162,0)</f>
        <v>151.67577777777777</v>
      </c>
      <c r="P162" s="47">
        <f ca="1">IF(M162&gt;0,N162*100/M162,0)</f>
        <v>58.486803770351329</v>
      </c>
      <c r="Q162" s="47">
        <f ca="1">IFERROR(__xludf.DUMMYFUNCTION("IMPORTRANGE(""https://docs.google.com/spreadsheets/d/1ItG2mGa2ceCfYo0BwxsXqNm01IGEUdYcSSLTEv9YCik/edit?usp=sharing"",""เบิกจ่ายกองทุน!AM76"")"),0)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IFERROR(__xludf.DUMMYFUNCTION("IMPORTRANGE(""https://docs.google.com/spreadsheets/d/1ItG2mGa2ceCfYo0BwxsXqNm01IGEUdYcSSLTEv9YCik/edit?usp=sharing"",""เบิกจ่ายกองทุน!AN76"")"),0)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IFERROR(__xludf.DUMMYFUNCTION("IMPORTRANGE(""https://docs.google.com/spreadsheets/d/1ItG2mGa2ceCfYo0BwxsXqNm01IGEUdYcSSLTEv9YCik/edit?usp=sharing"",""เบิกจ่ายกองทุน!AO76"")"),0)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IFERROR(__xludf.DUMMYFUNCTION("IMPORTRANGE(""https://docs.google.com/spreadsheets/d/1-uDff_7J0KD5mKrp0Vvzr7lt3OU09vwQwhkpOPPYv2Y/edit?usp=sharing"",""งบพรบ!CD76"")"),0)</f>
        <v>0</v>
      </c>
      <c r="M165" s="47">
        <f ca="1">IFERROR(__xludf.DUMMYFUNCTION("IMPORTRANGE(""https://docs.google.com/spreadsheets/d/1-uDff_7J0KD5mKrp0Vvzr7lt3OU09vwQwhkpOPPYv2Y/edit?usp=sharing"",""งบพรบ!CG76"")"),0)</f>
        <v>0</v>
      </c>
      <c r="N165" s="47">
        <f ca="1">IFERROR(__xludf.DUMMYFUNCTION("IMPORTRANGE(""https://docs.google.com/spreadsheets/d/1-uDff_7J0KD5mKrp0Vvzr7lt3OU09vwQwhkpOPPYv2Y/edit?usp=sharing"",""งบพรบ!CI76"")"),0)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IFERROR(__xludf.DUMMYFUNCTION("IMPORTRANGE(""https://docs.google.com/spreadsheets/d/1eHaY18a8A9IcSdp1K8H6x8fbOy06t2VsZHhMHf-1x7Y/edit?usp=sharing"",""แผน!Z76"")"),15)</f>
        <v>15</v>
      </c>
      <c r="J167" s="167">
        <v>27</v>
      </c>
      <c r="K167" s="47">
        <f ca="1">IF(I167&gt;0,J167*100/I167,0)</f>
        <v>180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I167</f>
        <v>15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I167</f>
        <v>15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hidden="1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hidden="1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0</v>
      </c>
      <c r="J172" s="214">
        <f>J183+J184</f>
        <v>0</v>
      </c>
      <c r="K172" s="215">
        <f ca="1">IF(I172&gt;0,J172*100/I172,0)</f>
        <v>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hidden="1" x14ac:dyDescent="0.3">
      <c r="A173" s="128"/>
      <c r="B173" s="41"/>
      <c r="C173" s="129" t="s">
        <v>18</v>
      </c>
      <c r="D173" s="59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0</v>
      </c>
      <c r="M173" s="132">
        <f ca="1">M174+M175</f>
        <v>0</v>
      </c>
      <c r="N173" s="132">
        <f ca="1">N174+N175</f>
        <v>0</v>
      </c>
      <c r="O173" s="132">
        <f ca="1">IF(L173&gt;0,N173*100/L173,0)</f>
        <v>0</v>
      </c>
      <c r="P173" s="132">
        <f ca="1">IF(M173&gt;0,N173*100/M173,0)</f>
        <v>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0</v>
      </c>
      <c r="M175" s="47">
        <f ca="1">M178+M181</f>
        <v>0</v>
      </c>
      <c r="N175" s="47">
        <f ca="1">N178+N181</f>
        <v>0</v>
      </c>
      <c r="O175" s="47">
        <f ca="1">IF(L175&gt;0,N175*100/L175,0)</f>
        <v>0</v>
      </c>
      <c r="P175" s="47">
        <f ca="1">IF(M175&gt;0,N175*100/M175,0)</f>
        <v>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hidden="1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0</v>
      </c>
      <c r="M176" s="47">
        <f ca="1">M177+M178</f>
        <v>0</v>
      </c>
      <c r="N176" s="47">
        <f ca="1">N177+N178</f>
        <v>0</v>
      </c>
      <c r="O176" s="47">
        <f ca="1">IF(L176&gt;0,N176*100/L176,0)</f>
        <v>0</v>
      </c>
      <c r="P176" s="47">
        <f ca="1">IF(M176&gt;0,N176*100/M176,0)</f>
        <v>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IFERROR(__xludf.DUMMYFUNCTION("IMPORTRANGE(""https://docs.google.com/spreadsheets/d/1-uDff_7J0KD5mKrp0Vvzr7lt3OU09vwQwhkpOPPYv2Y/edit?usp=sharing"",""งบพรบ!CK76"")"),0)</f>
        <v>0</v>
      </c>
      <c r="M178" s="47">
        <f ca="1">IFERROR(__xludf.DUMMYFUNCTION("IMPORTRANGE(""https://docs.google.com/spreadsheets/d/1-uDff_7J0KD5mKrp0Vvzr7lt3OU09vwQwhkpOPPYv2Y/edit?usp=sharing"",""งบพรบ!CP76"")"),0)</f>
        <v>0</v>
      </c>
      <c r="N178" s="47">
        <f ca="1">IFERROR(__xludf.DUMMYFUNCTION("IMPORTRANGE(""https://docs.google.com/spreadsheets/d/1-uDff_7J0KD5mKrp0Vvzr7lt3OU09vwQwhkpOPPYv2Y/edit?usp=sharing"",""งบพรบ!CR76"")"),0)</f>
        <v>0</v>
      </c>
      <c r="O178" s="47">
        <f ca="1">IF(L178&gt;0,N178*100/L178,0)</f>
        <v>0</v>
      </c>
      <c r="P178" s="47">
        <f ca="1">IF(M178&gt;0,N178*100/M178,0)</f>
        <v>0</v>
      </c>
      <c r="Q178" s="47">
        <f ca="1">IFERROR(__xludf.DUMMYFUNCTION("IMPORTRANGE(""https://docs.google.com/spreadsheets/d/1ItG2mGa2ceCfYo0BwxsXqNm01IGEUdYcSSLTEv9YCik/edit?usp=sharing"",""เบิกจ่ายกองทุน!DG76"")"),0)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IFERROR(__xludf.DUMMYFUNCTION("IMPORTRANGE(""https://docs.google.com/spreadsheets/d/1ItG2mGa2ceCfYo0BwxsXqNm01IGEUdYcSSLTEv9YCik/edit?usp=sharing"",""เบิกจ่ายกองทุน!DH76"")"),0)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IFERROR(__xludf.DUMMYFUNCTION("IMPORTRANGE(""https://docs.google.com/spreadsheets/d/1ItG2mGa2ceCfYo0BwxsXqNm01IGEUdYcSSLTEv9YCik/edit?usp=sharing"",""เบิกจ่ายกองทุน!DI76"")"),0)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hidden="1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IFERROR(__xludf.DUMMYFUNCTION("IMPORTRANGE(""https://docs.google.com/spreadsheets/d/1-uDff_7J0KD5mKrp0Vvzr7lt3OU09vwQwhkpOPPYv2Y/edit?usp=sharing"",""งบพรบ!CN76"")"),0)</f>
        <v>0</v>
      </c>
      <c r="M181" s="47">
        <f ca="1">IFERROR(__xludf.DUMMYFUNCTION("IMPORTRANGE(""https://docs.google.com/spreadsheets/d/1-uDff_7J0KD5mKrp0Vvzr7lt3OU09vwQwhkpOPPYv2Y/edit?usp=sharing"",""งบพรบ!CQ76"")"),0)</f>
        <v>0</v>
      </c>
      <c r="N181" s="47">
        <f ca="1">IFERROR(__xludf.DUMMYFUNCTION("IMPORTRANGE(""https://docs.google.com/spreadsheets/d/1-uDff_7J0KD5mKrp0Vvzr7lt3OU09vwQwhkpOPPYv2Y/edit?usp=sharing"",""งบพรบ!CS76"")"),0)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hidden="1" x14ac:dyDescent="0.3">
      <c r="A182" s="138"/>
      <c r="B182" s="139"/>
      <c r="C182" s="129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hidden="1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IFERROR(__xludf.DUMMYFUNCTION("IMPORTRANGE(""https://docs.google.com/spreadsheets/d/1eHaY18a8A9IcSdp1K8H6x8fbOy06t2VsZHhMHf-1x7Y/edit?usp=sharing"",""แผน!AA76"")"),0)</f>
        <v>0</v>
      </c>
      <c r="J183" s="167">
        <v>0</v>
      </c>
      <c r="K183" s="47">
        <f ca="1">IF(I183&gt;0,J183*100/I183,0)</f>
        <v>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9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41500</v>
      </c>
      <c r="M186" s="132">
        <f ca="1">M187+M188</f>
        <v>48200</v>
      </c>
      <c r="N186" s="132">
        <f ca="1">N187+N188</f>
        <v>4502</v>
      </c>
      <c r="O186" s="132">
        <f ca="1">IF(L186&gt;0,N186*100/L186,0)</f>
        <v>10.848192771084337</v>
      </c>
      <c r="P186" s="132">
        <f ca="1">IF(M186&gt;0,N186*100/M186,0)</f>
        <v>9.3402489626556022</v>
      </c>
      <c r="Q186" s="132">
        <f ca="1">Q187+Q188</f>
        <v>105700</v>
      </c>
      <c r="R186" s="132">
        <f ca="1">R187+R188</f>
        <v>105700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41500</v>
      </c>
      <c r="M188" s="47">
        <f ca="1">M191+M194</f>
        <v>48200</v>
      </c>
      <c r="N188" s="47">
        <f ca="1">N191+N194</f>
        <v>4502</v>
      </c>
      <c r="O188" s="47">
        <f ca="1">IF(L188&gt;0,N188*100/L188,0)</f>
        <v>10.848192771084337</v>
      </c>
      <c r="P188" s="47">
        <f ca="1">IF(M188&gt;0,N188*100/M188,0)</f>
        <v>9.3402489626556022</v>
      </c>
      <c r="Q188" s="47">
        <f ca="1">Q191+Q194</f>
        <v>105700</v>
      </c>
      <c r="R188" s="47">
        <f ca="1">R191+R194</f>
        <v>105700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41500</v>
      </c>
      <c r="M189" s="47">
        <f ca="1">M190+M191</f>
        <v>48200</v>
      </c>
      <c r="N189" s="47">
        <f ca="1">N190+N191</f>
        <v>4502</v>
      </c>
      <c r="O189" s="47">
        <f ca="1">IF(L189&gt;0,N189*100/L189,0)</f>
        <v>10.848192771084337</v>
      </c>
      <c r="P189" s="47">
        <f ca="1">IF(M189&gt;0,N189*100/M189,0)</f>
        <v>9.3402489626556022</v>
      </c>
      <c r="Q189" s="47">
        <f ca="1">Q190+Q191</f>
        <v>105700</v>
      </c>
      <c r="R189" s="47">
        <f ca="1">R190+R191</f>
        <v>105700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IFERROR(__xludf.DUMMYFUNCTION("IMPORTRANGE(""https://docs.google.com/spreadsheets/d/1-uDff_7J0KD5mKrp0Vvzr7lt3OU09vwQwhkpOPPYv2Y/edit?usp=sharing"",""งบพรบ!CU76"")"),41500)</f>
        <v>41500</v>
      </c>
      <c r="M191" s="47">
        <f ca="1">IFERROR(__xludf.DUMMYFUNCTION("IMPORTRANGE(""https://docs.google.com/spreadsheets/d/1-uDff_7J0KD5mKrp0Vvzr7lt3OU09vwQwhkpOPPYv2Y/edit?usp=sharing"",""งบพรบ!CZ76"")"),48200)</f>
        <v>48200</v>
      </c>
      <c r="N191" s="47">
        <f ca="1">IFERROR(__xludf.DUMMYFUNCTION("IMPORTRANGE(""https://docs.google.com/spreadsheets/d/1-uDff_7J0KD5mKrp0Vvzr7lt3OU09vwQwhkpOPPYv2Y/edit?usp=sharing"",""งบพรบ!DB76"")"),4502)</f>
        <v>4502</v>
      </c>
      <c r="O191" s="47">
        <f ca="1">IF(L191&gt;0,N191*100/L191,0)</f>
        <v>10.848192771084337</v>
      </c>
      <c r="P191" s="47">
        <f ca="1">IF(M191&gt;0,N191*100/M191,0)</f>
        <v>9.3402489626556022</v>
      </c>
      <c r="Q191" s="47">
        <f ca="1">IFERROR(__xludf.DUMMYFUNCTION("IMPORTRANGE(""https://docs.google.com/spreadsheets/d/1ItG2mGa2ceCfYo0BwxsXqNm01IGEUdYcSSLTEv9YCik/edit?usp=sharing"",""เบิกจ่ายกองทุน!BQ76"")"),105700)</f>
        <v>105700</v>
      </c>
      <c r="R191" s="47">
        <f ca="1">IFERROR(__xludf.DUMMYFUNCTION("IMPORTRANGE(""https://docs.google.com/spreadsheets/d/1ItG2mGa2ceCfYo0BwxsXqNm01IGEUdYcSSLTEv9YCik/edit?usp=sharing"",""เบิกจ่ายกองทุน!BR76"")"),105700)</f>
        <v>105700</v>
      </c>
      <c r="S191" s="47">
        <f ca="1">IFERROR(__xludf.DUMMYFUNCTION("IMPORTRANGE(""https://docs.google.com/spreadsheets/d/1ItG2mGa2ceCfYo0BwxsXqNm01IGEUdYcSSLTEv9YCik/edit?usp=sharing"",""เบิกจ่ายกองทุน!BS76"")"),0)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IFERROR(__xludf.DUMMYFUNCTION("IMPORTRANGE(""https://docs.google.com/spreadsheets/d/1-uDff_7J0KD5mKrp0Vvzr7lt3OU09vwQwhkpOPPYv2Y/edit?usp=sharing"",""งบพรบ!CX76"")"),0)</f>
        <v>0</v>
      </c>
      <c r="M194" s="47">
        <f ca="1">IFERROR(__xludf.DUMMYFUNCTION("IMPORTRANGE(""https://docs.google.com/spreadsheets/d/1-uDff_7J0KD5mKrp0Vvzr7lt3OU09vwQwhkpOPPYv2Y/edit?usp=sharing"",""งบพรบ!DA76"")"),0)</f>
        <v>0</v>
      </c>
      <c r="N194" s="47">
        <f ca="1">IFERROR(__xludf.DUMMYFUNCTION("IMPORTRANGE(""https://docs.google.com/spreadsheets/d/1-uDff_7J0KD5mKrp0Vvzr7lt3OU09vwQwhkpOPPYv2Y/edit?usp=sharing"",""งบพรบ!DC76"")"),0)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IFERROR(__xludf.DUMMYFUNCTION("IMPORTRANGE(""https://docs.google.com/spreadsheets/d/1ItG2mGa2ceCfYo0BwxsXqNm01IGEUdYcSSLTEv9YCik/edit?usp=sharing"",""เบิกจ่ายกองทุน!BT76"")"),0)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IFERROR(__xludf.DUMMYFUNCTION("IMPORTRANGE(""https://docs.google.com/spreadsheets/d/1ItG2mGa2ceCfYo0BwxsXqNm01IGEUdYcSSLTEv9YCik/edit?usp=sharing"",""เบิกจ่ายกองทุน!BU76"")"),0)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IFERROR(__xludf.DUMMYFUNCTION("IMPORTRANGE(""https://docs.google.com/spreadsheets/d/1ItG2mGa2ceCfYo0BwxsXqNm01IGEUdYcSSLTEv9YCik/edit?usp=sharing"",""เบิกจ่ายกองทุน!BV76"")"),0)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87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IFERROR(__xludf.DUMMYFUNCTION("IMPORTRANGE(""https://docs.google.com/spreadsheets/d/1eHaY18a8A9IcSdp1K8H6x8fbOy06t2VsZHhMHf-1x7Y/edit?usp=sharing"",""แผน!AB76"")"),6000)</f>
        <v>6000</v>
      </c>
      <c r="M196" s="46"/>
      <c r="N196" s="769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IFERROR(__xludf.DUMMYFUNCTION("IMPORTRANGE(""https://docs.google.com/spreadsheets/d/1eHaY18a8A9IcSdp1K8H6x8fbOy06t2VsZHhMHf-1x7Y/edit?usp=sharing"",""แผน!AE76"")"),4)</f>
        <v>4</v>
      </c>
      <c r="J198" s="167">
        <v>2</v>
      </c>
      <c r="K198" s="47">
        <f ca="1">IF(I198&gt;0,J198*100/I198,0)</f>
        <v>50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4</v>
      </c>
      <c r="J202" s="228">
        <f>J209</f>
        <v>0</v>
      </c>
      <c r="K202" s="229">
        <f ca="1">IF(I202&gt;0,J202*100/I202,0)</f>
        <v>0</v>
      </c>
      <c r="L202" s="687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 t="e">
        <f ca="1">L204+L205+L206+L207</f>
        <v>#VALUE!</v>
      </c>
      <c r="M203" s="46"/>
      <c r="N203" s="132">
        <f>N204+N205+N206+N207</f>
        <v>0</v>
      </c>
      <c r="O203" s="132" t="e">
        <f ca="1">IF(L203&gt;0,N203*100/L203,0)</f>
        <v>#VALUE!</v>
      </c>
      <c r="P203" s="132">
        <f>IF(M203&gt;0,N203*100/M203,0)</f>
        <v>0</v>
      </c>
      <c r="Q203" s="768">
        <f ca="1">Q204+Q205+Q206+Q207</f>
        <v>56000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IFERROR(__xludf.DUMMYFUNCTION("IMPORTRANGE(""https://docs.google.com/spreadsheets/d/1eHaY18a8A9IcSdp1K8H6x8fbOy06t2VsZHhMHf-1x7Y/edit?usp=sharing"",""แผน!AG76"")"),4000)</f>
        <v>4000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IFERROR(__xludf.DUMMYFUNCTION("IMPORTRANGE(""https://docs.google.com/spreadsheets/d/1eHaY18a8A9IcSdp1K8H6x8fbOy06t2VsZHhMHf-1x7Y/edit?usp=sharing"",""แผน!AH76"")"),0)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 t="str">
        <f ca="1">IFERROR(__xludf.DUMMYFUNCTION("IMPORTRANGE(""https://docs.google.com/spreadsheets/d/1eHaY18a8A9IcSdp1K8H6x8fbOy06t2VsZHhMHf-1x7Y/edit?usp=sharing"",""แผน!AI76"")"),"")</f>
        <v/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IFERROR(__xludf.DUMMYFUNCTION("IMPORTRANGE(""https://docs.google.com/spreadsheets/d/1eHaY18a8A9IcSdp1K8H6x8fbOy06t2VsZHhMHf-1x7Y/edit?usp=sharing"",""แผน!LV76"")"),56000)</f>
        <v>56000</v>
      </c>
      <c r="R206" s="46"/>
      <c r="S206" s="743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IFERROR(__xludf.DUMMYFUNCTION("IMPORTRANGE(""https://docs.google.com/spreadsheets/d/1eHaY18a8A9IcSdp1K8H6x8fbOy06t2VsZHhMHf-1x7Y/edit?usp=sharing"",""แผน!AJ76"")"),21000)</f>
        <v>21000</v>
      </c>
      <c r="M207" s="46"/>
      <c r="N207" s="743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IFERROR(__xludf.DUMMYFUNCTION("IMPORTRANGE(""https://docs.google.com/spreadsheets/d/1eHaY18a8A9IcSdp1K8H6x8fbOy06t2VsZHhMHf-1x7Y/edit?usp=sharing"",""แผน!AK76"")"),4)</f>
        <v>4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IFERROR(__xludf.DUMMYFUNCTION("IMPORTRANGE(""https://docs.google.com/spreadsheets/d/1eHaY18a8A9IcSdp1K8H6x8fbOy06t2VsZHhMHf-1x7Y/edit?usp=sharing"",""แผน!JX76"")"),2)</f>
        <v>2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IFERROR(__xludf.DUMMYFUNCTION("IMPORTRANGE(""https://docs.google.com/spreadsheets/d/1eHaY18a8A9IcSdp1K8H6x8fbOy06t2VsZHhMHf-1x7Y/edit?usp=sharing"",""แผน!JY76"")"),1)</f>
        <v>1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1</v>
      </c>
      <c r="J213" s="228">
        <f>J220</f>
        <v>0</v>
      </c>
      <c r="K213" s="229">
        <f ca="1">IF(I213&gt;0,J213*100/I213,0)</f>
        <v>0</v>
      </c>
      <c r="L213" s="687"/>
      <c r="M213" s="230"/>
      <c r="N213" s="230"/>
      <c r="O213" s="230"/>
      <c r="P213" s="230"/>
      <c r="Q213" s="687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6000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49700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IFERROR(__xludf.DUMMYFUNCTION("IMPORTRANGE(""https://docs.google.com/spreadsheets/d/1eHaY18a8A9IcSdp1K8H6x8fbOy06t2VsZHhMHf-1x7Y/edit?usp=sharing"",""แผน!AM76"")"),1000)</f>
        <v>1000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IFERROR(__xludf.DUMMYFUNCTION("IMPORTRANGE(""https://docs.google.com/spreadsheets/d/1eHaY18a8A9IcSdp1K8H6x8fbOy06t2VsZHhMHf-1x7Y/edit?usp=sharing"",""แผน!AN76"")"),5000)</f>
        <v>5000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IFERROR(__xludf.DUMMYFUNCTION("IMPORTRANGE(""https://docs.google.com/spreadsheets/d/1eHaY18a8A9IcSdp1K8H6x8fbOy06t2VsZHhMHf-1x7Y/edit?usp=sharing"",""แผน!AO76"")"),0)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IFERROR(__xludf.DUMMYFUNCTION("IMPORTRANGE(""https://docs.google.com/spreadsheets/d/1eHaY18a8A9IcSdp1K8H6x8fbOy06t2VsZHhMHf-1x7Y/edit?usp=sharing"",""แผน!LY76"")"),49700)</f>
        <v>49700</v>
      </c>
      <c r="R217" s="46"/>
      <c r="S217" s="743">
        <v>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IFERROR(__xludf.DUMMYFUNCTION("IMPORTRANGE(""https://docs.google.com/spreadsheets/d/1eHaY18a8A9IcSdp1K8H6x8fbOy06t2VsZHhMHf-1x7Y/edit?usp=sharing"",""แผน!AP76"")"),1)</f>
        <v>1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IFERROR(__xludf.DUMMYFUNCTION("IMPORTRANGE(""https://docs.google.com/spreadsheets/d/1eHaY18a8A9IcSdp1K8H6x8fbOy06t2VsZHhMHf-1x7Y/edit?usp=sharing"",""แผน!AP76"")"),1)</f>
        <v>1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20000</v>
      </c>
      <c r="J221" s="228">
        <f>J229</f>
        <v>0</v>
      </c>
      <c r="K221" s="229">
        <f ca="1">IF(I221&gt;0,J221*100/I221,0)</f>
        <v>0</v>
      </c>
      <c r="L221" s="687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IFERROR(__xludf.DUMMYFUNCTION("IMPORTRANGE(""https://docs.google.com/spreadsheets/d/1eHaY18a8A9IcSdp1K8H6x8fbOy06t2VsZHhMHf-1x7Y/edit?usp=sharing"",""แผน!AR76"")"),3000)</f>
        <v>3000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IFERROR(__xludf.DUMMYFUNCTION("IMPORTRANGE(""https://docs.google.com/spreadsheets/d/1eHaY18a8A9IcSdp1K8H6x8fbOy06t2VsZHhMHf-1x7Y/edit?usp=sharing"",""แผน!AS76"")"),1500)</f>
        <v>1500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IFERROR(__xludf.DUMMYFUNCTION("IMPORTRANGE(""https://docs.google.com/spreadsheets/d/1eHaY18a8A9IcSdp1K8H6x8fbOy06t2VsZHhMHf-1x7Y/edit?usp=sharing"",""แผน!AT76"")"),0)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IFERROR(__xludf.DUMMYFUNCTION("IMPORTRANGE(""https://docs.google.com/spreadsheets/d/1eHaY18a8A9IcSdp1K8H6x8fbOy06t2VsZHhMHf-1x7Y/edit?usp=sharing"",""แผน!AV76"")"),20000)</f>
        <v>20000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IFERROR(__xludf.DUMMYFUNCTION("IMPORTRANGE(""https://docs.google.com/spreadsheets/d/1eHaY18a8A9IcSdp1K8H6x8fbOy06t2VsZHhMHf-1x7Y/edit?usp=sharing"",""แผน!AV76"")"),20000)</f>
        <v>20000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IFERROR(__xludf.DUMMYFUNCTION("IMPORTRANGE(""https://docs.google.com/spreadsheets/d/1eHaY18a8A9IcSdp1K8H6x8fbOy06t2VsZHhMHf-1x7Y/edit?usp=sharing"",""แผน!AU76"")"),0)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7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1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7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IFERROR(__xludf.DUMMYFUNCTION("IMPORTRANGE(""https://docs.google.com/spreadsheets/d/1eHaY18a8A9IcSdp1K8H6x8fbOy06t2VsZHhMHf-1x7Y/edit?usp=sharing"",""แผน!AX76"")"),0)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IFERROR(__xludf.DUMMYFUNCTION("IMPORTRANGE(""https://docs.google.com/spreadsheets/d/1eHaY18a8A9IcSdp1K8H6x8fbOy06t2VsZHhMHf-1x7Y/edit?usp=sharing"",""แผน!AY76"")"),0)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IFERROR(__xludf.DUMMYFUNCTION("IMPORTRANGE(""https://docs.google.com/spreadsheets/d/1eHaY18a8A9IcSdp1K8H6x8fbOy06t2VsZHhMHf-1x7Y/edit?usp=sharing"",""แผน!AZ76"")"),0)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IFERROR(__xludf.DUMMYFUNCTION("IMPORTRANGE(""https://docs.google.com/spreadsheets/d/1eHaY18a8A9IcSdp1K8H6x8fbOy06t2VsZHhMHf-1x7Y/edit?usp=sharing"",""แผน!BA76"")"),0)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1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IFERROR(__xludf.DUMMYFUNCTION("IMPORTRANGE(""https://docs.google.com/spreadsheets/d/1eHaY18a8A9IcSdp1K8H6x8fbOy06t2VsZHhMHf-1x7Y/edit?usp=sharing"",""แผน!BG76"")"),0)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7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IFERROR(__xludf.DUMMYFUNCTION("IMPORTRANGE(""https://docs.google.com/spreadsheets/d/1eHaY18a8A9IcSdp1K8H6x8fbOy06t2VsZHhMHf-1x7Y/edit?usp=sharing"",""แผน!BB76"")"),0)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IFERROR(__xludf.DUMMYFUNCTION("IMPORTRANGE(""https://docs.google.com/spreadsheets/d/1eHaY18a8A9IcSdp1K8H6x8fbOy06t2VsZHhMHf-1x7Y/edit?usp=sharing"",""แผน!BC76"")"),0)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IFERROR(__xludf.DUMMYFUNCTION("IMPORTRANGE(""https://docs.google.com/spreadsheets/d/1eHaY18a8A9IcSdp1K8H6x8fbOy06t2VsZHhMHf-1x7Y/edit?usp=sharing"",""แผน!BD76"")"),0)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IFERROR(__xludf.DUMMYFUNCTION("IMPORTRANGE(""https://docs.google.com/spreadsheets/d/1eHaY18a8A9IcSdp1K8H6x8fbOy06t2VsZHhMHf-1x7Y/edit?usp=sharing"",""แผน!BE76"")"),0)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1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IFERROR(__xludf.DUMMYFUNCTION("IMPORTRANGE(""https://docs.google.com/spreadsheets/d/1eHaY18a8A9IcSdp1K8H6x8fbOy06t2VsZHhMHf-1x7Y/edit?usp=sharing"",""แผน!BH76"")"),0)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24</v>
      </c>
      <c r="J265" s="726">
        <f>J276</f>
        <v>24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618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19870</v>
      </c>
      <c r="N266" s="421">
        <f ca="1">N267+N268</f>
        <v>9990</v>
      </c>
      <c r="O266" s="421">
        <f ca="1">IF(L266&gt;0,N266*100/L266,0)</f>
        <v>199.8</v>
      </c>
      <c r="P266" s="421">
        <f ca="1">IF(M266&gt;0,N266*100/M266,0)</f>
        <v>50.276799194765978</v>
      </c>
      <c r="Q266" s="421">
        <f ca="1">Q267+Q268</f>
        <v>53440</v>
      </c>
      <c r="R266" s="421">
        <f ca="1">R267+R268</f>
        <v>53440</v>
      </c>
      <c r="S266" s="421">
        <f ca="1">S267+S268</f>
        <v>46626</v>
      </c>
      <c r="T266" s="421">
        <f ca="1">IF(Q266&gt;0,S266*100/Q266,0)</f>
        <v>87.249251497005986</v>
      </c>
      <c r="U266" s="421">
        <f ca="1">IF(R266&gt;0,S266*100/R266,0)</f>
        <v>87.249251497005986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19870</v>
      </c>
      <c r="N268" s="331">
        <f ca="1">N271+N274</f>
        <v>9990</v>
      </c>
      <c r="O268" s="331">
        <f ca="1">IF(L268&gt;0,N268*100/L268,0)</f>
        <v>199.8</v>
      </c>
      <c r="P268" s="331">
        <f ca="1">IF(M268&gt;0,N268*100/M268,0)</f>
        <v>50.276799194765978</v>
      </c>
      <c r="Q268" s="331">
        <f ca="1">Q271+Q274</f>
        <v>53440</v>
      </c>
      <c r="R268" s="331">
        <f ca="1">R271+R274</f>
        <v>53440</v>
      </c>
      <c r="S268" s="331">
        <f ca="1">S271+S274</f>
        <v>46626</v>
      </c>
      <c r="T268" s="331">
        <f ca="1">IF(Q268&gt;0,S268*100/Q268,0)</f>
        <v>87.249251497005986</v>
      </c>
      <c r="U268" s="331">
        <f ca="1">IF(R268&gt;0,S268*100/R268,0)</f>
        <v>87.249251497005986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19870</v>
      </c>
      <c r="N269" s="331">
        <f ca="1">N270+N271</f>
        <v>9990</v>
      </c>
      <c r="O269" s="331">
        <f ca="1">IF(L269&gt;0,N269*100/L269,0)</f>
        <v>199.8</v>
      </c>
      <c r="P269" s="331">
        <f ca="1">IF(M269&gt;0,N269*100/M269,0)</f>
        <v>50.276799194765978</v>
      </c>
      <c r="Q269" s="331">
        <f ca="1">Q270+Q271</f>
        <v>53440</v>
      </c>
      <c r="R269" s="331">
        <f ca="1">R270+R271</f>
        <v>53440</v>
      </c>
      <c r="S269" s="331">
        <f ca="1">S270+S271</f>
        <v>46626</v>
      </c>
      <c r="T269" s="331">
        <f ca="1">IF(Q269&gt;0,S269*100/Q269,0)</f>
        <v>87.249251497005986</v>
      </c>
      <c r="U269" s="331">
        <f ca="1">IF(R269&gt;0,S269*100/R269,0)</f>
        <v>87.249251497005986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IFERROR(__xludf.DUMMYFUNCTION("IMPORTRANGE(""https://docs.google.com/spreadsheets/d/1-uDff_7J0KD5mKrp0Vvzr7lt3OU09vwQwhkpOPPYv2Y/edit?usp=sharing"",""งบพรบ!DE76"")"),5000)</f>
        <v>5000</v>
      </c>
      <c r="M271" s="331">
        <f ca="1">IFERROR(__xludf.DUMMYFUNCTION("IMPORTRANGE(""https://docs.google.com/spreadsheets/d/1-uDff_7J0KD5mKrp0Vvzr7lt3OU09vwQwhkpOPPYv2Y/edit?usp=sharing"",""งบพรบ!DJ76"")"),19870)</f>
        <v>19870</v>
      </c>
      <c r="N271" s="331">
        <f ca="1">IFERROR(__xludf.DUMMYFUNCTION("IMPORTRANGE(""https://docs.google.com/spreadsheets/d/1-uDff_7J0KD5mKrp0Vvzr7lt3OU09vwQwhkpOPPYv2Y/edit?usp=sharing"",""งบพรบ!DL76"")"),9990)</f>
        <v>9990</v>
      </c>
      <c r="O271" s="331">
        <f ca="1">IF(L271&gt;0,N271*100/L271,0)</f>
        <v>199.8</v>
      </c>
      <c r="P271" s="331">
        <f ca="1">IF(M271&gt;0,N271*100/M271,0)</f>
        <v>50.276799194765978</v>
      </c>
      <c r="Q271" s="331">
        <f ca="1">IFERROR(__xludf.DUMMYFUNCTION("IMPORTRANGE(""https://docs.google.com/spreadsheets/d/1ItG2mGa2ceCfYo0BwxsXqNm01IGEUdYcSSLTEv9YCik/edit?usp=sharing"",""เบิกจ่ายกองทุน!AP76"")"),53440)</f>
        <v>53440</v>
      </c>
      <c r="R271" s="331">
        <f ca="1">IFERROR(__xludf.DUMMYFUNCTION("IMPORTRANGE(""https://docs.google.com/spreadsheets/d/1ItG2mGa2ceCfYo0BwxsXqNm01IGEUdYcSSLTEv9YCik/edit?usp=sharing"",""เบิกจ่ายกองทุน!AQ76"")"),53440)</f>
        <v>53440</v>
      </c>
      <c r="S271" s="331">
        <f ca="1">IFERROR(__xludf.DUMMYFUNCTION("IMPORTRANGE(""https://docs.google.com/spreadsheets/d/1ItG2mGa2ceCfYo0BwxsXqNm01IGEUdYcSSLTEv9YCik/edit?usp=sharing"",""เบิกจ่ายกองทุน!AR76"")"),46626)</f>
        <v>46626</v>
      </c>
      <c r="T271" s="331">
        <f ca="1">IF(Q271&gt;0,S271*100/Q271,0)</f>
        <v>87.249251497005986</v>
      </c>
      <c r="U271" s="331">
        <f ca="1">IF(R271&gt;0,S271*100/R271,0)</f>
        <v>87.249251497005986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IFERROR(__xludf.DUMMYFUNCTION("IMPORTRANGE(""https://docs.google.com/spreadsheets/d/1-uDff_7J0KD5mKrp0Vvzr7lt3OU09vwQwhkpOPPYv2Y/edit?usp=sharing"",""งบพรบ!DH76"")"),0)</f>
        <v>0</v>
      </c>
      <c r="M274" s="331">
        <f ca="1">IFERROR(__xludf.DUMMYFUNCTION("IMPORTRANGE(""https://docs.google.com/spreadsheets/d/1-uDff_7J0KD5mKrp0Vvzr7lt3OU09vwQwhkpOPPYv2Y/edit?usp=sharing"",""งบพรบ!DK76"")"),0)</f>
        <v>0</v>
      </c>
      <c r="N274" s="331">
        <f ca="1">IFERROR(__xludf.DUMMYFUNCTION("IMPORTRANGE(""https://docs.google.com/spreadsheets/d/1-uDff_7J0KD5mKrp0Vvzr7lt3OU09vwQwhkpOPPYv2Y/edit?usp=sharing"",""งบพรบ!DM76"")"),0)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423" t="s">
        <v>18</v>
      </c>
      <c r="D275" s="617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IFERROR(__xludf.DUMMYFUNCTION("IMPORTRANGE(""https://docs.google.com/spreadsheets/d/1eHaY18a8A9IcSdp1K8H6x8fbOy06t2VsZHhMHf-1x7Y/edit?usp=sharing"",""แผน!EC76"")"),24)</f>
        <v>24</v>
      </c>
      <c r="J276" s="175">
        <v>24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IFERROR(__xludf.DUMMYFUNCTION("IMPORTRANGE(""https://docs.google.com/spreadsheets/d/1-uDff_7J0KD5mKrp0Vvzr7lt3OU09vwQwhkpOPPYv2Y/edit?usp=sharing"",""งบพรบ!DO76"")"),0)</f>
        <v>0</v>
      </c>
      <c r="M287" s="47">
        <f ca="1">IFERROR(__xludf.DUMMYFUNCTION("IMPORTRANGE(""https://docs.google.com/spreadsheets/d/1-uDff_7J0KD5mKrp0Vvzr7lt3OU09vwQwhkpOPPYv2Y/edit?usp=sharing"",""งบพรบ!DT76"")"),0)</f>
        <v>0</v>
      </c>
      <c r="N287" s="47">
        <f ca="1">IFERROR(__xludf.DUMMYFUNCTION("IMPORTRANGE(""https://docs.google.com/spreadsheets/d/1-uDff_7J0KD5mKrp0Vvzr7lt3OU09vwQwhkpOPPYv2Y/edit?usp=sharing"",""งบพรบ!DV76"")"),0)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IFERROR(__xludf.DUMMYFUNCTION("IMPORTRANGE(""https://docs.google.com/spreadsheets/d/1-uDff_7J0KD5mKrp0Vvzr7lt3OU09vwQwhkpOPPYv2Y/edit?usp=sharing"",""งบพรบ!DR76"")"),0)</f>
        <v>0</v>
      </c>
      <c r="M290" s="47">
        <f ca="1">IFERROR(__xludf.DUMMYFUNCTION("IMPORTRANGE(""https://docs.google.com/spreadsheets/d/1-uDff_7J0KD5mKrp0Vvzr7lt3OU09vwQwhkpOPPYv2Y/edit?usp=sharing"",""งบพรบ!DU76"")"),0)</f>
        <v>0</v>
      </c>
      <c r="N290" s="47">
        <f ca="1">IFERROR(__xludf.DUMMYFUNCTION("IMPORTRANGE(""https://docs.google.com/spreadsheets/d/1-uDff_7J0KD5mKrp0Vvzr7lt3OU09vwQwhkpOPPYv2Y/edit?usp=sharing"",""งบพรบ!DW76"")"),0)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IFERROR(__xludf.DUMMYFUNCTION("IMPORTRANGE(""https://docs.google.com/spreadsheets/d/1eHaY18a8A9IcSdp1K8H6x8fbOy06t2VsZHhMHf-1x7Y/edit?usp=sharing"",""แผน!EE76"")"),0)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IFERROR(__xludf.DUMMYFUNCTION("IMPORTRANGE(""https://docs.google.com/spreadsheets/d/1eHaY18a8A9IcSdp1K8H6x8fbOy06t2VsZHhMHf-1x7Y/edit?usp=sharing"",""แผน!ED76"")"),0)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IFERROR(__xludf.DUMMYFUNCTION("IMPORTRANGE(""https://docs.google.com/spreadsheets/d/1eHaY18a8A9IcSdp1K8H6x8fbOy06t2VsZHhMHf-1x7Y/edit?usp=sharing"",""แผน!ED76"")"),0)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IFERROR(__xludf.DUMMYFUNCTION("IMPORTRANGE(""https://docs.google.com/spreadsheets/d/1eHaY18a8A9IcSdp1K8H6x8fbOy06t2VsZHhMHf-1x7Y/edit?usp=sharing"",""แผน!ED76"")"),0)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1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1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700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30</v>
      </c>
      <c r="J302" s="310">
        <f>J314</f>
        <v>30</v>
      </c>
      <c r="K302" s="311">
        <f ca="1">IF(I302&gt;0,J302*100/I302,0)</f>
        <v>100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9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260958.39</v>
      </c>
      <c r="R303" s="132">
        <f ca="1">R304+R305</f>
        <v>260958</v>
      </c>
      <c r="S303" s="132">
        <f ca="1">S304+S305</f>
        <v>28370</v>
      </c>
      <c r="T303" s="132">
        <f ca="1">IF(Q303&gt;0,S303*100/Q303,0)</f>
        <v>10.87146498719585</v>
      </c>
      <c r="U303" s="132">
        <f ca="1">IF(R303&gt;0,S303*100/R303,0)</f>
        <v>10.871481234528162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260958.39</v>
      </c>
      <c r="R305" s="47">
        <f ca="1">R308+R311</f>
        <v>260958</v>
      </c>
      <c r="S305" s="47">
        <f ca="1">S308+S311</f>
        <v>28370</v>
      </c>
      <c r="T305" s="47">
        <f ca="1">IF(Q305&gt;0,S305*100/Q305,0)</f>
        <v>10.87146498719585</v>
      </c>
      <c r="U305" s="47">
        <f ca="1">IF(R305&gt;0,S305*100/R305,0)</f>
        <v>10.871481234528162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260958.39</v>
      </c>
      <c r="R306" s="47">
        <f ca="1">R307+R308</f>
        <v>260958</v>
      </c>
      <c r="S306" s="47">
        <f ca="1">S307+S308</f>
        <v>28370</v>
      </c>
      <c r="T306" s="47">
        <f ca="1">IF(Q306&gt;0,S306*100/Q306,0)</f>
        <v>10.87146498719585</v>
      </c>
      <c r="U306" s="47">
        <f ca="1">IF(R306&gt;0,S306*100/R306,0)</f>
        <v>10.871481234528162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IFERROR(__xludf.DUMMYFUNCTION("IMPORTRANGE(""https://docs.google.com/spreadsheets/d/1-uDff_7J0KD5mKrp0Vvzr7lt3OU09vwQwhkpOPPYv2Y/edit?usp=sharing"",""งบพรบ!DY76"")"),0)</f>
        <v>0</v>
      </c>
      <c r="M308" s="47">
        <f ca="1">IFERROR(__xludf.DUMMYFUNCTION("IMPORTRANGE(""https://docs.google.com/spreadsheets/d/1-uDff_7J0KD5mKrp0Vvzr7lt3OU09vwQwhkpOPPYv2Y/edit?usp=sharing"",""งบพรบ!ED76"")"),0)</f>
        <v>0</v>
      </c>
      <c r="N308" s="47">
        <f ca="1">IFERROR(__xludf.DUMMYFUNCTION("IMPORTRANGE(""https://docs.google.com/spreadsheets/d/1-uDff_7J0KD5mKrp0Vvzr7lt3OU09vwQwhkpOPPYv2Y/edit?usp=sharing"",""งบพรบ!EF76"")"),0)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IFERROR(__xludf.DUMMYFUNCTION("IMPORTRANGE(""https://docs.google.com/spreadsheets/d/1ItG2mGa2ceCfYo0BwxsXqNm01IGEUdYcSSLTEv9YCik/edit?usp=sharing"",""เบิกจ่ายกองทุน!BB76"")"),260958.39)</f>
        <v>260958.39</v>
      </c>
      <c r="R308" s="47">
        <f ca="1">IFERROR(__xludf.DUMMYFUNCTION("IMPORTRANGE(""https://docs.google.com/spreadsheets/d/1ItG2mGa2ceCfYo0BwxsXqNm01IGEUdYcSSLTEv9YCik/edit?usp=sharing"",""เบิกจ่ายกองทุน!BC76"")"),260958)</f>
        <v>260958</v>
      </c>
      <c r="S308" s="47">
        <f ca="1">IFERROR(__xludf.DUMMYFUNCTION("IMPORTRANGE(""https://docs.google.com/spreadsheets/d/1ItG2mGa2ceCfYo0BwxsXqNm01IGEUdYcSSLTEv9YCik/edit?usp=sharing"",""เบิกจ่ายกองทุน!BD76"")"),28370)</f>
        <v>28370</v>
      </c>
      <c r="T308" s="47">
        <f ca="1">IF(Q308&gt;0,S308*100/Q308,0)</f>
        <v>10.87146498719585</v>
      </c>
      <c r="U308" s="47">
        <f ca="1">IF(R308&gt;0,S308*100/R308,0)</f>
        <v>10.871481234528162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IFERROR(__xludf.DUMMYFUNCTION("IMPORTRANGE(""https://docs.google.com/spreadsheets/d/1-uDff_7J0KD5mKrp0Vvzr7lt3OU09vwQwhkpOPPYv2Y/edit?usp=sharing"",""งบพรบ!EB76"")"),0)</f>
        <v>0</v>
      </c>
      <c r="M311" s="47">
        <f ca="1">IFERROR(__xludf.DUMMYFUNCTION("IMPORTRANGE(""https://docs.google.com/spreadsheets/d/1-uDff_7J0KD5mKrp0Vvzr7lt3OU09vwQwhkpOPPYv2Y/edit?usp=sharing"",""งบพรบ!EE76"")"),0)</f>
        <v>0</v>
      </c>
      <c r="N311" s="47">
        <f ca="1">IFERROR(__xludf.DUMMYFUNCTION("IMPORTRANGE(""https://docs.google.com/spreadsheets/d/1-uDff_7J0KD5mKrp0Vvzr7lt3OU09vwQwhkpOPPYv2Y/edit?usp=sharing"",""งบพรบ!EG76"")"),0)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9"/>
      <c r="E313" s="19"/>
      <c r="F313" s="19"/>
      <c r="G313" s="20"/>
      <c r="H313" s="20"/>
      <c r="I313" s="21"/>
      <c r="J313" s="707"/>
      <c r="K313" s="22"/>
      <c r="L313" s="701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IFERROR(__xludf.DUMMYFUNCTION("IMPORTRANGE(""https://docs.google.com/spreadsheets/d/1eHaY18a8A9IcSdp1K8H6x8fbOy06t2VsZHhMHf-1x7Y/edit?usp=sharing"",""แผน!EF76"")"),30)</f>
        <v>30</v>
      </c>
      <c r="J314" s="167">
        <v>30</v>
      </c>
      <c r="K314" s="47">
        <f ca="1">IF(I314&gt;0,J314*100/I314,0)</f>
        <v>100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9"/>
      <c r="E315" s="19"/>
      <c r="F315" s="19"/>
      <c r="G315" s="20"/>
      <c r="H315" s="708"/>
      <c r="I315" s="707"/>
      <c r="J315" s="707"/>
      <c r="K315" s="706"/>
      <c r="L315" s="701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9"/>
      <c r="E316" s="19"/>
      <c r="F316" s="19"/>
      <c r="G316" s="20"/>
      <c r="H316" s="708"/>
      <c r="I316" s="707"/>
      <c r="J316" s="707"/>
      <c r="K316" s="706"/>
      <c r="L316" s="701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5"/>
      <c r="E317" s="19"/>
      <c r="F317" s="19"/>
      <c r="G317" s="20"/>
      <c r="H317" s="704"/>
      <c r="I317" s="703"/>
      <c r="J317" s="703"/>
      <c r="K317" s="702"/>
      <c r="L317" s="701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700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1</v>
      </c>
      <c r="J319" s="310">
        <f>J330</f>
        <v>1</v>
      </c>
      <c r="K319" s="311">
        <f ca="1">IF(I319&gt;0,J319*100/I319,0)</f>
        <v>100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59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4612000</v>
      </c>
      <c r="M320" s="132">
        <f ca="1">M321+M322</f>
        <v>4612000</v>
      </c>
      <c r="N320" s="132">
        <f ca="1">N321+N322</f>
        <v>15742.1</v>
      </c>
      <c r="O320" s="132">
        <f ca="1">IF(L320&gt;0,N320*100/L320,0)</f>
        <v>0.34132914137033826</v>
      </c>
      <c r="P320" s="132">
        <f ca="1">IF(M320&gt;0,N320*100/M320,0)</f>
        <v>0.34132914137033826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4612000</v>
      </c>
      <c r="M322" s="47">
        <f ca="1">M325+M328</f>
        <v>4612000</v>
      </c>
      <c r="N322" s="47">
        <f ca="1">N325+N328</f>
        <v>15742.1</v>
      </c>
      <c r="O322" s="47">
        <f ca="1">IF(L322&gt;0,N322*100/L322,0)</f>
        <v>0.34132914137033826</v>
      </c>
      <c r="P322" s="47">
        <f ca="1">IF(M322&gt;0,N322*100/M322,0)</f>
        <v>0.34132914137033826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125000</v>
      </c>
      <c r="M323" s="47">
        <f ca="1">M324+M325</f>
        <v>125000</v>
      </c>
      <c r="N323" s="47">
        <f ca="1">N324+N325</f>
        <v>15742.1</v>
      </c>
      <c r="O323" s="47">
        <f ca="1">IF(L323&gt;0,N323*100/L323,0)</f>
        <v>12.593680000000001</v>
      </c>
      <c r="P323" s="47">
        <f ca="1">IF(M323&gt;0,N323*100/M323,0)</f>
        <v>12.593680000000001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IFERROR(__xludf.DUMMYFUNCTION("IMPORTRANGE(""https://docs.google.com/spreadsheets/d/1-uDff_7J0KD5mKrp0Vvzr7lt3OU09vwQwhkpOPPYv2Y/edit?usp=sharing"",""งบพรบ!EI76"")"),125000)</f>
        <v>125000</v>
      </c>
      <c r="M325" s="47">
        <f ca="1">IFERROR(__xludf.DUMMYFUNCTION("IMPORTRANGE(""https://docs.google.com/spreadsheets/d/1-uDff_7J0KD5mKrp0Vvzr7lt3OU09vwQwhkpOPPYv2Y/edit?usp=sharing"",""งบพรบ!EN76"")"),125000)</f>
        <v>125000</v>
      </c>
      <c r="N325" s="47">
        <f ca="1">IFERROR(__xludf.DUMMYFUNCTION("IMPORTRANGE(""https://docs.google.com/spreadsheets/d/1-uDff_7J0KD5mKrp0Vvzr7lt3OU09vwQwhkpOPPYv2Y/edit?usp=sharing"",""งบพรบ!EP76"")"),15742.1)</f>
        <v>15742.1</v>
      </c>
      <c r="O325" s="47">
        <f ca="1">IF(L325&gt;0,N325*100/L325,0)</f>
        <v>12.593680000000001</v>
      </c>
      <c r="P325" s="47">
        <f ca="1">IF(M325&gt;0,N325*100/M325,0)</f>
        <v>12.593680000000001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4487000</v>
      </c>
      <c r="M326" s="47">
        <f ca="1">M327+M328</f>
        <v>4487000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IFERROR(__xludf.DUMMYFUNCTION("IMPORTRANGE(""https://docs.google.com/spreadsheets/d/1-uDff_7J0KD5mKrp0Vvzr7lt3OU09vwQwhkpOPPYv2Y/edit?usp=sharing"",""งบพรบ!EL76"")"),4487000)</f>
        <v>4487000</v>
      </c>
      <c r="M328" s="47">
        <f ca="1">IFERROR(__xludf.DUMMYFUNCTION("IMPORTRANGE(""https://docs.google.com/spreadsheets/d/1-uDff_7J0KD5mKrp0Vvzr7lt3OU09vwQwhkpOPPYv2Y/edit?usp=sharing"",""งบพรบ!EO76"")"),4487000)</f>
        <v>4487000</v>
      </c>
      <c r="N328" s="47">
        <f ca="1">IFERROR(__xludf.DUMMYFUNCTION("IMPORTRANGE(""https://docs.google.com/spreadsheets/d/1-uDff_7J0KD5mKrp0Vvzr7lt3OU09vwQwhkpOPPYv2Y/edit?usp=sharing"",""งบพรบ!EQ76"")"),0)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IFERROR(__xludf.DUMMYFUNCTION("IMPORTRANGE(""https://docs.google.com/spreadsheets/d/1eHaY18a8A9IcSdp1K8H6x8fbOy06t2VsZHhMHf-1x7Y/edit?usp=sharing"",""แผน!EJ76"")"),1)</f>
        <v>1</v>
      </c>
      <c r="J330" s="167">
        <v>1</v>
      </c>
      <c r="K330" s="47">
        <f ca="1">IF(I330&gt;0,J330*100/I330,0)</f>
        <v>100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700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9">
        <f ca="1">I344</f>
        <v>2060</v>
      </c>
      <c r="J332" s="698">
        <f ca="1">J344+J347+J348+J349+J353</f>
        <v>10743</v>
      </c>
      <c r="K332" s="697">
        <f ca="1">IF(I332&gt;0,J332*100/I332,0)</f>
        <v>521.504854368932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9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188000</v>
      </c>
      <c r="M333" s="132">
        <f ca="1">M334+M335</f>
        <v>188000</v>
      </c>
      <c r="N333" s="132">
        <f ca="1">N334+N335</f>
        <v>66914</v>
      </c>
      <c r="O333" s="132">
        <f ca="1">IF(L333&gt;0,N333*100/L333,0)</f>
        <v>35.592553191489358</v>
      </c>
      <c r="P333" s="132">
        <f ca="1">IF(M333&gt;0,N333*100/M333,0)</f>
        <v>35.592553191489358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188000</v>
      </c>
      <c r="M335" s="47">
        <f ca="1">M338+M341</f>
        <v>188000</v>
      </c>
      <c r="N335" s="47">
        <f ca="1">N338+N341</f>
        <v>66914</v>
      </c>
      <c r="O335" s="47">
        <f ca="1">IF(L335&gt;0,N335*100/L335,0)</f>
        <v>35.592553191489358</v>
      </c>
      <c r="P335" s="47">
        <f ca="1">IF(M335&gt;0,N335*100/M335,0)</f>
        <v>35.592553191489358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188000</v>
      </c>
      <c r="M336" s="47">
        <f ca="1">M337+M338</f>
        <v>188000</v>
      </c>
      <c r="N336" s="47">
        <f ca="1">N337+N338</f>
        <v>66914</v>
      </c>
      <c r="O336" s="47">
        <f ca="1">IF(L336&gt;0,N336*100/L336,0)</f>
        <v>35.592553191489358</v>
      </c>
      <c r="P336" s="47">
        <f ca="1">IF(M336&gt;0,N336*100/M336,0)</f>
        <v>35.592553191489358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IFERROR(__xludf.DUMMYFUNCTION("IMPORTRANGE(""https://docs.google.com/spreadsheets/d/1-uDff_7J0KD5mKrp0Vvzr7lt3OU09vwQwhkpOPPYv2Y/edit?usp=sharing"",""งบพรบ!ES76"")"),188000)</f>
        <v>188000</v>
      </c>
      <c r="M338" s="47">
        <f ca="1">IFERROR(__xludf.DUMMYFUNCTION("IMPORTRANGE(""https://docs.google.com/spreadsheets/d/1-uDff_7J0KD5mKrp0Vvzr7lt3OU09vwQwhkpOPPYv2Y/edit?usp=sharing"",""งบพรบ!EX76"")"),188000)</f>
        <v>188000</v>
      </c>
      <c r="N338" s="47">
        <f ca="1">IFERROR(__xludf.DUMMYFUNCTION("IMPORTRANGE(""https://docs.google.com/spreadsheets/d/1-uDff_7J0KD5mKrp0Vvzr7lt3OU09vwQwhkpOPPYv2Y/edit?usp=sharing"",""งบพรบ!EZ76"")"),66914)</f>
        <v>66914</v>
      </c>
      <c r="O338" s="47">
        <f ca="1">IF(L338&gt;0,N338*100/L338,0)</f>
        <v>35.592553191489358</v>
      </c>
      <c r="P338" s="47">
        <f ca="1">IF(M338&gt;0,N338*100/M338,0)</f>
        <v>35.592553191489358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IFERROR(__xludf.DUMMYFUNCTION("IMPORTRANGE(""https://docs.google.com/spreadsheets/d/1-uDff_7J0KD5mKrp0Vvzr7lt3OU09vwQwhkpOPPYv2Y/edit?usp=sharing"",""งบพรบ!EV76"")"),0)</f>
        <v>0</v>
      </c>
      <c r="M341" s="47">
        <f ca="1">IFERROR(__xludf.DUMMYFUNCTION("IMPORTRANGE(""https://docs.google.com/spreadsheets/d/1-uDff_7J0KD5mKrp0Vvzr7lt3OU09vwQwhkpOPPYv2Y/edit?usp=sharing"",""งบพรบ!EY76"")"),0)</f>
        <v>0</v>
      </c>
      <c r="N341" s="47">
        <f ca="1">IFERROR(__xludf.DUMMYFUNCTION("IMPORTRANGE(""https://docs.google.com/spreadsheets/d/1-uDff_7J0KD5mKrp0Vvzr7lt3OU09vwQwhkpOPPYv2Y/edit?usp=sharing"",""งบพรบ!FA76"")"),0)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6"/>
      <c r="B343" s="693"/>
      <c r="C343" s="695"/>
      <c r="D343" s="693"/>
      <c r="E343" s="694" t="s">
        <v>137</v>
      </c>
      <c r="F343" s="693"/>
      <c r="G343" s="692"/>
      <c r="H343" s="691" t="s">
        <v>35</v>
      </c>
      <c r="I343" s="690">
        <v>0</v>
      </c>
      <c r="J343" s="690">
        <f ca="1">J344+J347+J348+J349</f>
        <v>4504</v>
      </c>
      <c r="K343" s="689">
        <v>0</v>
      </c>
      <c r="L343" s="687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IFERROR(__xludf.DUMMYFUNCTION("IMPORTRANGE(""https://docs.google.com/spreadsheets/d/1eHaY18a8A9IcSdp1K8H6x8fbOy06t2VsZHhMHf-1x7Y/edit?usp=sharing"",""แผน!EK76"")"),2060)</f>
        <v>2060</v>
      </c>
      <c r="J344" s="152">
        <f ca="1">IFERROR(__xludf.DUMMYFUNCTION("IMPORTRANGE(""https://docs.google.com/spreadsheets/d/1awYsYK3VOup2i3Pq_Yjnu8DRu_mYwSBnCR2QPthd0rU/edit?usp=sharing"",""ศูนย์ยกเว้นโฉนด!D76"")"),4502)</f>
        <v>4502</v>
      </c>
      <c r="K344" s="47">
        <f ca="1">IF(I344&gt;0,J344*100/I344,0)</f>
        <v>218.54368932038835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IFERROR(__xludf.DUMMYFUNCTION("IMPORTRANGE(""https://docs.google.com/spreadsheets/d/1eHaY18a8A9IcSdp1K8H6x8fbOy06t2VsZHhMHf-1x7Y/edit?usp=sharing"",""แผน!EL76"")"),3)</f>
        <v>3</v>
      </c>
      <c r="J346" s="152">
        <f ca="1">IFERROR(__xludf.DUMMYFUNCTION("IMPORTRANGE(""https://docs.google.com/spreadsheets/d/1awYsYK3VOup2i3Pq_Yjnu8DRu_mYwSBnCR2QPthd0rU/edit?usp=sharing"",""ศูนย์รวม!E76"")"),2)</f>
        <v>2</v>
      </c>
      <c r="K346" s="47">
        <f ca="1">IF(I346&gt;0,J346*100/I346,0)</f>
        <v>66.666666666666671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IFERROR(__xludf.DUMMYFUNCTION("IMPORTRANGE(""https://docs.google.com/spreadsheets/d/1awYsYK3VOup2i3Pq_Yjnu8DRu_mYwSBnCR2QPthd0rU/edit?usp=sharing"",""ศูนย์ยกเว้นโฉนด!F76"")"),0)</f>
        <v>0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IFERROR(__xludf.DUMMYFUNCTION("IMPORTRANGE(""https://docs.google.com/spreadsheets/d/1awYsYK3VOup2i3Pq_Yjnu8DRu_mYwSBnCR2QPthd0rU/edit?usp=sharing"",""ศูนย์ยกเว้นโฉนด!G76"")"),2)</f>
        <v>2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IFERROR(__xludf.DUMMYFUNCTION("IMPORTRANGE(""https://docs.google.com/spreadsheets/d/1awYsYK3VOup2i3Pq_Yjnu8DRu_mYwSBnCR2QPthd0rU/edit?usp=sharing"",""ศูนย์ยกเว้นโฉนด!H76"")"),0)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8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7022</v>
      </c>
      <c r="K351" s="229">
        <v>0</v>
      </c>
      <c r="L351" s="687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IFERROR(__xludf.DUMMYFUNCTION("IMPORTRANGE(""https://docs.google.com/spreadsheets/d/1awYsYK3VOup2i3Pq_Yjnu8DRu_mYwSBnCR2QPthd0rU/edit?usp=sharing"",""โฉนดM3!G76"")"),783)</f>
        <v>783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IFERROR(__xludf.DUMMYFUNCTION("IMPORTRANGE(""https://docs.google.com/spreadsheets/d/1awYsYK3VOup2i3Pq_Yjnu8DRu_mYwSBnCR2QPthd0rU/edit?usp=sharing"",""โฉนดM3!H76"")"),6239)</f>
        <v>6239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9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770060</v>
      </c>
      <c r="M356" s="132">
        <f ca="1">M357+M358</f>
        <v>784460</v>
      </c>
      <c r="N356" s="132">
        <f ca="1">N357+N358</f>
        <v>433929.28</v>
      </c>
      <c r="O356" s="132">
        <f ca="1">IF(L356&gt;0,N356*100/L356,0)</f>
        <v>56.350061034205126</v>
      </c>
      <c r="P356" s="132">
        <f ca="1">IF(M356&gt;0,N356*100/M356,0)</f>
        <v>55.31566682813655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770060</v>
      </c>
      <c r="M358" s="47">
        <f ca="1">M361+M364</f>
        <v>784460</v>
      </c>
      <c r="N358" s="47">
        <f ca="1">N361+N364</f>
        <v>433929.28</v>
      </c>
      <c r="O358" s="47">
        <f ca="1">IF(L358&gt;0,N358*100/L358,0)</f>
        <v>56.350061034205126</v>
      </c>
      <c r="P358" s="47">
        <f ca="1">IF(M358&gt;0,N358*100/M358,0)</f>
        <v>55.31566682813655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770060</v>
      </c>
      <c r="M359" s="47">
        <f ca="1">M360+M361</f>
        <v>784460</v>
      </c>
      <c r="N359" s="47">
        <f ca="1">N360+N361</f>
        <v>433929.28</v>
      </c>
      <c r="O359" s="47">
        <f ca="1">IF(L359&gt;0,N359*100/L359,0)</f>
        <v>56.350061034205126</v>
      </c>
      <c r="P359" s="47">
        <f ca="1">IF(M359&gt;0,N359*100/M359,0)</f>
        <v>55.31566682813655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IFERROR(__xludf.DUMMYFUNCTION("IMPORTRANGE(""https://docs.google.com/spreadsheets/d/1-uDff_7J0KD5mKrp0Vvzr7lt3OU09vwQwhkpOPPYv2Y/edit?usp=sharing"",""งบพรบ!FC76"")"),770060)</f>
        <v>770060</v>
      </c>
      <c r="M361" s="47">
        <f ca="1">IFERROR(__xludf.DUMMYFUNCTION("IMPORTRANGE(""https://docs.google.com/spreadsheets/d/1-uDff_7J0KD5mKrp0Vvzr7lt3OU09vwQwhkpOPPYv2Y/edit?usp=sharing"",""งบพรบ!FH76"")"),784460)</f>
        <v>784460</v>
      </c>
      <c r="N361" s="47">
        <f ca="1">IFERROR(__xludf.DUMMYFUNCTION("IMPORTRANGE(""https://docs.google.com/spreadsheets/d/1-uDff_7J0KD5mKrp0Vvzr7lt3OU09vwQwhkpOPPYv2Y/edit?usp=sharing"",""งบพรบ!FJ76"")"),433929.28)</f>
        <v>433929.28</v>
      </c>
      <c r="O361" s="47">
        <f ca="1">IF(L361&gt;0,N361*100/L361,0)</f>
        <v>56.350061034205126</v>
      </c>
      <c r="P361" s="47">
        <f ca="1">IF(M361&gt;0,N361*100/M361,0)</f>
        <v>55.31566682813655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IFERROR(__xludf.DUMMYFUNCTION("IMPORTRANGE(""https://docs.google.com/spreadsheets/d/1-uDff_7J0KD5mKrp0Vvzr7lt3OU09vwQwhkpOPPYv2Y/edit?usp=sharing"",""งบพรบ!FF76"")"),0)</f>
        <v>0</v>
      </c>
      <c r="M364" s="47">
        <f ca="1">IFERROR(__xludf.DUMMYFUNCTION("IMPORTRANGE(""https://docs.google.com/spreadsheets/d/1-uDff_7J0KD5mKrp0Vvzr7lt3OU09vwQwhkpOPPYv2Y/edit?usp=sharing"",""งบพรบ!FI76"")"),0)</f>
        <v>0</v>
      </c>
      <c r="N364" s="47">
        <f ca="1">IFERROR(__xludf.DUMMYFUNCTION("IMPORTRANGE(""https://docs.google.com/spreadsheets/d/1-uDff_7J0KD5mKrp0Vvzr7lt3OU09vwQwhkpOPPYv2Y/edit?usp=sharing"",""งบพรบ!FK76"")"),0)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8" t="s">
        <v>149</v>
      </c>
      <c r="E365" s="225"/>
      <c r="F365" s="225"/>
      <c r="G365" s="226"/>
      <c r="H365" s="234" t="s">
        <v>35</v>
      </c>
      <c r="I365" s="228">
        <f ca="1">I371</f>
        <v>495</v>
      </c>
      <c r="J365" s="228">
        <f ca="1">J371</f>
        <v>442</v>
      </c>
      <c r="K365" s="229">
        <f ca="1">IF(I365&gt;0,J365*100/I365,0)</f>
        <v>89.292929292929287</v>
      </c>
      <c r="L365" s="687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IFERROR(__xludf.DUMMYFUNCTION("IMPORTRANGE(""https://docs.google.com/spreadsheets/d/1tdoBKaGub7dwA3U6UFTqxio9LNnvDCQjHKmttSEBsFQ/edit?usp=sharing"",""จัดที่ดิน!AB76"")"),192)</f>
        <v>192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IFERROR(__xludf.DUMMYFUNCTION("IMPORTRANGE(""https://docs.google.com/spreadsheets/d/1eHaY18a8A9IcSdp1K8H6x8fbOy06t2VsZHhMHf-1x7Y/edit?usp=sharing"",""แผน!EW76"")"),1900)</f>
        <v>1900</v>
      </c>
      <c r="J368" s="686">
        <f ca="1">IFERROR(__xludf.DUMMYFUNCTION("IMPORTRANGE(""https://docs.google.com/spreadsheets/d/1tdoBKaGub7dwA3U6UFTqxio9LNnvDCQjHKmttSEBsFQ/edit?usp=sharing"",""จัดที่ดิน!AC76"")"),1760.63999999999)</f>
        <v>1760.6399999999901</v>
      </c>
      <c r="K368" s="47">
        <f ca="1">IF(I368&gt;0,J368*100/I368,0)</f>
        <v>92.665263157894216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IFERROR(__xludf.DUMMYFUNCTION("IMPORTRANGE(""https://docs.google.com/spreadsheets/d/1eHaY18a8A9IcSdp1K8H6x8fbOy06t2VsZHhMHf-1x7Y/edit?usp=sharing"",""แผน!EX76"")"),495)</f>
        <v>495</v>
      </c>
      <c r="J369" s="152">
        <f ca="1">IFERROR(__xludf.DUMMYFUNCTION("IMPORTRANGE(""https://docs.google.com/spreadsheets/d/1tdoBKaGub7dwA3U6UFTqxio9LNnvDCQjHKmttSEBsFQ/edit?usp=sharing"",""จัดที่ดิน!AD76"")"),520)</f>
        <v>520</v>
      </c>
      <c r="K369" s="47">
        <f ca="1">IF(I369&gt;0,J369*100/I369,0)</f>
        <v>105.05050505050505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6">
        <f ca="1">IFERROR(__xludf.DUMMYFUNCTION("IMPORTRANGE(""https://docs.google.com/spreadsheets/d/1tdoBKaGub7dwA3U6UFTqxio9LNnvDCQjHKmttSEBsFQ/edit?usp=sharing"",""จัดที่ดิน!AE76"")"),6430.37)</f>
        <v>6430.37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IFERROR(__xludf.DUMMYFUNCTION("IMPORTRANGE(""https://docs.google.com/spreadsheets/d/1eHaY18a8A9IcSdp1K8H6x8fbOy06t2VsZHhMHf-1x7Y/edit?usp=sharing"",""แผน!EY76"")"),495)</f>
        <v>495</v>
      </c>
      <c r="J371" s="152">
        <f ca="1">IFERROR(__xludf.DUMMYFUNCTION("IMPORTRANGE(""https://docs.google.com/spreadsheets/d/1tdoBKaGub7dwA3U6UFTqxio9LNnvDCQjHKmttSEBsFQ/edit?usp=sharing"",""จัดที่ดิน!AF76"")"),442)</f>
        <v>442</v>
      </c>
      <c r="K371" s="47">
        <f ca="1">IF(I371&gt;0,J371*100/I371,0)</f>
        <v>89.292929292929287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6">
        <f ca="1">IFERROR(__xludf.DUMMYFUNCTION("IMPORTRANGE(""https://docs.google.com/spreadsheets/d/1tdoBKaGub7dwA3U6UFTqxio9LNnvDCQjHKmttSEBsFQ/edit?usp=sharing"",""จัดที่ดิน!AG76"")"),5648.69)</f>
        <v>5648.69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5"/>
      <c r="B374" s="684" t="s">
        <v>153</v>
      </c>
      <c r="C374" s="683"/>
      <c r="D374" s="682"/>
      <c r="E374" s="681"/>
      <c r="F374" s="681"/>
      <c r="G374" s="680"/>
      <c r="H374" s="679" t="s">
        <v>46</v>
      </c>
      <c r="I374" s="678">
        <f ca="1">I386+I388</f>
        <v>2000</v>
      </c>
      <c r="J374" s="678">
        <f ca="1">J386+J388</f>
        <v>0</v>
      </c>
      <c r="K374" s="677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43900</v>
      </c>
      <c r="M375" s="132">
        <f ca="1">M376+M377</f>
        <v>43900</v>
      </c>
      <c r="N375" s="132">
        <f ca="1">N376+N377</f>
        <v>255</v>
      </c>
      <c r="O375" s="132">
        <f ca="1">IF(L375&gt;0,N375*100/L375,0)</f>
        <v>0.5808656036446469</v>
      </c>
      <c r="P375" s="132">
        <f ca="1">IF(M375&gt;0,N375*100/M375,0)</f>
        <v>0.5808656036446469</v>
      </c>
      <c r="Q375" s="132">
        <f ca="1">Q376+Q377</f>
        <v>125000</v>
      </c>
      <c r="R375" s="132">
        <f ca="1">R376+R377</f>
        <v>125000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43900</v>
      </c>
      <c r="M377" s="47">
        <f ca="1">M380+M383</f>
        <v>43900</v>
      </c>
      <c r="N377" s="47">
        <f ca="1">N380+N383</f>
        <v>255</v>
      </c>
      <c r="O377" s="47">
        <f ca="1">IF(L377&gt;0,N377*100/L377,0)</f>
        <v>0.5808656036446469</v>
      </c>
      <c r="P377" s="47">
        <f ca="1">IF(M377&gt;0,N377*100/M377,0)</f>
        <v>0.5808656036446469</v>
      </c>
      <c r="Q377" s="47">
        <f ca="1">Q380+Q383</f>
        <v>125000</v>
      </c>
      <c r="R377" s="47">
        <f ca="1">R380+R383</f>
        <v>125000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43900</v>
      </c>
      <c r="M378" s="47">
        <f ca="1">M379+M380</f>
        <v>43900</v>
      </c>
      <c r="N378" s="47">
        <f ca="1">N379+N380</f>
        <v>255</v>
      </c>
      <c r="O378" s="47">
        <f ca="1">IF(L378&gt;0,N378*100/L378,0)</f>
        <v>0.5808656036446469</v>
      </c>
      <c r="P378" s="47">
        <f ca="1">IF(M378&gt;0,N378*100/M378,0)</f>
        <v>0.5808656036446469</v>
      </c>
      <c r="Q378" s="47">
        <f ca="1">Q379+Q380</f>
        <v>125000</v>
      </c>
      <c r="R378" s="47">
        <f ca="1">R379+R380</f>
        <v>125000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IFERROR(__xludf.DUMMYFUNCTION("IMPORTRANGE(""https://docs.google.com/spreadsheets/d/1-uDff_7J0KD5mKrp0Vvzr7lt3OU09vwQwhkpOPPYv2Y/edit?usp=sharing"",""งบพรบ!IE76"")"),43900)</f>
        <v>43900</v>
      </c>
      <c r="M380" s="47">
        <f ca="1">IFERROR(__xludf.DUMMYFUNCTION("IMPORTRANGE(""https://docs.google.com/spreadsheets/d/1-uDff_7J0KD5mKrp0Vvzr7lt3OU09vwQwhkpOPPYv2Y/edit?usp=sharing"",""งบพรบ!IJ76"")"),43900)</f>
        <v>43900</v>
      </c>
      <c r="N380" s="47">
        <f ca="1">IFERROR(__xludf.DUMMYFUNCTION("IMPORTRANGE(""https://docs.google.com/spreadsheets/d/1-uDff_7J0KD5mKrp0Vvzr7lt3OU09vwQwhkpOPPYv2Y/edit?usp=sharing"",""งบพรบ!IL76"")"),255)</f>
        <v>255</v>
      </c>
      <c r="O380" s="47">
        <f ca="1">IF(L380&gt;0,N380*100/L380,0)</f>
        <v>0.5808656036446469</v>
      </c>
      <c r="P380" s="47">
        <f ca="1">IF(M380&gt;0,N380*100/M380,0)</f>
        <v>0.5808656036446469</v>
      </c>
      <c r="Q380" s="47">
        <f ca="1">IFERROR(__xludf.DUMMYFUNCTION("IMPORTRANGE(""https://docs.google.com/spreadsheets/d/1ItG2mGa2ceCfYo0BwxsXqNm01IGEUdYcSSLTEv9YCik/edit?usp=sharing"",""เบิกจ่ายกองทุน!BW76"")"),125000)</f>
        <v>125000</v>
      </c>
      <c r="R380" s="47">
        <f ca="1">IFERROR(__xludf.DUMMYFUNCTION("IMPORTRANGE(""https://docs.google.com/spreadsheets/d/1ItG2mGa2ceCfYo0BwxsXqNm01IGEUdYcSSLTEv9YCik/edit?usp=sharing"",""เบิกจ่ายกองทุน!BX76"")"),125000)</f>
        <v>125000</v>
      </c>
      <c r="S380" s="47">
        <f ca="1">IFERROR(__xludf.DUMMYFUNCTION("IMPORTRANGE(""https://docs.google.com/spreadsheets/d/1ItG2mGa2ceCfYo0BwxsXqNm01IGEUdYcSSLTEv9YCik/edit?usp=sharing"",""เบิกจ่ายกองทุน!BY76"")"),0)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IFERROR(__xludf.DUMMYFUNCTION("IMPORTRANGE(""https://docs.google.com/spreadsheets/d/1-uDff_7J0KD5mKrp0Vvzr7lt3OU09vwQwhkpOPPYv2Y/edit?usp=sharing"",""งบพรบ!IH76"")"),0)</f>
        <v>0</v>
      </c>
      <c r="M383" s="47">
        <f ca="1">IFERROR(__xludf.DUMMYFUNCTION("IMPORTRANGE(""https://docs.google.com/spreadsheets/d/1-uDff_7J0KD5mKrp0Vvzr7lt3OU09vwQwhkpOPPYv2Y/edit?usp=sharing"",""งบพรบ!IK76"")"),0)</f>
        <v>0</v>
      </c>
      <c r="N383" s="47">
        <f ca="1">IFERROR(__xludf.DUMMYFUNCTION("IMPORTRANGE(""https://docs.google.com/spreadsheets/d/1-uDff_7J0KD5mKrp0Vvzr7lt3OU09vwQwhkpOPPYv2Y/edit?usp=sharing"",""งบพรบ!IM76"")"),0)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IFERROR(__xludf.DUMMYFUNCTION("IMPORTRANGE(""https://docs.google.com/spreadsheets/d/1w5rwWK1o49a35cNtocGL0gxDwhFSTZUQu90BiH9_zqM/edit?usp=sharing"",""RTK!H76"")"),0)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IFERROR(__xludf.DUMMYFUNCTION("IMPORTRANGE(""https://docs.google.com/spreadsheets/d/1w5rwWK1o49a35cNtocGL0gxDwhFSTZUQu90BiH9_zqM/edit?usp=sharing"",""RTK!G76"")"),2000)</f>
        <v>2000</v>
      </c>
      <c r="J386" s="152">
        <f ca="1">IFERROR(__xludf.DUMMYFUNCTION("IMPORTRANGE(""https://docs.google.com/spreadsheets/d/1w5rwWK1o49a35cNtocGL0gxDwhFSTZUQu90BiH9_zqM/edit?usp=sharing"",""RTK!I76"")"),0)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326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IFERROR(__xludf.DUMMYFUNCTION("IMPORTRANGE(""https://docs.google.com/spreadsheets/d/1w5rwWK1o49a35cNtocGL0gxDwhFSTZUQu90BiH9_zqM/edit?usp=sharing"",""RTK!L76"")"),0)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326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IFERROR(__xludf.DUMMYFUNCTION("IMPORTRANGE(""https://docs.google.com/spreadsheets/d/1w5rwWK1o49a35cNtocGL0gxDwhFSTZUQu90BiH9_zqM/edit?usp=sharing"",""RTK!K76"")"),0)</f>
        <v>0</v>
      </c>
      <c r="J388" s="330">
        <f ca="1">IFERROR(__xludf.DUMMYFUNCTION("IMPORTRANGE(""https://docs.google.com/spreadsheets/d/1w5rwWK1o49a35cNtocGL0gxDwhFSTZUQu90BiH9_zqM/edit?usp=sharing"",""RTK!M76"")"),0)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89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33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IFERROR(__xludf.DUMMYFUNCTION("IMPORTRANGE(""https://docs.google.com/spreadsheets/d/1ItG2mGa2ceCfYo0BwxsXqNm01IGEUdYcSSLTEv9YCik/edit?usp=sharing"",""เบิกจ่ายกองทุน!CL76"")"),0)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IFERROR(__xludf.DUMMYFUNCTION("IMPORTRANGE(""https://docs.google.com/spreadsheets/d/1ItG2mGa2ceCfYo0BwxsXqNm01IGEUdYcSSLTEv9YCik/edit?usp=sharing"",""เบิกจ่ายกองทุน!CM76"")"),0)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IFERROR(__xludf.DUMMYFUNCTION("IMPORTRANGE(""https://docs.google.com/spreadsheets/d/1ItG2mGa2ceCfYo0BwxsXqNm01IGEUdYcSSLTEv9YCik/edit?usp=sharing"",""เบิกจ่ายกองทุน!CN76"")"),0)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89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89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89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89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89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89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89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89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89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33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40" t="s">
        <v>18</v>
      </c>
      <c r="D413" s="676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170340</v>
      </c>
      <c r="M413" s="132">
        <f ca="1">M414+M415</f>
        <v>170340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18050</v>
      </c>
      <c r="R413" s="132">
        <f ca="1">R414+R415</f>
        <v>18050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170340</v>
      </c>
      <c r="M415" s="47">
        <f ca="1">M418+M421</f>
        <v>170340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18050</v>
      </c>
      <c r="R415" s="47">
        <f ca="1">R418+R421</f>
        <v>18050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170340</v>
      </c>
      <c r="M416" s="47">
        <f ca="1">M417+M418</f>
        <v>170340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18050</v>
      </c>
      <c r="R416" s="47">
        <f ca="1">R417+R418</f>
        <v>18050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IFERROR(__xludf.DUMMYFUNCTION("IMPORTRANGE(""https://docs.google.com/spreadsheets/d/1-uDff_7J0KD5mKrp0Vvzr7lt3OU09vwQwhkpOPPYv2Y/edit?usp=sharing"",""งบพรบ!IO76"")"),170340)</f>
        <v>170340</v>
      </c>
      <c r="M418" s="47">
        <f ca="1">IFERROR(__xludf.DUMMYFUNCTION("IMPORTRANGE(""https://docs.google.com/spreadsheets/d/1-uDff_7J0KD5mKrp0Vvzr7lt3OU09vwQwhkpOPPYv2Y/edit?usp=sharing"",""งบพรบ!IT76"")"),170340)</f>
        <v>170340</v>
      </c>
      <c r="N418" s="47">
        <f ca="1">IFERROR(__xludf.DUMMYFUNCTION("IMPORTRANGE(""https://docs.google.com/spreadsheets/d/1-uDff_7J0KD5mKrp0Vvzr7lt3OU09vwQwhkpOPPYv2Y/edit?usp=sharing"",""งบพรบ!IV76"")"),0)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IFERROR(__xludf.DUMMYFUNCTION("IMPORTRANGE(""https://docs.google.com/spreadsheets/d/1ItG2mGa2ceCfYo0BwxsXqNm01IGEUdYcSSLTEv9YCik/edit?usp=sharing"",""เบิกจ่ายกองทุน!BZ76"")"),18050)</f>
        <v>18050</v>
      </c>
      <c r="R418" s="47">
        <f ca="1">IFERROR(__xludf.DUMMYFUNCTION("IMPORTRANGE(""https://docs.google.com/spreadsheets/d/1ItG2mGa2ceCfYo0BwxsXqNm01IGEUdYcSSLTEv9YCik/edit?usp=sharing"",""เบิกจ่ายกองทุน!CA76"")"),18050)</f>
        <v>18050</v>
      </c>
      <c r="S418" s="47">
        <f ca="1">IFERROR(__xludf.DUMMYFUNCTION("IMPORTRANGE(""https://docs.google.com/spreadsheets/d/1ItG2mGa2ceCfYo0BwxsXqNm01IGEUdYcSSLTEv9YCik/edit?usp=sharing"",""เบิกจ่ายกองทุน!CB76"")"),0)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IFERROR(__xludf.DUMMYFUNCTION("IMPORTRANGE(""https://docs.google.com/spreadsheets/d/1-uDff_7J0KD5mKrp0Vvzr7lt3OU09vwQwhkpOPPYv2Y/edit?usp=sharing"",""งบพรบ!IR76"")"),0)</f>
        <v>0</v>
      </c>
      <c r="M421" s="47">
        <f ca="1">IFERROR(__xludf.DUMMYFUNCTION("IMPORTRANGE(""https://docs.google.com/spreadsheets/d/1-uDff_7J0KD5mKrp0Vvzr7lt3OU09vwQwhkpOPPYv2Y/edit?usp=sharing"",""งบพรบ!IU76"")"),0)</f>
        <v>0</v>
      </c>
      <c r="N421" s="47">
        <f ca="1">IFERROR(__xludf.DUMMYFUNCTION("IMPORTRANGE(""https://docs.google.com/spreadsheets/d/1-uDff_7J0KD5mKrp0Vvzr7lt3OU09vwQwhkpOPPYv2Y/edit?usp=sharing"",""งบพรบ!IW76"")"),0)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40" t="s">
        <v>18</v>
      </c>
      <c r="D422" s="674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669"/>
      <c r="B423" s="464" t="s">
        <v>160</v>
      </c>
      <c r="C423" s="463"/>
      <c r="D423" s="463"/>
      <c r="E423" s="463"/>
      <c r="F423" s="463"/>
      <c r="G423" s="474"/>
      <c r="H423" s="671" t="s">
        <v>46</v>
      </c>
      <c r="I423" s="468">
        <f ca="1">I440</f>
        <v>0</v>
      </c>
      <c r="J423" s="673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IFERROR(__xludf.DUMMYFUNCTION("IMPORTRANGE(""https://docs.google.com/spreadsheets/d/1eHaY18a8A9IcSdp1K8H6x8fbOy06t2VsZHhMHf-1x7Y/edit?usp=sharing"",""แผน!HJ76"")"),0)</f>
        <v>0</v>
      </c>
      <c r="J424" s="670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IFERROR(__xludf.DUMMYFUNCTION("IMPORTRANGE(""https://docs.google.com/spreadsheets/d/1eHaY18a8A9IcSdp1K8H6x8fbOy06t2VsZHhMHf-1x7Y/edit?usp=sharing"",""แผน!HK76"")"),0)</f>
        <v>0</v>
      </c>
      <c r="J425" s="670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IFERROR(__xludf.DUMMYFUNCTION("IMPORTRANGE(""https://docs.google.com/spreadsheets/d/1eHaY18a8A9IcSdp1K8H6x8fbOy06t2VsZHhMHf-1x7Y/edit?usp=sharing"",""แผน!HJ76"")"),0)</f>
        <v>0</v>
      </c>
      <c r="J432" s="670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IFERROR(__xludf.DUMMYFUNCTION("IMPORTRANGE(""https://docs.google.com/spreadsheets/d/1eHaY18a8A9IcSdp1K8H6x8fbOy06t2VsZHhMHf-1x7Y/edit?usp=sharing"",""แผน!HK76"")"),0)</f>
        <v>0</v>
      </c>
      <c r="J433" s="670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IFERROR(__xludf.DUMMYFUNCTION("IMPORTRANGE(""https://docs.google.com/spreadsheets/d/1eHaY18a8A9IcSdp1K8H6x8fbOy06t2VsZHhMHf-1x7Y/edit?usp=sharing"",""แผน!HJ76"")"),0)</f>
        <v>0</v>
      </c>
      <c r="J440" s="670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IFERROR(__xludf.DUMMYFUNCTION("IMPORTRANGE(""https://docs.google.com/spreadsheets/d/1eHaY18a8A9IcSdp1K8H6x8fbOy06t2VsZHhMHf-1x7Y/edit?usp=sharing"",""แผน!HK76"")"),0)</f>
        <v>0</v>
      </c>
      <c r="J441" s="670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70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70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2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669"/>
      <c r="B456" s="464" t="s">
        <v>177</v>
      </c>
      <c r="C456" s="463"/>
      <c r="D456" s="463"/>
      <c r="E456" s="463"/>
      <c r="F456" s="463"/>
      <c r="G456" s="474"/>
      <c r="H456" s="671" t="s">
        <v>46</v>
      </c>
      <c r="I456" s="468">
        <f ca="1">I457</f>
        <v>424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IFERROR(__xludf.DUMMYFUNCTION("IMPORTRANGE(""https://docs.google.com/spreadsheets/d/1eHaY18a8A9IcSdp1K8H6x8fbOy06t2VsZHhMHf-1x7Y/edit?usp=sharing"",""แผน!HL76"")"),424)</f>
        <v>424</v>
      </c>
      <c r="J457" s="670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IFERROR(__xludf.DUMMYFUNCTION("IMPORTRANGE(""https://docs.google.com/spreadsheets/d/1eHaY18a8A9IcSdp1K8H6x8fbOy06t2VsZHhMHf-1x7Y/edit?usp=sharing"",""แผน!HM76"")"),0)</f>
        <v>0</v>
      </c>
      <c r="J458" s="670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669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50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650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28100</v>
      </c>
      <c r="M493" s="132">
        <f ca="1">M494+M495</f>
        <v>28100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648025</v>
      </c>
      <c r="R493" s="132">
        <f ca="1">R494+R495</f>
        <v>648025</v>
      </c>
      <c r="S493" s="132">
        <f ca="1">S494+S495</f>
        <v>245473</v>
      </c>
      <c r="T493" s="132">
        <f ca="1">IF(Q493&gt;0,S493*100/Q493,0)</f>
        <v>37.880174375988581</v>
      </c>
      <c r="U493" s="132">
        <f ca="1">IF(R493&gt;0,S493*100/R493,0)</f>
        <v>37.880174375988581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28100</v>
      </c>
      <c r="M495" s="47">
        <f ca="1">M498+M501</f>
        <v>28100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648025</v>
      </c>
      <c r="R495" s="47">
        <f ca="1">R498+R501</f>
        <v>648025</v>
      </c>
      <c r="S495" s="47">
        <f ca="1">S498+S501</f>
        <v>245473</v>
      </c>
      <c r="T495" s="47">
        <f ca="1">IF(Q495&gt;0,S495*100/Q495,0)</f>
        <v>37.880174375988581</v>
      </c>
      <c r="U495" s="47">
        <f ca="1">IF(R495&gt;0,S495*100/R495,0)</f>
        <v>37.880174375988581</v>
      </c>
    </row>
    <row r="496" spans="1:21" ht="18.75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28100</v>
      </c>
      <c r="M496" s="47">
        <f ca="1">M497+M498</f>
        <v>28100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648025</v>
      </c>
      <c r="R496" s="47">
        <f ca="1">R497+R498</f>
        <v>648025</v>
      </c>
      <c r="S496" s="47">
        <f ca="1">S497+S498</f>
        <v>245473</v>
      </c>
      <c r="T496" s="47">
        <f ca="1">IF(Q496&gt;0,S496*100/Q496,0)</f>
        <v>37.880174375988581</v>
      </c>
      <c r="U496" s="47">
        <f ca="1">IF(R496&gt;0,S496*100/R496,0)</f>
        <v>37.880174375988581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IFERROR(__xludf.DUMMYFUNCTION("IMPORTRANGE(""https://docs.google.com/spreadsheets/d/1-uDff_7J0KD5mKrp0Vvzr7lt3OU09vwQwhkpOPPYv2Y/edit?usp=sharing"",""งบพรบ!HU76"")"),28100)</f>
        <v>28100</v>
      </c>
      <c r="M498" s="47">
        <f ca="1">IFERROR(__xludf.DUMMYFUNCTION("IMPORTRANGE(""https://docs.google.com/spreadsheets/d/1-uDff_7J0KD5mKrp0Vvzr7lt3OU09vwQwhkpOPPYv2Y/edit?usp=sharing"",""งบพรบ!HZ76"")"),28100)</f>
        <v>28100</v>
      </c>
      <c r="N498" s="47">
        <f ca="1">IFERROR(__xludf.DUMMYFUNCTION("IMPORTRANGE(""https://docs.google.com/spreadsheets/d/1-uDff_7J0KD5mKrp0Vvzr7lt3OU09vwQwhkpOPPYv2Y/edit?usp=sharing"",""งบพรบ!IB76"")"),0)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IFERROR(__xludf.DUMMYFUNCTION("IMPORTRANGE(""https://docs.google.com/spreadsheets/d/1ItG2mGa2ceCfYo0BwxsXqNm01IGEUdYcSSLTEv9YCik/edit?usp=sharing"",""เบิกจ่ายกองทุน!AD76"")"),648025)</f>
        <v>648025</v>
      </c>
      <c r="R498" s="47">
        <f ca="1">IFERROR(__xludf.DUMMYFUNCTION("IMPORTRANGE(""https://docs.google.com/spreadsheets/d/1ItG2mGa2ceCfYo0BwxsXqNm01IGEUdYcSSLTEv9YCik/edit?usp=sharing"",""เบิกจ่ายกองทุน!AE76"")"),648025)</f>
        <v>648025</v>
      </c>
      <c r="S498" s="47">
        <f ca="1">IFERROR(__xludf.DUMMYFUNCTION("IMPORTRANGE(""https://docs.google.com/spreadsheets/d/1ItG2mGa2ceCfYo0BwxsXqNm01IGEUdYcSSLTEv9YCik/edit?usp=sharing"",""เบิกจ่ายกองทุน!AF76"")"),245473)</f>
        <v>245473</v>
      </c>
      <c r="T498" s="47">
        <f ca="1">IF(Q498&gt;0,S498*100/Q498,0)</f>
        <v>37.880174375988581</v>
      </c>
      <c r="U498" s="47">
        <f ca="1">IF(R498&gt;0,S498*100/R498,0)</f>
        <v>37.880174375988581</v>
      </c>
    </row>
    <row r="499" spans="1:21" ht="18.75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IFERROR(__xludf.DUMMYFUNCTION("IMPORTRANGE(""https://docs.google.com/spreadsheets/d/1-uDff_7J0KD5mKrp0Vvzr7lt3OU09vwQwhkpOPPYv2Y/edit?usp=sharing"",""งบพรบ!HX76"")"),0)</f>
        <v>0</v>
      </c>
      <c r="M501" s="47">
        <f ca="1">IFERROR(__xludf.DUMMYFUNCTION("IMPORTRANGE(""https://docs.google.com/spreadsheets/d/1-uDff_7J0KD5mKrp0Vvzr7lt3OU09vwQwhkpOPPYv2Y/edit?usp=sharing"",""งบพรบ!IA76"")"),0)</f>
        <v>0</v>
      </c>
      <c r="N501" s="47">
        <f ca="1">IFERROR(__xludf.DUMMYFUNCTION("IMPORTRANGE(""https://docs.google.com/spreadsheets/d/1-uDff_7J0KD5mKrp0Vvzr7lt3OU09vwQwhkpOPPYv2Y/edit?usp=sharing"",""งบพรบ!IC76"")"),0)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IFERROR(__xludf.DUMMYFUNCTION("IMPORTRANGE(""https://docs.google.com/spreadsheets/d/1eHaY18a8A9IcSdp1K8H6x8fbOy06t2VsZHhMHf-1x7Y/edit?usp=sharing"",""แผน!GX76"")"),50)</f>
        <v>50</v>
      </c>
      <c r="J503" s="147">
        <f ca="1">IF(AND(J504=I503,J505=I503,J506=I503,J507=I503),I503,0)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IFERROR(__xludf.DUMMYFUNCTION("IMPORTRANGE(""https://docs.google.com/spreadsheets/d/1eHaY18a8A9IcSdp1K8H6x8fbOy06t2VsZHhMHf-1x7Y/edit?usp=sharing"",""แผน!GY76"")"),0)</f>
        <v>0</v>
      </c>
      <c r="J504" s="167">
        <v>50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IFERROR(__xludf.DUMMYFUNCTION("IMPORTRANGE(""https://docs.google.com/spreadsheets/d/1eHaY18a8A9IcSdp1K8H6x8fbOy06t2VsZHhMHf-1x7Y/edit?usp=sharing"",""แผน!GZ76"")"),0)</f>
        <v>0</v>
      </c>
      <c r="J505" s="167">
        <v>50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IFERROR(__xludf.DUMMYFUNCTION("IMPORTRANGE(""https://docs.google.com/spreadsheets/d/1eHaY18a8A9IcSdp1K8H6x8fbOy06t2VsZHhMHf-1x7Y/edit?usp=sharing"",""แผน!HA76"")"),0)</f>
        <v>0</v>
      </c>
      <c r="J506" s="167">
        <v>50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IFERROR(__xludf.DUMMYFUNCTION("IMPORTRANGE(""https://docs.google.com/spreadsheets/d/1eHaY18a8A9IcSdp1K8H6x8fbOy06t2VsZHhMHf-1x7Y/edit?usp=sharing"",""แผน!HB76"")"),0)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IFERROR(__xludf.DUMMYFUNCTION("IMPORTRANGE(""https://docs.google.com/spreadsheets/d/1eHaY18a8A9IcSdp1K8H6x8fbOy06t2VsZHhMHf-1x7Y/edit?usp=sharing"",""แผน!HC76"")"),0)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828"/>
      <c r="M510" s="827"/>
      <c r="N510" s="827"/>
      <c r="O510" s="827"/>
      <c r="P510" s="827"/>
      <c r="Q510" s="827"/>
      <c r="R510" s="827"/>
      <c r="S510" s="827"/>
      <c r="T510" s="827"/>
      <c r="U510" s="827"/>
    </row>
    <row r="511" spans="1:21" ht="19.5" hidden="1" x14ac:dyDescent="0.3">
      <c r="A511" s="826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25" t="s">
        <v>207</v>
      </c>
      <c r="C512" s="372"/>
      <c r="D512" s="373"/>
      <c r="E512" s="373"/>
      <c r="F512" s="373"/>
      <c r="G512" s="374"/>
      <c r="H512" s="824" t="s">
        <v>61</v>
      </c>
      <c r="I512" s="823">
        <f>I524</f>
        <v>0</v>
      </c>
      <c r="J512" s="823">
        <f>J524</f>
        <v>0</v>
      </c>
      <c r="K512" s="822">
        <f>IF(I512&gt;0,J512*100/I512,0)</f>
        <v>0</v>
      </c>
      <c r="L512" s="591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21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0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IFERROR(__xludf.DUMMYFUNCTION("IMPORTRANGE(""https://docs.google.com/spreadsheets/d/1-uDff_7J0KD5mKrp0Vvzr7lt3OU09vwQwhkpOPPYv2Y/edit?usp=sharing"",""งบพรบ!FM76"")"),0)</f>
        <v>0</v>
      </c>
      <c r="M518" s="47">
        <f ca="1">IFERROR(__xludf.DUMMYFUNCTION("IMPORTRANGE(""https://docs.google.com/spreadsheets/d/1-uDff_7J0KD5mKrp0Vvzr7lt3OU09vwQwhkpOPPYv2Y/edit?usp=sharing"",""งบพรบ!FR76"")"),0)</f>
        <v>0</v>
      </c>
      <c r="N518" s="47">
        <f ca="1">IFERROR(__xludf.DUMMYFUNCTION("IMPORTRANGE(""https://docs.google.com/spreadsheets/d/1-uDff_7J0KD5mKrp0Vvzr7lt3OU09vwQwhkpOPPYv2Y/edit?usp=sharing"",""งบพรบ!FT76"")"),0)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0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IFERROR(__xludf.DUMMYFUNCTION("IMPORTRANGE(""https://docs.google.com/spreadsheets/d/1-uDff_7J0KD5mKrp0Vvzr7lt3OU09vwQwhkpOPPYv2Y/edit?usp=sharing"",""งบพรบ!FP76"")"),0)</f>
        <v>0</v>
      </c>
      <c r="M521" s="47">
        <f ca="1">IFERROR(__xludf.DUMMYFUNCTION("IMPORTRANGE(""https://docs.google.com/spreadsheets/d/1-uDff_7J0KD5mKrp0Vvzr7lt3OU09vwQwhkpOPPYv2Y/edit?usp=sharing"",""งบพรบ!FS76"")"),0)</f>
        <v>0</v>
      </c>
      <c r="N521" s="47">
        <f ca="1">IFERROR(__xludf.DUMMYFUNCTION("IMPORTRANGE(""https://docs.google.com/spreadsheets/d/1-uDff_7J0KD5mKrp0Vvzr7lt3OU09vwQwhkpOPPYv2Y/edit?usp=sharing"",""งบพรบ!FU76"")"),0)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1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19" t="s">
        <v>209</v>
      </c>
      <c r="E524" s="264"/>
      <c r="F524" s="1"/>
      <c r="G524" s="53"/>
      <c r="H524" s="818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4"/>
      <c r="B525" s="613"/>
      <c r="C525" s="613"/>
      <c r="D525" s="612"/>
      <c r="E525" s="612"/>
      <c r="F525" s="612"/>
      <c r="G525" s="611"/>
      <c r="H525" s="610"/>
      <c r="I525" s="609"/>
      <c r="J525" s="609"/>
      <c r="K525" s="608"/>
      <c r="L525" s="589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89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89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89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89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89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89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2">
        <f>I545</f>
        <v>0</v>
      </c>
      <c r="J533" s="592">
        <f>J545</f>
        <v>0</v>
      </c>
      <c r="K533" s="377">
        <f>IF(I533&gt;0,J533*100/I533,0)</f>
        <v>0</v>
      </c>
      <c r="L533" s="591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IFERROR(__xludf.DUMMYFUNCTION("IMPORTRANGE(""https://docs.google.com/spreadsheets/d/1-uDff_7J0KD5mKrp0Vvzr7lt3OU09vwQwhkpOPPYv2Y/edit?usp=sharing"",""งบพรบ!FW76"")"),0)</f>
        <v>0</v>
      </c>
      <c r="M539" s="47">
        <f ca="1">IFERROR(__xludf.DUMMYFUNCTION("IMPORTRANGE(""https://docs.google.com/spreadsheets/d/1-uDff_7J0KD5mKrp0Vvzr7lt3OU09vwQwhkpOPPYv2Y/edit?usp=sharing"",""งบพรบ!GB76"")"),0)</f>
        <v>0</v>
      </c>
      <c r="N539" s="47">
        <f ca="1">IFERROR(__xludf.DUMMYFUNCTION("IMPORTRANGE(""https://docs.google.com/spreadsheets/d/1-uDff_7J0KD5mKrp0Vvzr7lt3OU09vwQwhkpOPPYv2Y/edit?usp=sharing"",""งบพรบ!GD76"")"),0)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IFERROR(__xludf.DUMMYFUNCTION("IMPORTRANGE(""https://docs.google.com/spreadsheets/d/1-uDff_7J0KD5mKrp0Vvzr7lt3OU09vwQwhkpOPPYv2Y/edit?usp=sharing"",""งบพรบ!FZ76"")"),0)</f>
        <v>0</v>
      </c>
      <c r="M542" s="47">
        <f ca="1">IFERROR(__xludf.DUMMYFUNCTION("IMPORTRANGE(""https://docs.google.com/spreadsheets/d/1-uDff_7J0KD5mKrp0Vvzr7lt3OU09vwQwhkpOPPYv2Y/edit?usp=sharing"",""งบพรบ!GC76"")"),0)</f>
        <v>0</v>
      </c>
      <c r="N542" s="47">
        <f ca="1">IFERROR(__xludf.DUMMYFUNCTION("IMPORTRANGE(""https://docs.google.com/spreadsheets/d/1-uDff_7J0KD5mKrp0Vvzr7lt3OU09vwQwhkpOPPYv2Y/edit?usp=sharing"",""งบพรบ!GE76"")"),0)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89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89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89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89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89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89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89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89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89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2">
        <f>I566</f>
        <v>0</v>
      </c>
      <c r="J554" s="592">
        <f>J566</f>
        <v>0</v>
      </c>
      <c r="K554" s="377">
        <f>IF(I554&gt;0,J554*100/I554,0)</f>
        <v>0</v>
      </c>
      <c r="L554" s="591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IFERROR(__xludf.DUMMYFUNCTION("IMPORTRANGE(""https://docs.google.com/spreadsheets/d/1-uDff_7J0KD5mKrp0Vvzr7lt3OU09vwQwhkpOPPYv2Y/edit?usp=sharing"",""งบพรบ!GG76"")"),0)</f>
        <v>0</v>
      </c>
      <c r="M560" s="47">
        <f ca="1">IFERROR(__xludf.DUMMYFUNCTION("IMPORTRANGE(""https://docs.google.com/spreadsheets/d/1-uDff_7J0KD5mKrp0Vvzr7lt3OU09vwQwhkpOPPYv2Y/edit?usp=sharing"",""งบพรบ!GL76"")"),0)</f>
        <v>0</v>
      </c>
      <c r="N560" s="47">
        <f ca="1">IFERROR(__xludf.DUMMYFUNCTION("IMPORTRANGE(""https://docs.google.com/spreadsheets/d/1-uDff_7J0KD5mKrp0Vvzr7lt3OU09vwQwhkpOPPYv2Y/edit?usp=sharing"",""งบพรบ!GN76"")"),0)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IFERROR(__xludf.DUMMYFUNCTION("IMPORTRANGE(""https://docs.google.com/spreadsheets/d/1-uDff_7J0KD5mKrp0Vvzr7lt3OU09vwQwhkpOPPYv2Y/edit?usp=sharing"",""งบพรบ!GJ76"")"),0)</f>
        <v>0</v>
      </c>
      <c r="M563" s="47">
        <f ca="1">IFERROR(__xludf.DUMMYFUNCTION("IMPORTRANGE(""https://docs.google.com/spreadsheets/d/1-uDff_7J0KD5mKrp0Vvzr7lt3OU09vwQwhkpOPPYv2Y/edit?usp=sharing"",""งบพรบ!GM76"")"),0)</f>
        <v>0</v>
      </c>
      <c r="N563" s="47">
        <f ca="1">IFERROR(__xludf.DUMMYFUNCTION("IMPORTRANGE(""https://docs.google.com/spreadsheets/d/1-uDff_7J0KD5mKrp0Vvzr7lt3OU09vwQwhkpOPPYv2Y/edit?usp=sharing"",""งบพรบ!GO76"")"),0)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89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89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89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89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89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89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89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89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89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>I587</f>
        <v>5</v>
      </c>
      <c r="J575" s="385">
        <f>J587</f>
        <v>0</v>
      </c>
      <c r="K575" s="377">
        <f>IF(I575&gt;0,J575*100/I575,0)</f>
        <v>0</v>
      </c>
      <c r="L575" s="591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129" t="s">
        <v>18</v>
      </c>
      <c r="D576" s="59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326820</v>
      </c>
      <c r="M576" s="132">
        <f ca="1">M577+M578</f>
        <v>326820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326820</v>
      </c>
      <c r="M578" s="47">
        <f ca="1">M581+M584</f>
        <v>326820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326820</v>
      </c>
      <c r="M579" s="47">
        <f ca="1">M580+M581</f>
        <v>326820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IFERROR(__xludf.DUMMYFUNCTION("IMPORTRANGE(""https://docs.google.com/spreadsheets/d/1-uDff_7J0KD5mKrp0Vvzr7lt3OU09vwQwhkpOPPYv2Y/edit?usp=sharing"",""งบพรบ!GQ76"")"),326820)</f>
        <v>326820</v>
      </c>
      <c r="M581" s="47">
        <f ca="1">IFERROR(__xludf.DUMMYFUNCTION("IMPORTRANGE(""https://docs.google.com/spreadsheets/d/1-uDff_7J0KD5mKrp0Vvzr7lt3OU09vwQwhkpOPPYv2Y/edit?usp=sharing"",""งบพรบ!GV76"")"),326820)</f>
        <v>326820</v>
      </c>
      <c r="N581" s="47">
        <f ca="1">IFERROR(__xludf.DUMMYFUNCTION("IMPORTRANGE(""https://docs.google.com/spreadsheets/d/1-uDff_7J0KD5mKrp0Vvzr7lt3OU09vwQwhkpOPPYv2Y/edit?usp=sharing"",""งบพรบ!GX76"")"),0)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IFERROR(__xludf.DUMMYFUNCTION("IMPORTRANGE(""https://docs.google.com/spreadsheets/d/1-uDff_7J0KD5mKrp0Vvzr7lt3OU09vwQwhkpOPPYv2Y/edit?usp=sharing"",""งบพรบ!GT76"")"),0)</f>
        <v>0</v>
      </c>
      <c r="M584" s="47">
        <f ca="1">IFERROR(__xludf.DUMMYFUNCTION("IMPORTRANGE(""https://docs.google.com/spreadsheets/d/1-uDff_7J0KD5mKrp0Vvzr7lt3OU09vwQwhkpOPPYv2Y/edit?usp=sharing"",""งบพรบ!GW76"")"),0)</f>
        <v>0</v>
      </c>
      <c r="N584" s="47">
        <f ca="1">IFERROR(__xludf.DUMMYFUNCTION("IMPORTRANGE(""https://docs.google.com/spreadsheets/d/1-uDff_7J0KD5mKrp0Vvzr7lt3OU09vwQwhkpOPPYv2Y/edit?usp=sharing"",""งบพรบ!GY76"")"),0)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v>2</v>
      </c>
      <c r="J586" s="175">
        <v>0</v>
      </c>
      <c r="K586" s="176">
        <f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v>5</v>
      </c>
      <c r="J587" s="167">
        <v>0</v>
      </c>
      <c r="K587" s="47">
        <f>IF(I587&gt;0,J587*100/I587,0)</f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89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89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89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89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89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89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89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8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7" t="s">
        <v>217</v>
      </c>
      <c r="C597" s="183"/>
      <c r="D597" s="125"/>
      <c r="E597" s="28"/>
      <c r="F597" s="28"/>
      <c r="G597" s="28"/>
      <c r="H597" s="586" t="s">
        <v>99</v>
      </c>
      <c r="I597" s="193"/>
      <c r="J597" s="33"/>
      <c r="K597" s="34"/>
      <c r="L597" s="582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5"/>
      <c r="B598" s="584" t="s">
        <v>218</v>
      </c>
      <c r="C598" s="125"/>
      <c r="D598" s="28"/>
      <c r="E598" s="28"/>
      <c r="F598" s="28"/>
      <c r="G598" s="31"/>
      <c r="H598" s="583" t="s">
        <v>35</v>
      </c>
      <c r="I598" s="33"/>
      <c r="J598" s="33"/>
      <c r="K598" s="34"/>
      <c r="L598" s="582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IFERROR(__xludf.DUMMYFUNCTION("IMPORTRANGE(""https://docs.google.com/spreadsheets/d/1-uDff_7J0KD5mKrp0Vvzr7lt3OU09vwQwhkpOPPYv2Y/edit?usp=sharing"",""งบพรบ!HK76"")"),0)</f>
        <v>0</v>
      </c>
      <c r="M604" s="47">
        <f ca="1">IFERROR(__xludf.DUMMYFUNCTION("IMPORTRANGE(""https://docs.google.com/spreadsheets/d/1-uDff_7J0KD5mKrp0Vvzr7lt3OU09vwQwhkpOPPYv2Y/edit?usp=sharing"",""งบพรบ!HP76"")"),0)</f>
        <v>0</v>
      </c>
      <c r="N604" s="47">
        <f ca="1">IFERROR(__xludf.DUMMYFUNCTION("IMPORTRANGE(""https://docs.google.com/spreadsheets/d/1-uDff_7J0KD5mKrp0Vvzr7lt3OU09vwQwhkpOPPYv2Y/edit?usp=sharing"",""งบพรบ!HR76"")"),0)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IFERROR(__xludf.DUMMYFUNCTION("IMPORTRANGE(""https://docs.google.com/spreadsheets/d/1ItG2mGa2ceCfYo0BwxsXqNm01IGEUdYcSSLTEv9YCik/edit?usp=sharing"",""เบิกจ่ายกองทุน!AV76"")"),0)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IFERROR(__xludf.DUMMYFUNCTION("IMPORTRANGE(""https://docs.google.com/spreadsheets/d/1ItG2mGa2ceCfYo0BwxsXqNm01IGEUdYcSSLTEv9YCik/edit?usp=sharing"",""เบิกจ่ายกองทุน!AW76"")"),0)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IFERROR(__xludf.DUMMYFUNCTION("IMPORTRANGE(""https://docs.google.com/spreadsheets/d/1ItG2mGa2ceCfYo0BwxsXqNm01IGEUdYcSSLTEv9YCik/edit?usp=sharing"",""เบิกจ่ายกองทุน!AX76"")"),0)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IFERROR(__xludf.DUMMYFUNCTION("IMPORTRANGE(""https://docs.google.com/spreadsheets/d/1-uDff_7J0KD5mKrp0Vvzr7lt3OU09vwQwhkpOPPYv2Y/edit?usp=sharing"",""งบพรบ!HN76"")"),0)</f>
        <v>0</v>
      </c>
      <c r="M607" s="47">
        <f ca="1">IFERROR(__xludf.DUMMYFUNCTION("IMPORTRANGE(""https://docs.google.com/spreadsheets/d/1-uDff_7J0KD5mKrp0Vvzr7lt3OU09vwQwhkpOPPYv2Y/edit?usp=sharing"",""งบพรบ!HQ76"")"),0)</f>
        <v>0</v>
      </c>
      <c r="N607" s="47">
        <f ca="1">IFERROR(__xludf.DUMMYFUNCTION("IMPORTRANGE(""https://docs.google.com/spreadsheets/d/1-uDff_7J0KD5mKrp0Vvzr7lt3OU09vwQwhkpOPPYv2Y/edit?usp=sharing"",""งบพรบ!HS76"")"),0)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IFERROR(__xludf.DUMMYFUNCTION("IMPORTRANGE(""https://docs.google.com/spreadsheets/d/1ItG2mGa2ceCfYo0BwxsXqNm01IGEUdYcSSLTEv9YCik/edit?usp=sharing"",""เบิกจ่ายกองทุน!AY76"")"),0)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IFERROR(__xludf.DUMMYFUNCTION("IMPORTRANGE(""https://docs.google.com/spreadsheets/d/1ItG2mGa2ceCfYo0BwxsXqNm01IGEUdYcSSLTEv9YCik/edit?usp=sharing"",""เบิกจ่ายกองทุน!AZ76"")"),0)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IFERROR(__xludf.DUMMYFUNCTION("IMPORTRANGE(""https://docs.google.com/spreadsheets/d/1ItG2mGa2ceCfYo0BwxsXqNm01IGEUdYcSSLTEv9YCik/edit?usp=sharing"",""เบิกจ่ายกองทุน!BA76"")"),0)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1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0"/>
      <c r="B612" s="579"/>
      <c r="C612" s="579"/>
      <c r="D612" s="579"/>
      <c r="E612" s="578" t="s">
        <v>222</v>
      </c>
      <c r="F612" s="577"/>
      <c r="G612" s="576"/>
      <c r="H612" s="575" t="s">
        <v>35</v>
      </c>
      <c r="I612" s="574"/>
      <c r="J612" s="574"/>
      <c r="K612" s="573"/>
      <c r="L612" s="572"/>
      <c r="M612" s="571"/>
      <c r="N612" s="571"/>
      <c r="O612" s="571"/>
      <c r="P612" s="571"/>
      <c r="Q612" s="571"/>
      <c r="R612" s="571"/>
      <c r="S612" s="571"/>
      <c r="T612" s="571"/>
      <c r="U612" s="571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0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56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463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188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7300</v>
      </c>
      <c r="R616" s="132">
        <f ca="1">R617+R618</f>
        <v>7300</v>
      </c>
      <c r="S616" s="132">
        <f ca="1">S617+S618</f>
        <v>0</v>
      </c>
      <c r="T616" s="132">
        <f ca="1">IF(Q616&gt;0,S616*100/Q616,0)</f>
        <v>0</v>
      </c>
      <c r="U616" s="132">
        <f ca="1">IF(R616&gt;0,S616*100/R616,0)</f>
        <v>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7300</v>
      </c>
      <c r="R618" s="47">
        <f ca="1">R621+R624</f>
        <v>7300</v>
      </c>
      <c r="S618" s="47">
        <f ca="1">S621+S624</f>
        <v>0</v>
      </c>
      <c r="T618" s="47">
        <f ca="1">IF(Q618&gt;0,S618*100/Q618,0)</f>
        <v>0</v>
      </c>
      <c r="U618" s="47">
        <f ca="1">IF(R618&gt;0,S618*100/R618,0)</f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7300</v>
      </c>
      <c r="R619" s="47">
        <f ca="1">R620+R621</f>
        <v>7300</v>
      </c>
      <c r="S619" s="47">
        <f ca="1">S620+S621</f>
        <v>0</v>
      </c>
      <c r="T619" s="47">
        <f ca="1">IF(Q619&gt;0,S619*100/Q619,0)</f>
        <v>0</v>
      </c>
      <c r="U619" s="47">
        <f ca="1">IF(R619&gt;0,S619*100/R619,0)</f>
        <v>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IFERROR(__xludf.DUMMYFUNCTION("IMPORTRANGE(""https://docs.google.com/spreadsheets/d/1ItG2mGa2ceCfYo0BwxsXqNm01IGEUdYcSSLTEv9YCik/edit?usp=sharing"",""เบิกจ่ายกองทุน!F76"")"),7300)</f>
        <v>7300</v>
      </c>
      <c r="R621" s="47">
        <f ca="1">IFERROR(__xludf.DUMMYFUNCTION("IMPORTRANGE(""https://docs.google.com/spreadsheets/d/1ItG2mGa2ceCfYo0BwxsXqNm01IGEUdYcSSLTEv9YCik/edit?usp=sharing"",""เบิกจ่ายกองทุน!G76"")"),7300)</f>
        <v>7300</v>
      </c>
      <c r="S621" s="47">
        <f ca="1">IFERROR(__xludf.DUMMYFUNCTION("IMPORTRANGE(""https://docs.google.com/spreadsheets/d/1ItG2mGa2ceCfYo0BwxsXqNm01IGEUdYcSSLTEv9YCik/edit?usp=sharing"",""เบิกจ่ายกองทุน!H76"")"),0)</f>
        <v>0</v>
      </c>
      <c r="T621" s="47">
        <f ca="1">IF(Q621&gt;0,S621*100/Q621,0)</f>
        <v>0</v>
      </c>
      <c r="U621" s="47">
        <f ca="1">IF(R621&gt;0,S621*100/R621,0)</f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IFERROR(__xludf.DUMMYFUNCTION("IMPORTRANGE(""https://docs.google.com/spreadsheets/d/1eHaY18a8A9IcSdp1K8H6x8fbOy06t2VsZHhMHf-1x7Y/edit?usp=sharing"",""แผน!ID76"")"),50)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IFERROR(__xludf.DUMMYFUNCTION("IMPORTRANGE(""https://docs.google.com/spreadsheets/d/1eHaY18a8A9IcSdp1K8H6x8fbOy06t2VsZHhMHf-1x7Y/edit?usp=sharing"",""แผน!IC76"")"),1)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IFERROR(__xludf.DUMMYFUNCTION("IMPORTRANGE(""https://docs.google.com/spreadsheets/d/1eHaY18a8A9IcSdp1K8H6x8fbOy06t2VsZHhMHf-1x7Y/edit?usp=sharing"",""แผน!IC76"")"),1)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IFERROR(__xludf.DUMMYFUNCTION("IMPORTRANGE(""https://docs.google.com/spreadsheets/d/1eHaY18a8A9IcSdp1K8H6x8fbOy06t2VsZHhMHf-1x7Y/edit?usp=sharing"",""แผน!IE76"")"),0)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63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IFERROR(__xludf.DUMMYFUNCTION("IMPORTRANGE(""https://docs.google.com/spreadsheets/d/1ItG2mGa2ceCfYo0BwxsXqNm01IGEUdYcSSLTEv9YCik/edit?usp=sharing"",""เบิกจ่ายกองทุน!I76"")"),0)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IFERROR(__xludf.DUMMYFUNCTION("IMPORTRANGE(""https://docs.google.com/spreadsheets/d/1ItG2mGa2ceCfYo0BwxsXqNm01IGEUdYcSSLTEv9YCik/edit?usp=sharing"",""เบิกจ่ายกองทุน!J76"")"),0)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IFERROR(__xludf.DUMMYFUNCTION("IMPORTRANGE(""https://docs.google.com/spreadsheets/d/1ItG2mGa2ceCfYo0BwxsXqNm01IGEUdYcSSLTEv9YCik/edit?usp=sharing"",""เบิกจ่ายกองทุน!K76"")"),0)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IFERROR(__xludf.DUMMYFUNCTION("IMPORTRANGE(""https://docs.google.com/spreadsheets/d/1eHaY18a8A9IcSdp1K8H6x8fbOy06t2VsZHhMHf-1x7Y/edit?usp=sharing"",""แผน!IF76"")"),0)</f>
        <v>0</v>
      </c>
      <c r="J652" s="152">
        <f ca="1">IFERROR(__xludf.DUMMYFUNCTION("IMPORTRANGE(""https://docs.google.com/spreadsheets/d/1tdoBKaGub7dwA3U6UFTqxio9LNnvDCQjHKmttSEBsFQ/edit?usp=sharing"",""จัดที่ดิน!AU76"")"),0)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IFERROR(__xludf.DUMMYFUNCTION("IMPORTRANGE(""https://docs.google.com/spreadsheets/d/1eHaY18a8A9IcSdp1K8H6x8fbOy06t2VsZHhMHf-1x7Y/edit?usp=sharing"",""แผน!IG76"")"),0)</f>
        <v>0</v>
      </c>
      <c r="J653" s="152">
        <f ca="1">IFERROR(__xludf.DUMMYFUNCTION("IMPORTRANGE(""https://docs.google.com/spreadsheets/d/1tdoBKaGub7dwA3U6UFTqxio9LNnvDCQjHKmttSEBsFQ/edit?usp=sharing"",""จัดที่ดิน!AW76"")"),0)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IFERROR(__xludf.DUMMYFUNCTION("IMPORTRANGE(""https://docs.google.com/spreadsheets/d/1eHaY18a8A9IcSdp1K8H6x8fbOy06t2VsZHhMHf-1x7Y/edit?usp=sharing"",""แผน!IH76"")"),0)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IFERROR(__xludf.DUMMYFUNCTION("IMPORTRANGE(""https://docs.google.com/spreadsheets/d/1eHaY18a8A9IcSdp1K8H6x8fbOy06t2VsZHhMHf-1x7Y/edit?usp=sharing"",""แผน!II76"")"),0)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IFERROR(__xludf.DUMMYFUNCTION("IMPORTRANGE(""https://docs.google.com/spreadsheets/d/1eHaY18a8A9IcSdp1K8H6x8fbOy06t2VsZHhMHf-1x7Y/edit?usp=sharing"",""แผน!IJ76"")"),0)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IFERROR(__xludf.DUMMYFUNCTION("IMPORTRANGE(""https://docs.google.com/spreadsheets/d/1eHaY18a8A9IcSdp1K8H6x8fbOy06t2VsZHhMHf-1x7Y/edit?usp=sharing"",""แผน!IK76"")"),0)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IFERROR(__xludf.DUMMYFUNCTION("IMPORTRANGE(""https://docs.google.com/spreadsheets/d/1tdoBKaGub7dwA3U6UFTqxio9LNnvDCQjHKmttSEBsFQ/edit?usp=sharing"",""จัดที่ดิน!AY76"")"),0)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IFERROR(__xludf.DUMMYFUNCTION("IMPORTRANGE(""https://docs.google.com/spreadsheets/d/1tdoBKaGub7dwA3U6UFTqxio9LNnvDCQjHKmttSEBsFQ/edit?usp=sharing"",""จัดที่ดิน!AZ76"")"),0)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IFERROR(__xludf.DUMMYFUNCTION("IMPORTRANGE(""https://docs.google.com/spreadsheets/d/1eHaY18a8A9IcSdp1K8H6x8fbOy06t2VsZHhMHf-1x7Y/edit?usp=sharing"",""แผน!IL76"")"),0)</f>
        <v>0</v>
      </c>
      <c r="J673" s="152">
        <f ca="1">IFERROR(__xludf.DUMMYFUNCTION("IMPORTRANGE(""https://docs.google.com/spreadsheets/d/1tdoBKaGub7dwA3U6UFTqxio9LNnvDCQjHKmttSEBsFQ/edit?usp=sharing"",""จัดที่ดิน!BA76"")"),0)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IFERROR(__xludf.DUMMYFUNCTION("IMPORTRANGE(""https://docs.google.com/spreadsheets/d/1eHaY18a8A9IcSdp1K8H6x8fbOy06t2VsZHhMHf-1x7Y/edit?usp=sharing"",""แผน!IM76"")"),0)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IFERROR(__xludf.DUMMYFUNCTION("IMPORTRANGE(""https://docs.google.com/spreadsheets/d/1eHaY18a8A9IcSdp1K8H6x8fbOy06t2VsZHhMHf-1x7Y/edit?usp=sharing"",""แผน!IN76"")"),0)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IFERROR(__xludf.DUMMYFUNCTION("IMPORTRANGE(""https://docs.google.com/spreadsheets/d/1eHaY18a8A9IcSdp1K8H6x8fbOy06t2VsZHhMHf-1x7Y/edit?usp=sharing"",""แผน!IO76"")"),0)</f>
        <v>0</v>
      </c>
      <c r="J676" s="152">
        <f ca="1">IFERROR(__xludf.DUMMYFUNCTION("IMPORTRANGE(""https://docs.google.com/spreadsheets/d/1tdoBKaGub7dwA3U6UFTqxio9LNnvDCQjHKmttSEBsFQ/edit?usp=sharing"",""จัดที่ดิน!BF76"")"),0)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IFERROR(__xludf.DUMMYFUNCTION("IMPORTRANGE(""https://docs.google.com/spreadsheets/d/1tdoBKaGub7dwA3U6UFTqxio9LNnvDCQjHKmttSEBsFQ/edit?usp=sharing"",""จัดที่ดิน!BG76"")"),0)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IFERROR(__xludf.DUMMYFUNCTION("IMPORTRANGE(""https://docs.google.com/spreadsheets/d/1eHaY18a8A9IcSdp1K8H6x8fbOy06t2VsZHhMHf-1x7Y/edit?usp=sharing"",""แผน!IP76"")"),0)</f>
        <v>0</v>
      </c>
      <c r="J678" s="152">
        <f ca="1">IFERROR(__xludf.DUMMYFUNCTION("IMPORTRANGE(""https://docs.google.com/spreadsheets/d/1tdoBKaGub7dwA3U6UFTqxio9LNnvDCQjHKmttSEBsFQ/edit?usp=sharing"",""จัดที่ดิน!BH76"")"),0)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IFERROR(__xludf.DUMMYFUNCTION("IMPORTRANGE(""https://docs.google.com/spreadsheets/d/1eHaY18a8A9IcSdp1K8H6x8fbOy06t2VsZHhMHf-1x7Y/edit?usp=sharing"",""แผน!IQ76"")"),0)</f>
        <v>0</v>
      </c>
      <c r="J679" s="152">
        <f ca="1">IFERROR(__xludf.DUMMYFUNCTION("IMPORTRANGE(""https://docs.google.com/spreadsheets/d/1tdoBKaGub7dwA3U6UFTqxio9LNnvDCQjHKmttSEBsFQ/edit?usp=sharing"",""จัดที่ดิน!BK76"")"),0)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IFERROR(__xludf.DUMMYFUNCTION("IMPORTRANGE(""https://docs.google.com/spreadsheets/d/1tdoBKaGub7dwA3U6UFTqxio9LNnvDCQjHKmttSEBsFQ/edit?usp=sharing"",""จัดที่ดิน!BL76"")"),0)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IFERROR(__xludf.DUMMYFUNCTION("IMPORTRANGE(""https://docs.google.com/spreadsheets/d/1eHaY18a8A9IcSdp1K8H6x8fbOy06t2VsZHhMHf-1x7Y/edit?usp=sharing"",""แผน!IR76"")"),0)</f>
        <v>0</v>
      </c>
      <c r="J681" s="152">
        <f ca="1">IFERROR(__xludf.DUMMYFUNCTION("IMPORTRANGE(""https://docs.google.com/spreadsheets/d/1tdoBKaGub7dwA3U6UFTqxio9LNnvDCQjHKmttSEBsFQ/edit?usp=sharing"",""จัดที่ดิน!BM76"")"),0)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IFERROR(__xludf.DUMMYFUNCTION("IMPORTRANGE(""https://docs.google.com/spreadsheets/d/1eHaY18a8A9IcSdp1K8H6x8fbOy06t2VsZHhMHf-1x7Y/edit?usp=sharing"",""แผน!IS76"")"),0)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56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65890</v>
      </c>
      <c r="R690" s="132">
        <f ca="1">R691+R692</f>
        <v>65890</v>
      </c>
      <c r="S690" s="132">
        <f ca="1">S691+S692</f>
        <v>5718.09</v>
      </c>
      <c r="T690" s="132">
        <f ca="1">IF(Q690&gt;0,S690*100/Q690,0)</f>
        <v>8.6782364546972222</v>
      </c>
      <c r="U690" s="132">
        <f ca="1">IF(R690&gt;0,S690*100/R690,0)</f>
        <v>8.6782364546972222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65890</v>
      </c>
      <c r="R692" s="47">
        <f ca="1">R695+R698</f>
        <v>65890</v>
      </c>
      <c r="S692" s="47">
        <f ca="1">S695+S698</f>
        <v>5718.09</v>
      </c>
      <c r="T692" s="47">
        <f ca="1">IF(Q692&gt;0,S692*100/Q692,0)</f>
        <v>8.6782364546972222</v>
      </c>
      <c r="U692" s="47">
        <f ca="1">IF(R692&gt;0,S692*100/R692,0)</f>
        <v>8.6782364546972222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65890</v>
      </c>
      <c r="R693" s="47">
        <f ca="1">R694+R695</f>
        <v>65890</v>
      </c>
      <c r="S693" s="47">
        <f ca="1">S694+S695</f>
        <v>5718.09</v>
      </c>
      <c r="T693" s="47">
        <f ca="1">IF(Q693&gt;0,S693*100/Q693,0)</f>
        <v>8.6782364546972222</v>
      </c>
      <c r="U693" s="47">
        <f ca="1">IF(R693&gt;0,S693*100/R693,0)</f>
        <v>8.6782364546972222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IFERROR(__xludf.DUMMYFUNCTION("IMPORTRANGE(""https://docs.google.com/spreadsheets/d/1ItG2mGa2ceCfYo0BwxsXqNm01IGEUdYcSSLTEv9YCik/edit?usp=sharing"",""เบิกจ่ายกองทุน!L76"")"),65890)</f>
        <v>65890</v>
      </c>
      <c r="R695" s="47">
        <f ca="1">IFERROR(__xludf.DUMMYFUNCTION("IMPORTRANGE(""https://docs.google.com/spreadsheets/d/1ItG2mGa2ceCfYo0BwxsXqNm01IGEUdYcSSLTEv9YCik/edit?usp=sharing"",""เบิกจ่ายกองทุน!M76"")"),65890)</f>
        <v>65890</v>
      </c>
      <c r="S695" s="47">
        <f ca="1">IFERROR(__xludf.DUMMYFUNCTION("IMPORTRANGE(""https://docs.google.com/spreadsheets/d/1ItG2mGa2ceCfYo0BwxsXqNm01IGEUdYcSSLTEv9YCik/edit?usp=sharing"",""เบิกจ่ายกองทุน!N76"")"),5718.09)</f>
        <v>5718.09</v>
      </c>
      <c r="T695" s="47">
        <f ca="1">IF(Q695&gt;0,S695*100/Q695,0)</f>
        <v>8.6782364546972222</v>
      </c>
      <c r="U695" s="47">
        <f ca="1">IF(R695&gt;0,S695*100/R695,0)</f>
        <v>8.6782364546972222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IFERROR(__xludf.DUMMYFUNCTION("IMPORTRANGE(""https://docs.google.com/spreadsheets/d/1eHaY18a8A9IcSdp1K8H6x8fbOy06t2VsZHhMHf-1x7Y/edit?usp=sharing"",""แผน!LC76"")"),0)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IFERROR(__xludf.DUMMYFUNCTION("IMPORTRANGE(""https://docs.google.com/spreadsheets/d/1eHaY18a8A9IcSdp1K8H6x8fbOy06t2VsZHhMHf-1x7Y/edit?usp=sharing"",""แผน!LJ76"")"),0)</f>
        <v>0</v>
      </c>
      <c r="J703" s="152">
        <f ca="1">IFERROR(__xludf.DUMMYFUNCTION("IMPORTRANGE(""https://docs.google.com/spreadsheets/d/1tdoBKaGub7dwA3U6UFTqxio9LNnvDCQjHKmttSEBsFQ/edit?usp=sharing"",""จัดที่ดิน!AP76"")"),0)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IFERROR(__xludf.DUMMYFUNCTION("IMPORTRANGE(""https://docs.google.com/spreadsheets/d/1tdoBKaGub7dwA3U6UFTqxio9LNnvDCQjHKmttSEBsFQ/edit?usp=sharing"",""จัดที่ดิน!AQ76"")"),0)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IFERROR(__xludf.DUMMYFUNCTION("IMPORTRANGE(""https://docs.google.com/spreadsheets/d/1eHaY18a8A9IcSdp1K8H6x8fbOy06t2VsZHhMHf-1x7Y/edit?usp=sharing"",""แผน!LK76"")"),5)</f>
        <v>5</v>
      </c>
      <c r="J705" s="152">
        <f ca="1">IFERROR(__xludf.DUMMYFUNCTION("IMPORTRANGE(""https://docs.google.com/spreadsheets/d/1tdoBKaGub7dwA3U6UFTqxio9LNnvDCQjHKmttSEBsFQ/edit?usp=sharing"",""จัดที่ดิน!AR76"")"),0)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IFERROR(__xludf.DUMMYFUNCTION("IMPORTRANGE(""https://docs.google.com/spreadsheets/d/1tdoBKaGub7dwA3U6UFTqxio9LNnvDCQjHKmttSEBsFQ/edit?usp=sharing"",""จัดที่ดิน!AS76"")"),0)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IFERROR(__xludf.DUMMYFUNCTION("IMPORTRANGE(""https://docs.google.com/spreadsheets/d/1eHaY18a8A9IcSdp1K8H6x8fbOy06t2VsZHhMHf-1x7Y/edit?usp=sharing"",""แผน!LJ76"")"),0)</f>
        <v>0</v>
      </c>
      <c r="J707" s="152">
        <f ca="1">IFERROR(__xludf.DUMMYFUNCTION("IMPORTRANGE(""https://docs.google.com/spreadsheets/d/1tdoBKaGub7dwA3U6UFTqxio9LNnvDCQjHKmttSEBsFQ/edit?usp=sharing"",""จัดที่ดิน!BN76"")"),0)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IFERROR(__xludf.DUMMYFUNCTION("IMPORTRANGE(""https://docs.google.com/spreadsheets/d/1tdoBKaGub7dwA3U6UFTqxio9LNnvDCQjHKmttSEBsFQ/edit?usp=sharing"",""จัดที่ดิน!BO76"")"),0)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IFERROR(__xludf.DUMMYFUNCTION("IMPORTRANGE(""https://docs.google.com/spreadsheets/d/1eHaY18a8A9IcSdp1K8H6x8fbOy06t2VsZHhMHf-1x7Y/edit?usp=sharing"",""แผน!LK76"")"),5)</f>
        <v>5</v>
      </c>
      <c r="J709" s="152">
        <f ca="1">IFERROR(__xludf.DUMMYFUNCTION("IMPORTRANGE(""https://docs.google.com/spreadsheets/d/1tdoBKaGub7dwA3U6UFTqxio9LNnvDCQjHKmttSEBsFQ/edit?usp=sharing"",""จัดที่ดิน!BP76"")"),6)</f>
        <v>6</v>
      </c>
      <c r="K709" s="47">
        <f ca="1">IF(I709&gt;0,J709*100/I709,0)</f>
        <v>120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IFERROR(__xludf.DUMMYFUNCTION("IMPORTRANGE(""https://docs.google.com/spreadsheets/d/1tdoBKaGub7dwA3U6UFTqxio9LNnvDCQjHKmttSEBsFQ/edit?usp=sharing"",""จัดที่ดิน!BQ76"")"),0)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56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56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56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IFERROR(__xludf.DUMMYFUNCTION("IMPORTRANGE(""https://docs.google.com/spreadsheets/d/1eHaY18a8A9IcSdp1K8H6x8fbOy06t2VsZHhMHf-1x7Y/edit?usp=sharing"",""แผน!GA76"")"),21)</f>
        <v>21</v>
      </c>
      <c r="J726" s="483">
        <f>J742+J746+J749</f>
        <v>9</v>
      </c>
      <c r="K726" s="484">
        <f ca="1">IF(I726&gt;0,J726*100/I726,0)</f>
        <v>42.857142857142854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IFERROR(__xludf.DUMMYFUNCTION("IMPORTRANGE(""https://docs.google.com/spreadsheets/d/1eHaY18a8A9IcSdp1K8H6x8fbOy06t2VsZHhMHf-1x7Y/edit?usp=sharing"",""แผน!FZ76"")"),200)</f>
        <v>200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188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175994</v>
      </c>
      <c r="R728" s="132">
        <f ca="1">R729+R730</f>
        <v>200494</v>
      </c>
      <c r="S728" s="132">
        <f ca="1">S729+S730</f>
        <v>61610</v>
      </c>
      <c r="T728" s="132">
        <f ca="1">IF(Q728&gt;0,S728*100/Q728,0)</f>
        <v>35.006875234382989</v>
      </c>
      <c r="U728" s="132">
        <f ca="1">IF(R728&gt;0,S728*100/R728,0)</f>
        <v>30.729099125160854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175994</v>
      </c>
      <c r="R730" s="47">
        <f ca="1">R733+R736</f>
        <v>200494</v>
      </c>
      <c r="S730" s="47">
        <f ca="1">S733+S736</f>
        <v>61610</v>
      </c>
      <c r="T730" s="47">
        <f ca="1">IF(Q730&gt;0,S730*100/Q730,0)</f>
        <v>35.006875234382989</v>
      </c>
      <c r="U730" s="47">
        <f ca="1">IF(R730&gt;0,S730*100/R730,0)</f>
        <v>30.729099125160854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175994</v>
      </c>
      <c r="R731" s="47">
        <f ca="1">R732+R733</f>
        <v>200494</v>
      </c>
      <c r="S731" s="47">
        <f ca="1">S732+S733</f>
        <v>61610</v>
      </c>
      <c r="T731" s="47">
        <f ca="1">IF(Q731&gt;0,S731*100/Q731,0)</f>
        <v>35.006875234382989</v>
      </c>
      <c r="U731" s="47">
        <f ca="1">IF(R731&gt;0,S731*100/R731,0)</f>
        <v>30.729099125160854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IFERROR(__xludf.DUMMYFUNCTION("IMPORTRANGE(""https://docs.google.com/spreadsheets/d/1ItG2mGa2ceCfYo0BwxsXqNm01IGEUdYcSSLTEv9YCik/edit?usp=sharing"",""เบิกจ่ายกองทุน!O76"")"),175994)</f>
        <v>175994</v>
      </c>
      <c r="R733" s="47">
        <f ca="1">IFERROR(__xludf.DUMMYFUNCTION("IMPORTRANGE(""https://docs.google.com/spreadsheets/d/1ItG2mGa2ceCfYo0BwxsXqNm01IGEUdYcSSLTEv9YCik/edit?usp=sharing"",""เบิกจ่ายกองทุน!P76"")"),200494)</f>
        <v>200494</v>
      </c>
      <c r="S733" s="47">
        <f ca="1">IFERROR(__xludf.DUMMYFUNCTION("IMPORTRANGE(""https://docs.google.com/spreadsheets/d/1ItG2mGa2ceCfYo0BwxsXqNm01IGEUdYcSSLTEv9YCik/edit?usp=sharing"",""เบิกจ่ายกองทุน!Q76"")"),61610)</f>
        <v>61610</v>
      </c>
      <c r="T733" s="47">
        <f ca="1">IF(Q733&gt;0,S733*100/Q733,0)</f>
        <v>35.006875234382989</v>
      </c>
      <c r="U733" s="47">
        <f ca="1">IF(R733&gt;0,S733*100/R733,0)</f>
        <v>30.729099125160854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IFERROR(__xludf.DUMMYFUNCTION("IMPORTRANGE(""https://docs.google.com/spreadsheets/d/1eHaY18a8A9IcSdp1K8H6x8fbOy06t2VsZHhMHf-1x7Y/edit?usp=sharing"",""แผน!GB76"")"),160)</f>
        <v>160</v>
      </c>
      <c r="J740" s="554">
        <v>0</v>
      </c>
      <c r="K740" s="331">
        <f ca="1">IF(I740&gt;0,J740*100/I740,0)</f>
        <v>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IFERROR(__xludf.DUMMYFUNCTION("IMPORTRANGE(""https://docs.google.com/spreadsheets/d/1eHaY18a8A9IcSdp1K8H6x8fbOy06t2VsZHhMHf-1x7Y/edit?usp=sharing"",""แผน!GC76"")"),16)</f>
        <v>16</v>
      </c>
      <c r="J742" s="554">
        <v>4</v>
      </c>
      <c r="K742" s="331">
        <f ca="1">IF(I742&gt;0,J742*100/I742,0)</f>
        <v>25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IFERROR(__xludf.DUMMYFUNCTION("IMPORTRANGE(""https://docs.google.com/spreadsheets/d/1eHaY18a8A9IcSdp1K8H6x8fbOy06t2VsZHhMHf-1x7Y/edit?usp=sharing"",""แผน!GD76"")"),40)</f>
        <v>40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IFERROR(__xludf.DUMMYFUNCTION("IMPORTRANGE(""https://docs.google.com/spreadsheets/d/1eHaY18a8A9IcSdp1K8H6x8fbOy06t2VsZHhMHf-1x7Y/edit?usp=sharing"",""แผน!GE76"")"),4)</f>
        <v>4</v>
      </c>
      <c r="J746" s="554">
        <v>4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IFERROR(__xludf.DUMMYFUNCTION("IMPORTRANGE(""https://docs.google.com/spreadsheets/d/1eHaY18a8A9IcSdp1K8H6x8fbOy06t2VsZHhMHf-1x7Y/edit?usp=sharing"",""แผน!GF76"")"),1)</f>
        <v>1</v>
      </c>
      <c r="J749" s="554">
        <v>1</v>
      </c>
      <c r="K749" s="331">
        <f ca="1">IF(I749&gt;0,J749*100/I749,0)</f>
        <v>100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IFERROR(__xludf.DUMMYFUNCTION("IMPORTRANGE(""https://docs.google.com/spreadsheets/d/1eHaY18a8A9IcSdp1K8H6x8fbOy06t2VsZHhMHf-1x7Y/edit?usp=sharing"",""แผน!GB76"")"),160)</f>
        <v>160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IFERROR(__xludf.DUMMYFUNCTION("IMPORTRANGE(""https://docs.google.com/spreadsheets/d/1eHaY18a8A9IcSdp1K8H6x8fbOy06t2VsZHhMHf-1x7Y/edit?usp=sharing"",""แผน!GD76"")"),40)</f>
        <v>40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9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56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40</v>
      </c>
      <c r="J758" s="483">
        <f>J772</f>
        <v>40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200</v>
      </c>
      <c r="J759" s="483">
        <f>J774</f>
        <v>200</v>
      </c>
      <c r="K759" s="484">
        <f ca="1">IF(I759&gt;0,J759*100/I759,0)</f>
        <v>100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463980</v>
      </c>
      <c r="R760" s="132">
        <f ca="1">R761+R762</f>
        <v>463980</v>
      </c>
      <c r="S760" s="132">
        <f ca="1">S761+S762</f>
        <v>60354</v>
      </c>
      <c r="T760" s="132">
        <f ca="1">IF(Q760&gt;0,S760*100/Q760,0)</f>
        <v>13.007888271046166</v>
      </c>
      <c r="U760" s="132">
        <f ca="1">IF(R760&gt;0,S760*100/R760,0)</f>
        <v>13.007888271046166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463980</v>
      </c>
      <c r="R762" s="47">
        <f ca="1">R765+R768</f>
        <v>463980</v>
      </c>
      <c r="S762" s="47">
        <f ca="1">S765+S768</f>
        <v>60354</v>
      </c>
      <c r="T762" s="47">
        <f ca="1">IF(Q762&gt;0,S762*100/Q762,0)</f>
        <v>13.007888271046166</v>
      </c>
      <c r="U762" s="47">
        <f ca="1">IF(R762&gt;0,S762*100/R762,0)</f>
        <v>13.007888271046166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463980</v>
      </c>
      <c r="R763" s="47">
        <f ca="1">R764+R765</f>
        <v>463980</v>
      </c>
      <c r="S763" s="47">
        <f ca="1">S764+S765</f>
        <v>60354</v>
      </c>
      <c r="T763" s="47">
        <f ca="1">IF(Q763&gt;0,S763*100/Q763,0)</f>
        <v>13.007888271046166</v>
      </c>
      <c r="U763" s="47">
        <f ca="1">IF(R763&gt;0,S763*100/R763,0)</f>
        <v>13.007888271046166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IFERROR(__xludf.DUMMYFUNCTION("IMPORTRANGE(""https://docs.google.com/spreadsheets/d/1ItG2mGa2ceCfYo0BwxsXqNm01IGEUdYcSSLTEv9YCik/edit?usp=sharing"",""เบิกจ่ายกองทุน!AA76"")"),463980)</f>
        <v>463980</v>
      </c>
      <c r="R765" s="47">
        <f ca="1">IFERROR(__xludf.DUMMYFUNCTION("IMPORTRANGE(""https://docs.google.com/spreadsheets/d/1ItG2mGa2ceCfYo0BwxsXqNm01IGEUdYcSSLTEv9YCik/edit?usp=sharing"",""เบิกจ่ายกองทุน!AB76"")"),463980)</f>
        <v>463980</v>
      </c>
      <c r="S765" s="47">
        <f ca="1">IFERROR(__xludf.DUMMYFUNCTION("IMPORTRANGE(""https://docs.google.com/spreadsheets/d/1ItG2mGa2ceCfYo0BwxsXqNm01IGEUdYcSSLTEv9YCik/edit?usp=sharing"",""เบิกจ่ายกองทุน!AC76"")"),60354)</f>
        <v>60354</v>
      </c>
      <c r="T765" s="47">
        <f ca="1">IF(Q765&gt;0,S765*100/Q765,0)</f>
        <v>13.007888271046166</v>
      </c>
      <c r="U765" s="47">
        <f ca="1">IF(R765&gt;0,S765*100/R765,0)</f>
        <v>13.007888271046166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IFERROR(__xludf.DUMMYFUNCTION("IMPORTRANGE(""https://docs.google.com/spreadsheets/d/1eHaY18a8A9IcSdp1K8H6x8fbOy06t2VsZHhMHf-1x7Y/edit?usp=sharing"",""แผน!FI76"")"),0)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IFERROR(__xludf.DUMMYFUNCTION("IMPORTRANGE(""https://docs.google.com/spreadsheets/d/1eHaY18a8A9IcSdp1K8H6x8fbOy06t2VsZHhMHf-1x7Y/edit?usp=sharing"",""แผน!FQ76"")"),40)</f>
        <v>40</v>
      </c>
      <c r="J772" s="167">
        <v>40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IFERROR(__xludf.DUMMYFUNCTION("IMPORTRANGE(""https://docs.google.com/spreadsheets/d/1eHaY18a8A9IcSdp1K8H6x8fbOy06t2VsZHhMHf-1x7Y/edit?usp=sharing"",""แผน!FR76"")"),200)</f>
        <v>200</v>
      </c>
      <c r="J774" s="167">
        <v>200</v>
      </c>
      <c r="K774" s="47">
        <f ca="1">IF(I774&gt;0,J774*100/I774,0)</f>
        <v>100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IFERROR(__xludf.DUMMYFUNCTION("IMPORTRANGE(""https://docs.google.com/spreadsheets/d/1eHaY18a8A9IcSdp1K8H6x8fbOy06t2VsZHhMHf-1x7Y/edit?usp=sharing"",""แผน!FS76"")"),200)</f>
        <v>200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IFERROR(__xludf.DUMMYFUNCTION("IMPORTRANGE(""https://docs.google.com/spreadsheets/d/1eHaY18a8A9IcSdp1K8H6x8fbOy06t2VsZHhMHf-1x7Y/edit?usp=sharing"",""แผน!FT76"")"),40)</f>
        <v>40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IFERROR(__xludf.DUMMYFUNCTION("IMPORTRANGE(""https://docs.google.com/spreadsheets/d/10OvvATaaLtwErnr3qtWFcTmtbfpFEt5Bsqel9sXx0uE/edit?usp=sharing"",""งานกองทุน!D76"")"),586887.43)</f>
        <v>586887.43000000005</v>
      </c>
      <c r="J778" s="152">
        <f ca="1">IFERROR(__xludf.DUMMYFUNCTION("IMPORTRANGE(""https://docs.google.com/spreadsheets/d/10OvvATaaLtwErnr3qtWFcTmtbfpFEt5Bsqel9sXx0uE/edit?usp=sharing"",""งานกองทุน!F76"")"),541426.77)</f>
        <v>541426.77</v>
      </c>
      <c r="K778" s="47">
        <f ca="1">IF(I778&gt;0,J778*100/I778,0)</f>
        <v>92.253938715300137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IFERROR(__xludf.DUMMYFUNCTION("IMPORTRANGE(""https://docs.google.com/spreadsheets/d/10OvvATaaLtwErnr3qtWFcTmtbfpFEt5Bsqel9sXx0uE/edit?usp=sharing"",""งานกองทุน!C76"")"),59)</f>
        <v>59</v>
      </c>
      <c r="J779" s="152">
        <f ca="1">IFERROR(__xludf.DUMMYFUNCTION("IMPORTRANGE(""https://docs.google.com/spreadsheets/d/10OvvATaaLtwErnr3qtWFcTmtbfpFEt5Bsqel9sXx0uE/edit?usp=sharing"",""งานกองทุน!E76"")"),56)</f>
        <v>56</v>
      </c>
      <c r="K779" s="47">
        <f ca="1">IF(I779&gt;0,J779*100/I779,0)</f>
        <v>94.915254237288138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IFERROR(__xludf.DUMMYFUNCTION("IMPORTRANGE(""https://docs.google.com/spreadsheets/d/10OvvATaaLtwErnr3qtWFcTmtbfpFEt5Bsqel9sXx0uE/edit?usp=sharing"",""งานกองทุน!I76"")"),394898.5)</f>
        <v>394898.5</v>
      </c>
      <c r="J780" s="152">
        <f ca="1">IFERROR(__xludf.DUMMYFUNCTION("IMPORTRANGE(""https://docs.google.com/spreadsheets/d/10OvvATaaLtwErnr3qtWFcTmtbfpFEt5Bsqel9sXx0uE/edit?usp=sharing"",""งานกองทุน!K76"")"),158569.78)</f>
        <v>158569.78</v>
      </c>
      <c r="K780" s="47">
        <f ca="1">IF(I780&gt;0,J780*100/I780,0)</f>
        <v>40.154566299947959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IFERROR(__xludf.DUMMYFUNCTION("IMPORTRANGE(""https://docs.google.com/spreadsheets/d/10OvvATaaLtwErnr3qtWFcTmtbfpFEt5Bsqel9sXx0uE/edit?usp=sharing"",""งานกองทุน!H76"")"),17)</f>
        <v>17</v>
      </c>
      <c r="J781" s="152">
        <f ca="1">IFERROR(__xludf.DUMMYFUNCTION("IMPORTRANGE(""https://docs.google.com/spreadsheets/d/10OvvATaaLtwErnr3qtWFcTmtbfpFEt5Bsqel9sXx0uE/edit?usp=sharing"",""งานกองทุน!J76"")"),9)</f>
        <v>9</v>
      </c>
      <c r="K781" s="47">
        <f ca="1">IF(I781&gt;0,J781*100/I781,0)</f>
        <v>52.941176470588232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IFERROR(__xludf.DUMMYFUNCTION("IMPORTRANGE(""https://docs.google.com/spreadsheets/d/10OvvATaaLtwErnr3qtWFcTmtbfpFEt5Bsqel9sXx0uE/edit?usp=sharing"",""งานกองทุน!N76"")"),0)</f>
        <v>0</v>
      </c>
      <c r="J782" s="152">
        <f ca="1">IFERROR(__xludf.DUMMYFUNCTION("IMPORTRANGE(""https://docs.google.com/spreadsheets/d/10OvvATaaLtwErnr3qtWFcTmtbfpFEt5Bsqel9sXx0uE/edit?usp=sharing"",""งานกองทุน!P76"")"),0)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IFERROR(__xludf.DUMMYFUNCTION("IMPORTRANGE(""https://docs.google.com/spreadsheets/d/10OvvATaaLtwErnr3qtWFcTmtbfpFEt5Bsqel9sXx0uE/edit?usp=sharing"",""งานกองทุน!M76"")"),0)</f>
        <v>0</v>
      </c>
      <c r="J783" s="152">
        <f ca="1">IFERROR(__xludf.DUMMYFUNCTION("IMPORTRANGE(""https://docs.google.com/spreadsheets/d/10OvvATaaLtwErnr3qtWFcTmtbfpFEt5Bsqel9sXx0uE/edit?usp=sharing"",""งานกองทุน!O76"")"),0)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IFERROR(__xludf.DUMMYFUNCTION("IMPORTRANGE(""https://docs.google.com/spreadsheets/d/10OvvATaaLtwErnr3qtWFcTmtbfpFEt5Bsqel9sXx0uE/edit?usp=sharing"",""งานกองทุน!S76"")"),2016000)</f>
        <v>2016000</v>
      </c>
      <c r="J784" s="152">
        <f ca="1">IFERROR(__xludf.DUMMYFUNCTION("IMPORTRANGE(""https://docs.google.com/spreadsheets/d/10OvvATaaLtwErnr3qtWFcTmtbfpFEt5Bsqel9sXx0uE/edit?usp=sharing"",""งานกองทุน!U76"")"),0)</f>
        <v>0</v>
      </c>
      <c r="K784" s="47">
        <f ca="1">IF(I784&gt;0,J784*100/I784,0)</f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IFERROR(__xludf.DUMMYFUNCTION("IMPORTRANGE(""https://docs.google.com/spreadsheets/d/10OvvATaaLtwErnr3qtWFcTmtbfpFEt5Bsqel9sXx0uE/edit?usp=sharing"",""งานกองทุน!R76"")"),72)</f>
        <v>72</v>
      </c>
      <c r="J785" s="197">
        <f ca="1">IFERROR(__xludf.DUMMYFUNCTION("IMPORTRANGE(""https://docs.google.com/spreadsheets/d/10OvvATaaLtwErnr3qtWFcTmtbfpFEt5Bsqel9sXx0uE/edit?usp=sharing"",""งานกองทุน!T76"")"),0)</f>
        <v>0</v>
      </c>
      <c r="K785" s="111">
        <f ca="1">IF(I785&gt;0,J785*100/I785,0)</f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4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5F93A-8D90-4EC4-8AAF-016E60B5C2D1}">
  <sheetPr codeName="Sheet4">
    <outlinePr summaryBelow="0" summaryRight="0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7.5703125" bestFit="1" customWidth="1"/>
    <col min="10" max="10" width="15.8554687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 x14ac:dyDescent="0.3">
      <c r="A1" s="817" t="s">
        <v>0</v>
      </c>
      <c r="B1" s="817"/>
      <c r="C1" s="817"/>
      <c r="D1" s="817"/>
      <c r="E1" s="817"/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7"/>
      <c r="R1" s="817"/>
      <c r="S1" s="817"/>
      <c r="T1" s="817"/>
      <c r="U1" s="817"/>
    </row>
    <row r="2" spans="1:21" s="897" customFormat="1" ht="19.5" x14ac:dyDescent="0.3">
      <c r="A2" s="817" t="s">
        <v>315</v>
      </c>
      <c r="B2" s="817"/>
      <c r="C2" s="817"/>
      <c r="D2" s="817"/>
      <c r="E2" s="817"/>
      <c r="F2" s="817"/>
      <c r="G2" s="817"/>
      <c r="H2" s="817"/>
      <c r="I2" s="817"/>
      <c r="J2" s="817"/>
      <c r="K2" s="817"/>
      <c r="L2" s="817"/>
      <c r="M2" s="817"/>
      <c r="N2" s="817"/>
      <c r="O2" s="817"/>
      <c r="P2" s="817"/>
      <c r="Q2" s="817"/>
      <c r="R2" s="817"/>
      <c r="S2" s="817"/>
      <c r="T2" s="817"/>
      <c r="U2" s="817"/>
    </row>
    <row r="3" spans="1:21" ht="19.5" x14ac:dyDescent="0.3">
      <c r="A3" s="817" t="s">
        <v>332</v>
      </c>
      <c r="B3" s="817"/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  <c r="S3" s="817"/>
      <c r="T3" s="817"/>
      <c r="U3" s="817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816"/>
      <c r="L4" s="815" t="s">
        <v>2</v>
      </c>
      <c r="M4" s="518"/>
      <c r="N4" s="518"/>
      <c r="O4" s="518"/>
      <c r="P4" s="519"/>
      <c r="Q4" s="814" t="s">
        <v>3</v>
      </c>
      <c r="R4" s="518"/>
      <c r="S4" s="518"/>
      <c r="T4" s="518"/>
      <c r="U4" s="519"/>
    </row>
    <row r="5" spans="1:21" ht="19.5" x14ac:dyDescent="0.3">
      <c r="A5" s="813" t="s">
        <v>4</v>
      </c>
      <c r="B5" s="522"/>
      <c r="C5" s="522"/>
      <c r="D5" s="522"/>
      <c r="E5" s="522"/>
      <c r="F5" s="522"/>
      <c r="G5" s="535"/>
      <c r="H5" s="812" t="s">
        <v>5</v>
      </c>
      <c r="I5" s="527" t="s">
        <v>6</v>
      </c>
      <c r="J5" s="518"/>
      <c r="K5" s="519"/>
      <c r="L5" s="811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0"/>
      <c r="I6" s="7" t="s">
        <v>9</v>
      </c>
      <c r="J6" s="8" t="s">
        <v>10</v>
      </c>
      <c r="K6" s="7" t="s">
        <v>11</v>
      </c>
      <c r="L6" s="809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2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1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1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1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1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1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1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1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1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08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7">
        <f ca="1">L19+L20</f>
        <v>2067050</v>
      </c>
      <c r="M18" s="35">
        <f ca="1">M19+M20</f>
        <v>2136207.96</v>
      </c>
      <c r="N18" s="35">
        <f ca="1">N19+N20</f>
        <v>1582130.84</v>
      </c>
      <c r="O18" s="35">
        <f ca="1">IF(L18&gt;0,N18*100/L18,0)</f>
        <v>76.540521032389151</v>
      </c>
      <c r="P18" s="35">
        <f ca="1">IF(M18&gt;0,N18*100/M18,0)</f>
        <v>74.06258518014323</v>
      </c>
      <c r="Q18" s="35">
        <f ca="1">Q19+Q20</f>
        <v>1250142.17</v>
      </c>
      <c r="R18" s="35">
        <f ca="1">R19+R20</f>
        <v>1189079.5</v>
      </c>
      <c r="S18" s="35">
        <f ca="1">S19+S20</f>
        <v>169929.81</v>
      </c>
      <c r="T18" s="35">
        <f ca="1">IF(Q18&gt;0,S18*100/Q18,0)</f>
        <v>13.592838804885689</v>
      </c>
      <c r="U18" s="35">
        <f ca="1">IF(R18&gt;0,S18*100/R18,0)</f>
        <v>14.290870374941289</v>
      </c>
    </row>
    <row r="19" spans="1:21" ht="18.75" hidden="1" x14ac:dyDescent="0.25">
      <c r="A19" s="27"/>
      <c r="B19" s="28"/>
      <c r="C19" s="28"/>
      <c r="D19" s="28"/>
      <c r="E19" s="806" t="s">
        <v>20</v>
      </c>
      <c r="F19" s="28"/>
      <c r="G19" s="31"/>
      <c r="H19" s="805" t="s">
        <v>14</v>
      </c>
      <c r="I19" s="33"/>
      <c r="J19" s="33"/>
      <c r="K19" s="34"/>
      <c r="L19" s="804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3">
        <f ca="1">L23+L26</f>
        <v>2067050</v>
      </c>
      <c r="M20" s="39">
        <f ca="1">M23+M26</f>
        <v>2136207.96</v>
      </c>
      <c r="N20" s="39">
        <f ca="1">N23+N26</f>
        <v>1582130.84</v>
      </c>
      <c r="O20" s="39">
        <f ca="1">IF(L20&gt;0,N20*100/L20,0)</f>
        <v>76.540521032389151</v>
      </c>
      <c r="P20" s="39">
        <f ca="1">IF(M20&gt;0,N20*100/M20,0)</f>
        <v>74.06258518014323</v>
      </c>
      <c r="Q20" s="39">
        <f ca="1">Q23+Q26</f>
        <v>1250142.17</v>
      </c>
      <c r="R20" s="39">
        <f ca="1">R23+R26</f>
        <v>1189079.5</v>
      </c>
      <c r="S20" s="39">
        <f ca="1">S23+S26</f>
        <v>169929.81</v>
      </c>
      <c r="T20" s="39">
        <f ca="1">IF(Q20&gt;0,S20*100/Q20,0)</f>
        <v>13.592838804885689</v>
      </c>
      <c r="U20" s="39">
        <f ca="1">IF(R20&gt;0,S20*100/R20,0)</f>
        <v>14.290870374941289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2067050</v>
      </c>
      <c r="M21" s="47">
        <f ca="1">M22+M23</f>
        <v>2136207.96</v>
      </c>
      <c r="N21" s="47">
        <f ca="1">N22+N23</f>
        <v>1582130.84</v>
      </c>
      <c r="O21" s="47">
        <f ca="1">IF(L21&gt;0,N21*100/L21,0)</f>
        <v>76.540521032389151</v>
      </c>
      <c r="P21" s="47">
        <f ca="1">IF(M21&gt;0,N21*100/M21,0)</f>
        <v>74.06258518014323</v>
      </c>
      <c r="Q21" s="47">
        <f ca="1">Q22+Q23</f>
        <v>1250142.17</v>
      </c>
      <c r="R21" s="47">
        <f ca="1">R22+R23</f>
        <v>1189079.5</v>
      </c>
      <c r="S21" s="47">
        <f ca="1">S22+S23</f>
        <v>169929.81</v>
      </c>
      <c r="T21" s="47">
        <f ca="1">IF(Q21&gt;0,S21*100/Q21,0)</f>
        <v>13.592838804885689</v>
      </c>
      <c r="U21" s="47">
        <f ca="1">IF(R21&gt;0,S21*100/R21,0)</f>
        <v>14.290870374941289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L49+L64+L77+L99+L130+L144+L162+L191+L178+L271+L287+L308+L325+L338+L361+L518</f>
        <v>2067050</v>
      </c>
      <c r="M23" s="47">
        <f ca="1">M49+M64+M77+M99+M130+M144+M162+M191+M178+M271+M287+M308+M325+M338+M361+M518</f>
        <v>2136207.96</v>
      </c>
      <c r="N23" s="47">
        <f ca="1">N49+N64+N77+N99+N130+N144+N162+N191+N178+N271+N287+N308+N325+N338+N361+N518</f>
        <v>1582130.84</v>
      </c>
      <c r="O23" s="47">
        <f ca="1">IF(L23&gt;0,N23*100/L23,0)</f>
        <v>76.540521032389151</v>
      </c>
      <c r="P23" s="47">
        <f ca="1">IF(M23&gt;0,N23*100/M23,0)</f>
        <v>74.06258518014323</v>
      </c>
      <c r="Q23" s="47">
        <f ca="1">Q77+Q99+Q122+Q144+Q162+Q178+Q191+Q271+Q287+Q308+Q338+Q380+Q397+Q418+Q498+Q604+Q621+Q647+Q695+Q719+Q733+Q765</f>
        <v>1250142.17</v>
      </c>
      <c r="R23" s="47">
        <f ca="1">R77+R99+R122+R144+R162+R178+R191+R271+R287+R308+R338+R380+R397+R418+R498+R604+R621+R647+R695+R719+R733+R765</f>
        <v>1189079.5</v>
      </c>
      <c r="S23" s="47">
        <f ca="1">S77+S99+S122+S144+S162+S178+S191+S271+S287+S308+S338+S380+S397+S418+S498+S604+S621+S647+S695+S719+S733+S765</f>
        <v>169929.81</v>
      </c>
      <c r="T23" s="47">
        <f ca="1">IF(Q23&gt;0,S23*100/Q23,0)</f>
        <v>13.592838804885689</v>
      </c>
      <c r="U23" s="47">
        <f ca="1">IF(R23&gt;0,S23*100/R23,0)</f>
        <v>14.290870374941289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L52+L67+L80+L102+L133+L147+L165+L194+L181+L274+L290+L311+L328+L341+L364+L521</f>
        <v>0</v>
      </c>
      <c r="M26" s="47">
        <f ca="1">M52+M67+M80+M102+M133+M147+M165+M194+M181+M274+M290+M311+M328+M341+M364+M521</f>
        <v>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2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1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1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1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1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1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1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1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1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1">
        <f ca="1">L44+L59+L72+L94+L125+L139+L157+L173+L186+L266+L282+L303+L320+L333+L356</f>
        <v>2067050</v>
      </c>
      <c r="M40" s="800">
        <f ca="1">M44+M59+M72+M94+M125+M139+M157+M173+M186+M266+M282+M303+M320+M333+M356</f>
        <v>2136207.96</v>
      </c>
      <c r="N40" s="800">
        <f ca="1">N44+N59+N72+N94+N125+N139+N157+N173+N186+N266+N282+N303+N320+N333+N356</f>
        <v>1582130.84</v>
      </c>
      <c r="O40" s="800">
        <f ca="1">IF(L40&gt;0,N40*100/L40,0)</f>
        <v>76.540521032389151</v>
      </c>
      <c r="P40" s="800">
        <f ca="1">IF(M40&gt;0,N40*100/M40,0)</f>
        <v>74.06258518014323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99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1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352000</v>
      </c>
      <c r="M44" s="79">
        <f ca="1">M45+M46</f>
        <v>408407.96</v>
      </c>
      <c r="N44" s="79">
        <f ca="1">N45+N46</f>
        <v>288507.96000000002</v>
      </c>
      <c r="O44" s="79">
        <f ca="1">IF(L44&gt;0,N44*100/L44,0)</f>
        <v>81.962488636363645</v>
      </c>
      <c r="P44" s="79">
        <f ca="1">IF(M44&gt;0,N44*100/M44,0)</f>
        <v>70.642100119694049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352000</v>
      </c>
      <c r="M46" s="83">
        <f ca="1">M49+M52</f>
        <v>408407.96</v>
      </c>
      <c r="N46" s="83">
        <f ca="1">N49+N52</f>
        <v>288507.96000000002</v>
      </c>
      <c r="O46" s="83">
        <f ca="1">IF(L46&gt;0,N46*100/L46,0)</f>
        <v>81.962488636363645</v>
      </c>
      <c r="P46" s="83">
        <f ca="1">IF(M46&gt;0,N46*100/M46,0)</f>
        <v>70.642100119694049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352000</v>
      </c>
      <c r="M47" s="47">
        <f ca="1">M48+M49</f>
        <v>408407.96</v>
      </c>
      <c r="N47" s="47">
        <f ca="1">N48+N49</f>
        <v>288507.96000000002</v>
      </c>
      <c r="O47" s="47">
        <f ca="1">IF(L47&gt;0,N47*100/L47,0)</f>
        <v>81.962488636363645</v>
      </c>
      <c r="P47" s="47">
        <f ca="1">IF(M47&gt;0,N47*100/M47,0)</f>
        <v>70.642100119694049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IFERROR(__xludf.DUMMYFUNCTION("IMPORTRANGE(""https://docs.google.com/spreadsheets/d/1-uDff_7J0KD5mKrp0Vvzr7lt3OU09vwQwhkpOPPYv2Y/edit?usp=sharing"",""งบพรบ!P77"")"),352000)</f>
        <v>352000</v>
      </c>
      <c r="M49" s="47">
        <f ca="1">IFERROR(__xludf.DUMMYFUNCTION("IMPORTRANGE(""https://docs.google.com/spreadsheets/d/1-uDff_7J0KD5mKrp0Vvzr7lt3OU09vwQwhkpOPPYv2Y/edit?usp=sharing"",""งบพรบ!V77"")"),408407.96)</f>
        <v>408407.96</v>
      </c>
      <c r="N49" s="47">
        <f ca="1">IFERROR(__xludf.DUMMYFUNCTION("IMPORTRANGE(""https://docs.google.com/spreadsheets/d/1-uDff_7J0KD5mKrp0Vvzr7lt3OU09vwQwhkpOPPYv2Y/edit?usp=sharing"",""งบพรบ!Y77"")"),288507.96)</f>
        <v>288507.96000000002</v>
      </c>
      <c r="O49" s="47">
        <f ca="1">IF(L49&gt;0,N49*100/L49,0)</f>
        <v>81.962488636363645</v>
      </c>
      <c r="P49" s="47">
        <f ca="1">IF(M49&gt;0,N49*100/M49,0)</f>
        <v>70.642100119694049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IFERROR(__xludf.DUMMYFUNCTION("IMPORTRANGE(""https://docs.google.com/spreadsheets/d/1-uDff_7J0KD5mKrp0Vvzr7lt3OU09vwQwhkpOPPYv2Y/edit?usp=sharing"",""งบพรบ!S77"")"),0)</f>
        <v>0</v>
      </c>
      <c r="M52" s="47">
        <f ca="1">IFERROR(__xludf.DUMMYFUNCTION("IMPORTRANGE(""https://docs.google.com/spreadsheets/d/1-uDff_7J0KD5mKrp0Vvzr7lt3OU09vwQwhkpOPPYv2Y/edit?usp=sharing"",""งบพรบ!W77"")"),0)</f>
        <v>0</v>
      </c>
      <c r="N52" s="47">
        <f ca="1">IFERROR(__xludf.DUMMYFUNCTION("IMPORTRANGE(""https://docs.google.com/spreadsheets/d/1-uDff_7J0KD5mKrp0Vvzr7lt3OU09vwQwhkpOPPYv2Y/edit?usp=sharing"",""งบพรบ!Z77"")"),0)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737200</v>
      </c>
      <c r="M59" s="106">
        <f ca="1">M60+M61</f>
        <v>737200</v>
      </c>
      <c r="N59" s="106">
        <f ca="1">N60+N61</f>
        <v>544907.16</v>
      </c>
      <c r="O59" s="106">
        <f ca="1">IF(L59&gt;0,N59*100/L59,0)</f>
        <v>73.915784047748232</v>
      </c>
      <c r="P59" s="106">
        <f ca="1">IF(M59&gt;0,N59*100/M59,0)</f>
        <v>73.915784047748232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737200</v>
      </c>
      <c r="M61" s="109">
        <f ca="1">M64+M67</f>
        <v>737200</v>
      </c>
      <c r="N61" s="109">
        <f ca="1">N64+N67</f>
        <v>544907.16</v>
      </c>
      <c r="O61" s="109">
        <f ca="1">IF(L61&gt;0,N61*100/L61,0)</f>
        <v>73.915784047748232</v>
      </c>
      <c r="P61" s="109">
        <f ca="1">IF(M61&gt;0,N61*100/M61,0)</f>
        <v>73.915784047748232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737200</v>
      </c>
      <c r="M62" s="47">
        <f ca="1">M63+M64</f>
        <v>737200</v>
      </c>
      <c r="N62" s="47">
        <f ca="1">N63+N64</f>
        <v>544907.16</v>
      </c>
      <c r="O62" s="47">
        <f ca="1">IF(L62&gt;0,N62*100/L62,0)</f>
        <v>73.915784047748232</v>
      </c>
      <c r="P62" s="47">
        <f ca="1">IF(M62&gt;0,N62*100/M62,0)</f>
        <v>73.915784047748232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IFERROR(__xludf.DUMMYFUNCTION("IMPORTRANGE(""https://docs.google.com/spreadsheets/d/1-uDff_7J0KD5mKrp0Vvzr7lt3OU09vwQwhkpOPPYv2Y/edit?usp=sharing"",""งบพรบ!AC77"")"),737200)</f>
        <v>737200</v>
      </c>
      <c r="M64" s="47">
        <f ca="1">IFERROR(__xludf.DUMMYFUNCTION("IMPORTRANGE(""https://docs.google.com/spreadsheets/d/1-uDff_7J0KD5mKrp0Vvzr7lt3OU09vwQwhkpOPPYv2Y/edit?usp=sharing"",""งบพรบ!AH77"")"),737200)</f>
        <v>737200</v>
      </c>
      <c r="N64" s="47">
        <f ca="1">IFERROR(__xludf.DUMMYFUNCTION("IMPORTRANGE(""https://docs.google.com/spreadsheets/d/1-uDff_7J0KD5mKrp0Vvzr7lt3OU09vwQwhkpOPPYv2Y/edit?usp=sharing"",""งบพรบ!AJ77"")"),544907.16)</f>
        <v>544907.16</v>
      </c>
      <c r="O64" s="47">
        <f ca="1">IF(L64&gt;0,N64*100/L64,0)</f>
        <v>73.915784047748232</v>
      </c>
      <c r="P64" s="47">
        <f ca="1">IF(M64&gt;0,N64*100/M64,0)</f>
        <v>73.915784047748232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IFERROR(__xludf.DUMMYFUNCTION("IMPORTRANGE(""https://docs.google.com/spreadsheets/d/1-uDff_7J0KD5mKrp0Vvzr7lt3OU09vwQwhkpOPPYv2Y/edit?usp=sharing"",""งบพรบ!AF77"")"),0)</f>
        <v>0</v>
      </c>
      <c r="M67" s="111">
        <f ca="1">IFERROR(__xludf.DUMMYFUNCTION("IMPORTRANGE(""https://docs.google.com/spreadsheets/d/1-uDff_7J0KD5mKrp0Vvzr7lt3OU09vwQwhkpOPPYv2Y/edit?usp=sharing"",""งบพรบ!AI77"")"),0)</f>
        <v>0</v>
      </c>
      <c r="N67" s="111">
        <f ca="1">IFERROR(__xludf.DUMMYFUNCTION("IMPORTRANGE(""https://docs.google.com/spreadsheets/d/1-uDff_7J0KD5mKrp0Vvzr7lt3OU09vwQwhkpOPPYv2Y/edit?usp=sharing"",""งบพรบ!AK77"")"),0)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hidden="1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0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IFERROR(__xludf.DUMMYFUNCTION("IMPORTRANGE(""https://docs.google.com/spreadsheets/d/1-uDff_7J0KD5mKrp0Vvzr7lt3OU09vwQwhkpOPPYv2Y/edit?usp=sharing"",""งบพรบ!AM77"")"),0)</f>
        <v>0</v>
      </c>
      <c r="M77" s="47">
        <f ca="1">IFERROR(__xludf.DUMMYFUNCTION("IMPORTRANGE(""https://docs.google.com/spreadsheets/d/1-uDff_7J0KD5mKrp0Vvzr7lt3OU09vwQwhkpOPPYv2Y/edit?usp=sharing"",""งบพรบ!AR77"")"),0)</f>
        <v>0</v>
      </c>
      <c r="N77" s="47">
        <f ca="1">IFERROR(__xludf.DUMMYFUNCTION("IMPORTRANGE(""https://docs.google.com/spreadsheets/d/1-uDff_7J0KD5mKrp0Vvzr7lt3OU09vwQwhkpOPPYv2Y/edit?usp=sharing"",""งบพรบ!AT77"")"),0)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IFERROR(__xludf.DUMMYFUNCTION("IMPORTRANGE(""https://docs.google.com/spreadsheets/d/1ItG2mGa2ceCfYo0BwxsXqNm01IGEUdYcSSLTEv9YCik/edit?usp=sharing"",""เบิกจ่ายกองทุน!BH77"")"),0)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IFERROR(__xludf.DUMMYFUNCTION("IMPORTRANGE(""https://docs.google.com/spreadsheets/d/1ItG2mGa2ceCfYo0BwxsXqNm01IGEUdYcSSLTEv9YCik/edit?usp=sharing"",""เบิกจ่ายกองทุน!BI77"")"),0)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IFERROR(__xludf.DUMMYFUNCTION("IMPORTRANGE(""https://docs.google.com/spreadsheets/d/1ItG2mGa2ceCfYo0BwxsXqNm01IGEUdYcSSLTEv9YCik/edit?usp=sharing"",""เบิกจ่ายกองทุน!BJ77"")"),0)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IFERROR(__xludf.DUMMYFUNCTION("IMPORTRANGE(""https://docs.google.com/spreadsheets/d/1-uDff_7J0KD5mKrp0Vvzr7lt3OU09vwQwhkpOPPYv2Y/edit?usp=sharing"",""งบพรบ!AP77"")"),0)</f>
        <v>0</v>
      </c>
      <c r="M80" s="47">
        <f ca="1">IFERROR(__xludf.DUMMYFUNCTION("IMPORTRANGE(""https://docs.google.com/spreadsheets/d/1-uDff_7J0KD5mKrp0Vvzr7lt3OU09vwQwhkpOPPYv2Y/edit?usp=sharing"",""งบพรบ!AS77"")"),0)</f>
        <v>0</v>
      </c>
      <c r="N80" s="47">
        <f ca="1">IFERROR(__xludf.DUMMYFUNCTION("IMPORTRANGE(""https://docs.google.com/spreadsheets/d/1-uDff_7J0KD5mKrp0Vvzr7lt3OU09vwQwhkpOPPYv2Y/edit?usp=sharing"",""งบพรบ!AU77"")"),0)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IFERROR(__xludf.DUMMYFUNCTION("IMPORTRANGE(""https://docs.google.com/spreadsheets/d/1ItG2mGa2ceCfYo0BwxsXqNm01IGEUdYcSSLTEv9YCik/edit?usp=sharing"",""เบิกจ่ายกองทุน!BK77"")"),0)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IFERROR(__xludf.DUMMYFUNCTION("IMPORTRANGE(""https://docs.google.com/spreadsheets/d/1ItG2mGa2ceCfYo0BwxsXqNm01IGEUdYcSSLTEv9YCik/edit?usp=sharing"",""เบิกจ่ายกองทุน!BL77"")"),0)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IFERROR(__xludf.DUMMYFUNCTION("IMPORTRANGE(""https://docs.google.com/spreadsheets/d/1ItG2mGa2ceCfYo0BwxsXqNm01IGEUdYcSSLTEv9YCik/edit?usp=sharing"",""เบิกจ่ายกองทุน!BM77"")"),0)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IFERROR(__xludf.DUMMYFUNCTION("IMPORTRANGE(""https://docs.google.com/spreadsheets/d/1eHaY18a8A9IcSdp1K8H6x8fbOy06t2VsZHhMHf-1x7Y/edit?usp=sharing"",""แผน!H77"")"),0)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IFERROR(__xludf.DUMMYFUNCTION("IMPORTRANGE(""https://docs.google.com/spreadsheets/d/1eHaY18a8A9IcSdp1K8H6x8fbOy06t2VsZHhMHf-1x7Y/edit?usp=sharing"",""แผน!I77"")"),0)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IFERROR(__xludf.DUMMYFUNCTION("IMPORTRANGE(""https://docs.google.com/spreadsheets/d/1eHaY18a8A9IcSdp1K8H6x8fbOy06t2VsZHhMHf-1x7Y/edit?usp=sharing"",""แผน!F77"")"),0)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IFERROR(__xludf.DUMMYFUNCTION("IMPORTRANGE(""https://docs.google.com/spreadsheets/d/1eHaY18a8A9IcSdp1K8H6x8fbOy06t2VsZHhMHf-1x7Y/edit?usp=sharing"",""แผน!G77"")"),0)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IFERROR(__xludf.DUMMYFUNCTION("IMPORTRANGE(""https://docs.google.com/spreadsheets/d/1eHaY18a8A9IcSdp1K8H6x8fbOy06t2VsZHhMHf-1x7Y/edit?usp=sharing"",""แผน!D77"")"),0)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IFERROR(__xludf.DUMMYFUNCTION("IMPORTRANGE(""https://docs.google.com/spreadsheets/d/1eHaY18a8A9IcSdp1K8H6x8fbOy06t2VsZHhMHf-1x7Y/edit?usp=sharing"",""แผน!E77"")"),0)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IFERROR(__xludf.DUMMYFUNCTION("IMPORTRANGE(""https://docs.google.com/spreadsheets/d/1eHaY18a8A9IcSdp1K8H6x8fbOy06t2VsZHhMHf-1x7Y/edit?usp=sharing"",""แผน!J77"")"),0)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0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IFERROR(__xludf.DUMMYFUNCTION("IMPORTRANGE(""https://docs.google.com/spreadsheets/d/1-uDff_7J0KD5mKrp0Vvzr7lt3OU09vwQwhkpOPPYv2Y/edit?usp=sharing"",""งบพรบ!AW77"")"),0)</f>
        <v>0</v>
      </c>
      <c r="M99" s="47">
        <f ca="1">IFERROR(__xludf.DUMMYFUNCTION("IMPORTRANGE(""https://docs.google.com/spreadsheets/d/1-uDff_7J0KD5mKrp0Vvzr7lt3OU09vwQwhkpOPPYv2Y/edit?usp=sharing"",""งบพรบ!BB77"")"),0)</f>
        <v>0</v>
      </c>
      <c r="N99" s="47">
        <f ca="1">IFERROR(__xludf.DUMMYFUNCTION("IMPORTRANGE(""https://docs.google.com/spreadsheets/d/1-uDff_7J0KD5mKrp0Vvzr7lt3OU09vwQwhkpOPPYv2Y/edit?usp=sharing"",""งบพรบ!BD77"")"),0)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IFERROR(__xludf.DUMMYFUNCTION("IMPORTRANGE(""https://docs.google.com/spreadsheets/d/1ItG2mGa2ceCfYo0BwxsXqNm01IGEUdYcSSLTEv9YCik/edit?usp=sharing"",""เบิกจ่ายกองทุน!AJ77"")"),0)</f>
        <v>0</v>
      </c>
      <c r="R99" s="47">
        <f ca="1">IFERROR(__xludf.DUMMYFUNCTION("IMPORTRANGE(""https://docs.google.com/spreadsheets/d/1ItG2mGa2ceCfYo0BwxsXqNm01IGEUdYcSSLTEv9YCik/edit?usp=sharing"",""เบิกจ่ายกองทุน!AK77"")"),0)</f>
        <v>0</v>
      </c>
      <c r="S99" s="47">
        <f ca="1">IFERROR(__xludf.DUMMYFUNCTION("IMPORTRANGE(""https://docs.google.com/spreadsheets/d/1ItG2mGa2ceCfYo0BwxsXqNm01IGEUdYcSSLTEv9YCik/edit?usp=sharing"",""เบิกจ่ายกองทุน!AL77"")"),0)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IFERROR(__xludf.DUMMYFUNCTION("IMPORTRANGE(""https://docs.google.com/spreadsheets/d/1-uDff_7J0KD5mKrp0Vvzr7lt3OU09vwQwhkpOPPYv2Y/edit?usp=sharing"",""งบพรบ!AZ77"")"),0)</f>
        <v>0</v>
      </c>
      <c r="M102" s="47">
        <f ca="1">IFERROR(__xludf.DUMMYFUNCTION("IMPORTRANGE(""https://docs.google.com/spreadsheets/d/1-uDff_7J0KD5mKrp0Vvzr7lt3OU09vwQwhkpOPPYv2Y/edit?usp=sharing"",""งบพรบ!BC77"")"),0)</f>
        <v>0</v>
      </c>
      <c r="N102" s="47">
        <f ca="1">IFERROR(__xludf.DUMMYFUNCTION("IMPORTRANGE(""https://docs.google.com/spreadsheets/d/1-uDff_7J0KD5mKrp0Vvzr7lt3OU09vwQwhkpOPPYv2Y/edit?usp=sharing"",""งบพรบ!BE77"")"),0)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1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1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1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IFERROR(__xludf.DUMMYFUNCTION("IMPORTRANGE(""https://docs.google.com/spreadsheets/d/1eHaY18a8A9IcSdp1K8H6x8fbOy06t2VsZHhMHf-1x7Y/edit?usp=sharing"",""แผน!N77"")"),0)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IFERROR(__xludf.DUMMYFUNCTION("IMPORTRANGE(""https://docs.google.com/spreadsheets/d/1eHaY18a8A9IcSdp1K8H6x8fbOy06t2VsZHhMHf-1x7Y/edit?usp=sharing"",""แผน!O77"")"),0)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1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1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1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1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IFERROR(__xludf.DUMMYFUNCTION("IMPORTRANGE(""https://docs.google.com/spreadsheets/d/1eHaY18a8A9IcSdp1K8H6x8fbOy06t2VsZHhMHf-1x7Y/edit?usp=sharing"",""แผน!R77"")"),0)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8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9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89775.01</v>
      </c>
      <c r="T117" s="132">
        <f ca="1">IF(Q117&gt;0,S117*100/Q117,0)</f>
        <v>46.889694975451789</v>
      </c>
      <c r="U117" s="132">
        <f ca="1">IF(R117&gt;0,S117*100/R117,0)</f>
        <v>46.889694975451789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191460</v>
      </c>
      <c r="R119" s="47">
        <f ca="1">R122+R125</f>
        <v>191460</v>
      </c>
      <c r="S119" s="47">
        <f ca="1">S122+S125</f>
        <v>89775.01</v>
      </c>
      <c r="T119" s="47">
        <f ca="1">IF(Q119&gt;0,S119*100/Q119,0)</f>
        <v>46.889694975451789</v>
      </c>
      <c r="U119" s="47">
        <f ca="1">IF(R119&gt;0,S119*100/R119,0)</f>
        <v>46.889694975451789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89775.01</v>
      </c>
      <c r="T120" s="47">
        <f ca="1">IF(Q120&gt;0,S120*100/Q120,0)</f>
        <v>46.889694975451789</v>
      </c>
      <c r="U120" s="47">
        <f ca="1">IF(R120&gt;0,S120*100/R120,0)</f>
        <v>46.889694975451789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IFERROR(__xludf.DUMMYFUNCTION("IMPORTRANGE(""https://docs.google.com/spreadsheets/d/1-uDff_7J0KD5mKrp0Vvzr7lt3OU09vwQwhkpOPPYv2Y/edit?usp=sharing"",""งบพรบ!BG77"")"),0)</f>
        <v>0</v>
      </c>
      <c r="M122" s="47">
        <f ca="1">IFERROR(__xludf.DUMMYFUNCTION("IMPORTRANGE(""https://docs.google.com/spreadsheets/d/1-uDff_7J0KD5mKrp0Vvzr7lt3OU09vwQwhkpOPPYv2Y/edit?usp=sharing"",""งบพรบ!BL77"")"),0)</f>
        <v>0</v>
      </c>
      <c r="N122" s="47">
        <f ca="1">IFERROR(__xludf.DUMMYFUNCTION("IMPORTRANGE(""https://docs.google.com/spreadsheets/d/1-uDff_7J0KD5mKrp0Vvzr7lt3OU09vwQwhkpOPPYv2Y/edit?usp=sharing"",""งบพรบ!BN77"")"),0)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IFERROR(__xludf.DUMMYFUNCTION("IMPORTRANGE(""https://docs.google.com/spreadsheets/d/1ItG2mGa2ceCfYo0BwxsXqNm01IGEUdYcSSLTEv9YCik/edit?usp=sharing"",""เบิกจ่ายกองทุน!U77"")"),191460)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IFERROR(__xludf.DUMMYFUNCTION("IMPORTRANGE(""https://docs.google.com/spreadsheets/d/1ItG2mGa2ceCfYo0BwxsXqNm01IGEUdYcSSLTEv9YCik/edit?usp=sharing"",""เบิกจ่ายกองทุน!V77"")"),191460)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IFERROR(__xludf.DUMMYFUNCTION("IMPORTRANGE(""https://docs.google.com/spreadsheets/d/1ItG2mGa2ceCfYo0BwxsXqNm01IGEUdYcSSLTEv9YCik/edit?usp=sharing"",""เบิกจ่ายกองทุน!W77"")"),89775.01)</f>
        <v>89775.01</v>
      </c>
      <c r="T122" s="47">
        <f ca="1">IF(Q122&gt;0,S122*100/Q122,0)</f>
        <v>46.889694975451789</v>
      </c>
      <c r="U122" s="47">
        <f ca="1">IF(R122&gt;0,S122*100/R122,0)</f>
        <v>46.889694975451789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IFERROR(__xludf.DUMMYFUNCTION("IMPORTRANGE(""https://docs.google.com/spreadsheets/d/1-uDff_7J0KD5mKrp0Vvzr7lt3OU09vwQwhkpOPPYv2Y/edit?usp=sharing"",""งบพรบ!BJ77"")"),0)</f>
        <v>0</v>
      </c>
      <c r="M125" s="47">
        <f ca="1">IFERROR(__xludf.DUMMYFUNCTION("IMPORTRANGE(""https://docs.google.com/spreadsheets/d/1-uDff_7J0KD5mKrp0Vvzr7lt3OU09vwQwhkpOPPYv2Y/edit?usp=sharing"",""งบพรบ!BM77"")"),0)</f>
        <v>0</v>
      </c>
      <c r="N125" s="47">
        <f ca="1">IFERROR(__xludf.DUMMYFUNCTION("IMPORTRANGE(""https://docs.google.com/spreadsheets/d/1-uDff_7J0KD5mKrp0Vvzr7lt3OU09vwQwhkpOPPYv2Y/edit?usp=sharing"",""งบพรบ!BO77"")"),0)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IFERROR(__xludf.DUMMYFUNCTION("IMPORTRANGE(""https://docs.google.com/spreadsheets/d/1ItG2mGa2ceCfYo0BwxsXqNm01IGEUdYcSSLTEv9YCik/edit?usp=sharing"",""เบิกจ่ายกองทุน!X77"")"),0)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IFERROR(__xludf.DUMMYFUNCTION("IMPORTRANGE(""https://docs.google.com/spreadsheets/d/1ItG2mGa2ceCfYo0BwxsXqNm01IGEUdYcSSLTEv9YCik/edit?usp=sharing"",""เบิกจ่ายกองทุน!Y77"")"),0)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IFERROR(__xludf.DUMMYFUNCTION("IMPORTRANGE(""https://docs.google.com/spreadsheets/d/1ItG2mGa2ceCfYo0BwxsXqNm01IGEUdYcSSLTEv9YCik/edit?usp=sharing"",""เบิกจ่ายกองทุน!Z77"")"),0)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IFERROR(__xludf.DUMMYFUNCTION("IMPORTRANGE(""https://docs.google.com/spreadsheets/d/1eHaY18a8A9IcSdp1K8H6x8fbOy06t2VsZHhMHf-1x7Y/edit?usp=sharing"",""แผน!FF77"")"),15)</f>
        <v>15</v>
      </c>
      <c r="J127" s="167">
        <v>15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IFERROR(__xludf.DUMMYFUNCTION("IMPORTRANGE(""https://docs.google.com/spreadsheets/d/1eHaY18a8A9IcSdp1K8H6x8fbOy06t2VsZHhMHf-1x7Y/edit?usp=sharing"",""แผน!FG77"")"),0)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IFERROR(__xludf.DUMMYFUNCTION("IMPORTRANGE(""https://docs.google.com/spreadsheets/d/1eHaY18a8A9IcSdp1K8H6x8fbOy06t2VsZHhMHf-1x7Y/edit?usp=sharing"",""แผน!FH77"")"),15)</f>
        <v>15</v>
      </c>
      <c r="J129" s="167">
        <v>15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IFERROR(__xludf.DUMMYFUNCTION("IMPORTRANGE(""https://docs.google.com/spreadsheets/d/1eHaY18a8A9IcSdp1K8H6x8fbOy06t2VsZHhMHf-1x7Y/edit?usp=sharing"",""แผน!FI77"")"),0)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1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1</v>
      </c>
      <c r="J136" s="127">
        <f>J154</f>
        <v>0</v>
      </c>
      <c r="K136" s="35">
        <f ca="1">IF(I136&gt;0,J136*100/I136,0)</f>
        <v>0</v>
      </c>
      <c r="L136" s="58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20</v>
      </c>
      <c r="J137" s="127">
        <f>J152</f>
        <v>20</v>
      </c>
      <c r="K137" s="35">
        <f ca="1">IF(I137&gt;0,J137*100/I137,0)</f>
        <v>100</v>
      </c>
      <c r="L137" s="58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2</v>
      </c>
      <c r="J138" s="127">
        <f>J153</f>
        <v>2</v>
      </c>
      <c r="K138" s="35">
        <f ca="1">IF(I138&gt;0,J138*100/I138,0)</f>
        <v>100</v>
      </c>
      <c r="L138" s="58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59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137700</v>
      </c>
      <c r="M139" s="132">
        <f ca="1">M140+M141</f>
        <v>132700</v>
      </c>
      <c r="N139" s="132">
        <f ca="1">N140+N141</f>
        <v>98035.49</v>
      </c>
      <c r="O139" s="132">
        <f ca="1">IF(L139&gt;0,N139*100/L139,0)</f>
        <v>71.194981844589691</v>
      </c>
      <c r="P139" s="132">
        <f ca="1">IF(M139&gt;0,N139*100/M139,0)</f>
        <v>73.877535795026375</v>
      </c>
      <c r="Q139" s="132">
        <f ca="1">Q140+Q141</f>
        <v>174860</v>
      </c>
      <c r="R139" s="132">
        <f ca="1">R140+R141</f>
        <v>174860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137700</v>
      </c>
      <c r="M141" s="47">
        <f ca="1">M144+M147</f>
        <v>132700</v>
      </c>
      <c r="N141" s="47">
        <f ca="1">N144+N147</f>
        <v>98035.49</v>
      </c>
      <c r="O141" s="47">
        <f ca="1">IF(L141&gt;0,N141*100/L141,0)</f>
        <v>71.194981844589691</v>
      </c>
      <c r="P141" s="47">
        <f ca="1">IF(M141&gt;0,N141*100/M141,0)</f>
        <v>73.877535795026375</v>
      </c>
      <c r="Q141" s="47">
        <f ca="1">Q144+Q147</f>
        <v>174860</v>
      </c>
      <c r="R141" s="47">
        <f ca="1">R144+R147</f>
        <v>174860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137700</v>
      </c>
      <c r="M142" s="47">
        <f ca="1">M143+M144</f>
        <v>132700</v>
      </c>
      <c r="N142" s="47">
        <f ca="1">N143+N144</f>
        <v>98035.49</v>
      </c>
      <c r="O142" s="47">
        <f ca="1">IF(L142&gt;0,N142*100/L142,0)</f>
        <v>71.194981844589691</v>
      </c>
      <c r="P142" s="47">
        <f ca="1">IF(M142&gt;0,N142*100/M142,0)</f>
        <v>73.877535795026375</v>
      </c>
      <c r="Q142" s="47">
        <f ca="1">Q143+Q144</f>
        <v>174860</v>
      </c>
      <c r="R142" s="47">
        <f ca="1">R143+R144</f>
        <v>174860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IFERROR(__xludf.DUMMYFUNCTION("IMPORTRANGE(""https://docs.google.com/spreadsheets/d/1-uDff_7J0KD5mKrp0Vvzr7lt3OU09vwQwhkpOPPYv2Y/edit?usp=sharing"",""งบพรบ!BQ77"")"),137700)</f>
        <v>137700</v>
      </c>
      <c r="M144" s="47">
        <f ca="1">IFERROR(__xludf.DUMMYFUNCTION("IMPORTRANGE(""https://docs.google.com/spreadsheets/d/1-uDff_7J0KD5mKrp0Vvzr7lt3OU09vwQwhkpOPPYv2Y/edit?usp=sharing"",""งบพรบ!BV77"")"),132700)</f>
        <v>132700</v>
      </c>
      <c r="N144" s="47">
        <f ca="1">IFERROR(__xludf.DUMMYFUNCTION("IMPORTRANGE(""https://docs.google.com/spreadsheets/d/1-uDff_7J0KD5mKrp0Vvzr7lt3OU09vwQwhkpOPPYv2Y/edit?usp=sharing"",""งบพรบ!BX77"")"),98035.49)</f>
        <v>98035.49</v>
      </c>
      <c r="O144" s="47">
        <f ca="1">IF(L144&gt;0,N144*100/L144,0)</f>
        <v>71.194981844589691</v>
      </c>
      <c r="P144" s="47">
        <f ca="1">IF(M144&gt;0,N144*100/M144,0)</f>
        <v>73.877535795026375</v>
      </c>
      <c r="Q144" s="47">
        <f ca="1">IFERROR(__xludf.DUMMYFUNCTION("IMPORTRANGE(""https://docs.google.com/spreadsheets/d/1ItG2mGa2ceCfYo0BwxsXqNm01IGEUdYcSSLTEv9YCik/edit?usp=sharing"",""เบิกจ่ายกองทุน!CF77"")"),174860)</f>
        <v>174860</v>
      </c>
      <c r="R144" s="47">
        <f ca="1">IFERROR(__xludf.DUMMYFUNCTION("IMPORTRANGE(""https://docs.google.com/spreadsheets/d/1ItG2mGa2ceCfYo0BwxsXqNm01IGEUdYcSSLTEv9YCik/edit?usp=sharing"",""เบิกจ่ายกองทุน!CG77"")"),174860)</f>
        <v>174860</v>
      </c>
      <c r="S144" s="47">
        <f ca="1">IFERROR(__xludf.DUMMYFUNCTION("IMPORTRANGE(""https://docs.google.com/spreadsheets/d/1ItG2mGa2ceCfYo0BwxsXqNm01IGEUdYcSSLTEv9YCik/edit?usp=sharing"",""เบิกจ่ายกองทุน!CH77"")"),0)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IFERROR(__xludf.DUMMYFUNCTION("IMPORTRANGE(""https://docs.google.com/spreadsheets/d/1-uDff_7J0KD5mKrp0Vvzr7lt3OU09vwQwhkpOPPYv2Y/edit?usp=sharing"",""งบพรบ!BT77"")"),0)</f>
        <v>0</v>
      </c>
      <c r="M147" s="47">
        <f ca="1">IFERROR(__xludf.DUMMYFUNCTION("IMPORTRANGE(""https://docs.google.com/spreadsheets/d/1-uDff_7J0KD5mKrp0Vvzr7lt3OU09vwQwhkpOPPYv2Y/edit?usp=sharing"",""งบพรบ!BW77"")"),0)</f>
        <v>0</v>
      </c>
      <c r="N147" s="47">
        <f ca="1">IFERROR(__xludf.DUMMYFUNCTION("IMPORTRANGE(""https://docs.google.com/spreadsheets/d/1-uDff_7J0KD5mKrp0Vvzr7lt3OU09vwQwhkpOPPYv2Y/edit?usp=sharing"",""งบพรบ!BY77"")"),0)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IFERROR(__xludf.DUMMYFUNCTION("IMPORTRANGE(""https://docs.google.com/spreadsheets/d/1ItG2mGa2ceCfYo0BwxsXqNm01IGEUdYcSSLTEv9YCik/edit?usp=sharing"",""เบิกจ่ายกองทุน!CI77"")"),0)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IFERROR(__xludf.DUMMYFUNCTION("IMPORTRANGE(""https://docs.google.com/spreadsheets/d/1ItG2mGa2ceCfYo0BwxsXqNm01IGEUdYcSSLTEv9YCik/edit?usp=sharing"",""เบิกจ่ายกองทุน!CJ77"")"),0)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IFERROR(__xludf.DUMMYFUNCTION("IMPORTRANGE(""https://docs.google.com/spreadsheets/d/1ItG2mGa2ceCfYo0BwxsXqNm01IGEUdYcSSLTEv9YCik/edit?usp=sharing"",""เบิกจ่ายกองทุน!CK77"")"),0)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IFERROR(__xludf.DUMMYFUNCTION("IMPORTRANGE(""https://docs.google.com/spreadsheets/d/1eHaY18a8A9IcSdp1K8H6x8fbOy06t2VsZHhMHf-1x7Y/edit?usp=sharing"",""แผน!U77"")"),10)</f>
        <v>10</v>
      </c>
      <c r="J150" s="167">
        <v>10</v>
      </c>
      <c r="K150" s="47">
        <f ca="1">IF(I150&gt;0,J150*100/I150,0)</f>
        <v>100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IFERROR(__xludf.DUMMYFUNCTION("IMPORTRANGE(""https://docs.google.com/spreadsheets/d/1eHaY18a8A9IcSdp1K8H6x8fbOy06t2VsZHhMHf-1x7Y/edit?usp=sharing"",""แผน!V77"")"),1)</f>
        <v>1</v>
      </c>
      <c r="J151" s="167">
        <v>1</v>
      </c>
      <c r="K151" s="47">
        <f ca="1">IF(I151&gt;0,J151*100/I151,0)</f>
        <v>100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IFERROR(__xludf.DUMMYFUNCTION("IMPORTRANGE(""https://docs.google.com/spreadsheets/d/1eHaY18a8A9IcSdp1K8H6x8fbOy06t2VsZHhMHf-1x7Y/edit?usp=sharing"",""แผน!W77"")"),20)</f>
        <v>20</v>
      </c>
      <c r="J152" s="167">
        <v>20</v>
      </c>
      <c r="K152" s="47">
        <f ca="1">IF(I152&gt;0,J152*100/I152,0)</f>
        <v>100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IFERROR(__xludf.DUMMYFUNCTION("IMPORTRANGE(""https://docs.google.com/spreadsheets/d/1eHaY18a8A9IcSdp1K8H6x8fbOy06t2VsZHhMHf-1x7Y/edit?usp=sharing"",""แผน!X77"")"),2)</f>
        <v>2</v>
      </c>
      <c r="J153" s="167">
        <v>2</v>
      </c>
      <c r="K153" s="47">
        <f ca="1">IF(I153&gt;0,J153*100/I153,0)</f>
        <v>100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IFERROR(__xludf.DUMMYFUNCTION("IMPORTRANGE(""https://docs.google.com/spreadsheets/d/1eHaY18a8A9IcSdp1K8H6x8fbOy06t2VsZHhMHf-1x7Y/edit?usp=sharing"",""แผน!Y77"")"),1)</f>
        <v>1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IFERROR(__xludf.DUMMYFUNCTION("IMPORTRANGE(""https://docs.google.com/spreadsheets/d/1-uDff_7J0KD5mKrp0Vvzr7lt3OU09vwQwhkpOPPYv2Y/edit?usp=sharing"",""งบพรบ!CA77"")"),0)</f>
        <v>0</v>
      </c>
      <c r="M162" s="47">
        <f ca="1">IFERROR(__xludf.DUMMYFUNCTION("IMPORTRANGE(""https://docs.google.com/spreadsheets/d/1-uDff_7J0KD5mKrp0Vvzr7lt3OU09vwQwhkpOPPYv2Y/edit?usp=sharing"",""งบพรบ!CF77"")"),0)</f>
        <v>0</v>
      </c>
      <c r="N162" s="47">
        <f ca="1">IFERROR(__xludf.DUMMYFUNCTION("IMPORTRANGE(""https://docs.google.com/spreadsheets/d/1-uDff_7J0KD5mKrp0Vvzr7lt3OU09vwQwhkpOPPYv2Y/edit?usp=sharing"",""งบพรบ!CH77"")"),0)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IFERROR(__xludf.DUMMYFUNCTION("IMPORTRANGE(""https://docs.google.com/spreadsheets/d/1ItG2mGa2ceCfYo0BwxsXqNm01IGEUdYcSSLTEv9YCik/edit?usp=sharing"",""เบิกจ่ายกองทุน!AM77"")"),0)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IFERROR(__xludf.DUMMYFUNCTION("IMPORTRANGE(""https://docs.google.com/spreadsheets/d/1ItG2mGa2ceCfYo0BwxsXqNm01IGEUdYcSSLTEv9YCik/edit?usp=sharing"",""เบิกจ่ายกองทุน!AN77"")"),0)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IFERROR(__xludf.DUMMYFUNCTION("IMPORTRANGE(""https://docs.google.com/spreadsheets/d/1ItG2mGa2ceCfYo0BwxsXqNm01IGEUdYcSSLTEv9YCik/edit?usp=sharing"",""เบิกจ่ายกองทุน!AO77"")"),0)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IFERROR(__xludf.DUMMYFUNCTION("IMPORTRANGE(""https://docs.google.com/spreadsheets/d/1-uDff_7J0KD5mKrp0Vvzr7lt3OU09vwQwhkpOPPYv2Y/edit?usp=sharing"",""งบพรบ!CD77"")"),0)</f>
        <v>0</v>
      </c>
      <c r="M165" s="47">
        <f ca="1">IFERROR(__xludf.DUMMYFUNCTION("IMPORTRANGE(""https://docs.google.com/spreadsheets/d/1-uDff_7J0KD5mKrp0Vvzr7lt3OU09vwQwhkpOPPYv2Y/edit?usp=sharing"",""งบพรบ!CG77"")"),0)</f>
        <v>0</v>
      </c>
      <c r="N165" s="47">
        <f ca="1">IFERROR(__xludf.DUMMYFUNCTION("IMPORTRANGE(""https://docs.google.com/spreadsheets/d/1-uDff_7J0KD5mKrp0Vvzr7lt3OU09vwQwhkpOPPYv2Y/edit?usp=sharing"",""งบพรบ!CI77"")"),0)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IFERROR(__xludf.DUMMYFUNCTION("IMPORTRANGE(""https://docs.google.com/spreadsheets/d/1eHaY18a8A9IcSdp1K8H6x8fbOy06t2VsZHhMHf-1x7Y/edit?usp=sharing"",""แผน!Z77"")"),0)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IFERROR(__xludf.DUMMYFUNCTION("IMPORTRANGE(""https://docs.google.com/spreadsheets/d/1eHaY18a8A9IcSdp1K8H6x8fbOy06t2VsZHhMHf-1x7Y/edit?usp=sharing"",""แผน!Z77"")"),0)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IFERROR(__xludf.DUMMYFUNCTION("IMPORTRANGE(""https://docs.google.com/spreadsheets/d/1eHaY18a8A9IcSdp1K8H6x8fbOy06t2VsZHhMHf-1x7Y/edit?usp=sharing"",""แผน!Z77"")"),0)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9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36840</v>
      </c>
      <c r="N173" s="132">
        <f ca="1">N174+N175</f>
        <v>36840</v>
      </c>
      <c r="O173" s="132">
        <f ca="1">IF(L173&gt;0,N173*100/L173,0)</f>
        <v>188.0551301684533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36840</v>
      </c>
      <c r="N175" s="47">
        <f ca="1">N178+N181</f>
        <v>36840</v>
      </c>
      <c r="O175" s="47">
        <f ca="1">IF(L175&gt;0,N175*100/L175,0)</f>
        <v>188.0551301684533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36840</v>
      </c>
      <c r="N176" s="47">
        <f ca="1">N177+N178</f>
        <v>36840</v>
      </c>
      <c r="O176" s="47">
        <f ca="1">IF(L176&gt;0,N176*100/L176,0)</f>
        <v>188.0551301684533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IFERROR(__xludf.DUMMYFUNCTION("IMPORTRANGE(""https://docs.google.com/spreadsheets/d/1-uDff_7J0KD5mKrp0Vvzr7lt3OU09vwQwhkpOPPYv2Y/edit?usp=sharing"",""งบพรบ!CK77"")"),19590)</f>
        <v>19590</v>
      </c>
      <c r="M178" s="47">
        <f ca="1">IFERROR(__xludf.DUMMYFUNCTION("IMPORTRANGE(""https://docs.google.com/spreadsheets/d/1-uDff_7J0KD5mKrp0Vvzr7lt3OU09vwQwhkpOPPYv2Y/edit?usp=sharing"",""งบพรบ!CP77"")"),36840)</f>
        <v>36840</v>
      </c>
      <c r="N178" s="47">
        <f ca="1">IFERROR(__xludf.DUMMYFUNCTION("IMPORTRANGE(""https://docs.google.com/spreadsheets/d/1-uDff_7J0KD5mKrp0Vvzr7lt3OU09vwQwhkpOPPYv2Y/edit?usp=sharing"",""งบพรบ!CR77"")"),36840)</f>
        <v>36840</v>
      </c>
      <c r="O178" s="47">
        <f ca="1">IF(L178&gt;0,N178*100/L178,0)</f>
        <v>188.0551301684533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IFERROR(__xludf.DUMMYFUNCTION("IMPORTRANGE(""https://docs.google.com/spreadsheets/d/1ItG2mGa2ceCfYo0BwxsXqNm01IGEUdYcSSLTEv9YCik/edit?usp=sharing"",""เบิกจ่ายกองทุน!DG77"")"),0)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IFERROR(__xludf.DUMMYFUNCTION("IMPORTRANGE(""https://docs.google.com/spreadsheets/d/1ItG2mGa2ceCfYo0BwxsXqNm01IGEUdYcSSLTEv9YCik/edit?usp=sharing"",""เบิกจ่ายกองทุน!DH77"")"),0)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IFERROR(__xludf.DUMMYFUNCTION("IMPORTRANGE(""https://docs.google.com/spreadsheets/d/1ItG2mGa2ceCfYo0BwxsXqNm01IGEUdYcSSLTEv9YCik/edit?usp=sharing"",""เบิกจ่ายกองทุน!DI77"")"),0)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IFERROR(__xludf.DUMMYFUNCTION("IMPORTRANGE(""https://docs.google.com/spreadsheets/d/1-uDff_7J0KD5mKrp0Vvzr7lt3OU09vwQwhkpOPPYv2Y/edit?usp=sharing"",""งบพรบ!CN77"")"),0)</f>
        <v>0</v>
      </c>
      <c r="M181" s="47">
        <f ca="1">IFERROR(__xludf.DUMMYFUNCTION("IMPORTRANGE(""https://docs.google.com/spreadsheets/d/1-uDff_7J0KD5mKrp0Vvzr7lt3OU09vwQwhkpOPPYv2Y/edit?usp=sharing"",""งบพรบ!CQ77"")"),0)</f>
        <v>0</v>
      </c>
      <c r="N181" s="47">
        <f ca="1">IFERROR(__xludf.DUMMYFUNCTION("IMPORTRANGE(""https://docs.google.com/spreadsheets/d/1-uDff_7J0KD5mKrp0Vvzr7lt3OU09vwQwhkpOPPYv2Y/edit?usp=sharing"",""งบพรบ!CS77"")"),0)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IFERROR(__xludf.DUMMYFUNCTION("IMPORTRANGE(""https://docs.google.com/spreadsheets/d/1eHaY18a8A9IcSdp1K8H6x8fbOy06t2VsZHhMHf-1x7Y/edit?usp=sharing"",""แผน!AA77"")"),7)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9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15500</v>
      </c>
      <c r="M186" s="132">
        <f ca="1">M187+M188</f>
        <v>24200</v>
      </c>
      <c r="N186" s="132">
        <f ca="1">N187+N188</f>
        <v>6700</v>
      </c>
      <c r="O186" s="132">
        <f ca="1">IF(L186&gt;0,N186*100/L186,0)</f>
        <v>43.225806451612904</v>
      </c>
      <c r="P186" s="132">
        <f ca="1">IF(M186&gt;0,N186*100/M186,0)</f>
        <v>27.685950413223139</v>
      </c>
      <c r="Q186" s="132">
        <f ca="1">Q187+Q188</f>
        <v>14000</v>
      </c>
      <c r="R186" s="132">
        <f ca="1">R187+R188</f>
        <v>14000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15500</v>
      </c>
      <c r="M188" s="47">
        <f ca="1">M191+M194</f>
        <v>24200</v>
      </c>
      <c r="N188" s="47">
        <f ca="1">N191+N194</f>
        <v>6700</v>
      </c>
      <c r="O188" s="47">
        <f ca="1">IF(L188&gt;0,N188*100/L188,0)</f>
        <v>43.225806451612904</v>
      </c>
      <c r="P188" s="47">
        <f ca="1">IF(M188&gt;0,N188*100/M188,0)</f>
        <v>27.685950413223139</v>
      </c>
      <c r="Q188" s="47">
        <f ca="1">Q191+Q194</f>
        <v>14000</v>
      </c>
      <c r="R188" s="47">
        <f ca="1">R191+R194</f>
        <v>14000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15500</v>
      </c>
      <c r="M189" s="47">
        <f ca="1">M190+M191</f>
        <v>24200</v>
      </c>
      <c r="N189" s="47">
        <f ca="1">N190+N191</f>
        <v>6700</v>
      </c>
      <c r="O189" s="47">
        <f ca="1">IF(L189&gt;0,N189*100/L189,0)</f>
        <v>43.225806451612904</v>
      </c>
      <c r="P189" s="47">
        <f ca="1">IF(M189&gt;0,N189*100/M189,0)</f>
        <v>27.685950413223139</v>
      </c>
      <c r="Q189" s="47">
        <f ca="1">Q190+Q191</f>
        <v>14000</v>
      </c>
      <c r="R189" s="47">
        <f ca="1">R190+R191</f>
        <v>14000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IFERROR(__xludf.DUMMYFUNCTION("IMPORTRANGE(""https://docs.google.com/spreadsheets/d/1-uDff_7J0KD5mKrp0Vvzr7lt3OU09vwQwhkpOPPYv2Y/edit?usp=sharing"",""งบพรบ!CU77"")"),15500)</f>
        <v>15500</v>
      </c>
      <c r="M191" s="47">
        <f ca="1">IFERROR(__xludf.DUMMYFUNCTION("IMPORTRANGE(""https://docs.google.com/spreadsheets/d/1-uDff_7J0KD5mKrp0Vvzr7lt3OU09vwQwhkpOPPYv2Y/edit?usp=sharing"",""งบพรบ!CZ77"")"),24200)</f>
        <v>24200</v>
      </c>
      <c r="N191" s="47">
        <f ca="1">IFERROR(__xludf.DUMMYFUNCTION("IMPORTRANGE(""https://docs.google.com/spreadsheets/d/1-uDff_7J0KD5mKrp0Vvzr7lt3OU09vwQwhkpOPPYv2Y/edit?usp=sharing"",""งบพรบ!DB77"")"),6700)</f>
        <v>6700</v>
      </c>
      <c r="O191" s="47">
        <f ca="1">IF(L191&gt;0,N191*100/L191,0)</f>
        <v>43.225806451612904</v>
      </c>
      <c r="P191" s="47">
        <f ca="1">IF(M191&gt;0,N191*100/M191,0)</f>
        <v>27.685950413223139</v>
      </c>
      <c r="Q191" s="47">
        <f ca="1">IFERROR(__xludf.DUMMYFUNCTION("IMPORTRANGE(""https://docs.google.com/spreadsheets/d/1ItG2mGa2ceCfYo0BwxsXqNm01IGEUdYcSSLTEv9YCik/edit?usp=sharing"",""เบิกจ่ายกองทุน!BQ77"")"),14000)</f>
        <v>14000</v>
      </c>
      <c r="R191" s="47">
        <f ca="1">IFERROR(__xludf.DUMMYFUNCTION("IMPORTRANGE(""https://docs.google.com/spreadsheets/d/1ItG2mGa2ceCfYo0BwxsXqNm01IGEUdYcSSLTEv9YCik/edit?usp=sharing"",""เบิกจ่ายกองทุน!BR77"")"),14000)</f>
        <v>14000</v>
      </c>
      <c r="S191" s="47">
        <f ca="1">IFERROR(__xludf.DUMMYFUNCTION("IMPORTRANGE(""https://docs.google.com/spreadsheets/d/1ItG2mGa2ceCfYo0BwxsXqNm01IGEUdYcSSLTEv9YCik/edit?usp=sharing"",""เบิกจ่ายกองทุน!BS77"")"),0)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IFERROR(__xludf.DUMMYFUNCTION("IMPORTRANGE(""https://docs.google.com/spreadsheets/d/1-uDff_7J0KD5mKrp0Vvzr7lt3OU09vwQwhkpOPPYv2Y/edit?usp=sharing"",""งบพรบ!CX77"")"),0)</f>
        <v>0</v>
      </c>
      <c r="M194" s="47">
        <f ca="1">IFERROR(__xludf.DUMMYFUNCTION("IMPORTRANGE(""https://docs.google.com/spreadsheets/d/1-uDff_7J0KD5mKrp0Vvzr7lt3OU09vwQwhkpOPPYv2Y/edit?usp=sharing"",""งบพรบ!DA77"")"),0)</f>
        <v>0</v>
      </c>
      <c r="N194" s="47">
        <f ca="1">IFERROR(__xludf.DUMMYFUNCTION("IMPORTRANGE(""https://docs.google.com/spreadsheets/d/1-uDff_7J0KD5mKrp0Vvzr7lt3OU09vwQwhkpOPPYv2Y/edit?usp=sharing"",""งบพรบ!DC77"")"),0)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IFERROR(__xludf.DUMMYFUNCTION("IMPORTRANGE(""https://docs.google.com/spreadsheets/d/1ItG2mGa2ceCfYo0BwxsXqNm01IGEUdYcSSLTEv9YCik/edit?usp=sharing"",""เบิกจ่ายกองทุน!BT77"")"),0)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IFERROR(__xludf.DUMMYFUNCTION("IMPORTRANGE(""https://docs.google.com/spreadsheets/d/1ItG2mGa2ceCfYo0BwxsXqNm01IGEUdYcSSLTEv9YCik/edit?usp=sharing"",""เบิกจ่ายกองทุน!BU77"")"),0)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IFERROR(__xludf.DUMMYFUNCTION("IMPORTRANGE(""https://docs.google.com/spreadsheets/d/1ItG2mGa2ceCfYo0BwxsXqNm01IGEUdYcSSLTEv9YCik/edit?usp=sharing"",""เบิกจ่ายกองทุน!BV77"")"),0)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87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IFERROR(__xludf.DUMMYFUNCTION("IMPORTRANGE(""https://docs.google.com/spreadsheets/d/1eHaY18a8A9IcSdp1K8H6x8fbOy06t2VsZHhMHf-1x7Y/edit?usp=sharing"",""แผน!AB77"")"),6000)</f>
        <v>6000</v>
      </c>
      <c r="M196" s="46"/>
      <c r="N196" s="769">
        <v>1440</v>
      </c>
      <c r="O196" s="132">
        <f ca="1">IF(L196&gt;0,N196*100/L196,0)</f>
        <v>24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IFERROR(__xludf.DUMMYFUNCTION("IMPORTRANGE(""https://docs.google.com/spreadsheets/d/1eHaY18a8A9IcSdp1K8H6x8fbOy06t2VsZHhMHf-1x7Y/edit?usp=sharing"",""แผน!AE77"")"),4)</f>
        <v>4</v>
      </c>
      <c r="J198" s="167">
        <v>2</v>
      </c>
      <c r="K198" s="47">
        <f ca="1">IF(I198&gt;0,J198*100/I198,0)</f>
        <v>50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72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72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1</v>
      </c>
      <c r="J202" s="228">
        <f>J209</f>
        <v>0</v>
      </c>
      <c r="K202" s="229">
        <f ca="1">IF(I202&gt;0,J202*100/I202,0)</f>
        <v>0</v>
      </c>
      <c r="L202" s="687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 t="e">
        <f ca="1">L204+L205+L206+L207</f>
        <v>#VALUE!</v>
      </c>
      <c r="M203" s="46"/>
      <c r="N203" s="132">
        <f>N204+N205+N206+N207</f>
        <v>0</v>
      </c>
      <c r="O203" s="132" t="e">
        <f ca="1">IF(L203&gt;0,N203*100/L203,0)</f>
        <v>#VALUE!</v>
      </c>
      <c r="P203" s="132">
        <f>IF(M203&gt;0,N203*100/M203,0)</f>
        <v>0</v>
      </c>
      <c r="Q203" s="768">
        <f ca="1">Q204+Q205+Q206+Q207</f>
        <v>14000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IFERROR(__xludf.DUMMYFUNCTION("IMPORTRANGE(""https://docs.google.com/spreadsheets/d/1eHaY18a8A9IcSdp1K8H6x8fbOy06t2VsZHhMHf-1x7Y/edit?usp=sharing"",""แผน!AG77"")"),1000)</f>
        <v>1000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IFERROR(__xludf.DUMMYFUNCTION("IMPORTRANGE(""https://docs.google.com/spreadsheets/d/1eHaY18a8A9IcSdp1K8H6x8fbOy06t2VsZHhMHf-1x7Y/edit?usp=sharing"",""แผน!AH77"")"),0)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 t="str">
        <f ca="1">IFERROR(__xludf.DUMMYFUNCTION("IMPORTRANGE(""https://docs.google.com/spreadsheets/d/1eHaY18a8A9IcSdp1K8H6x8fbOy06t2VsZHhMHf-1x7Y/edit?usp=sharing"",""แผน!AI77"")"),"")</f>
        <v/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IFERROR(__xludf.DUMMYFUNCTION("IMPORTRANGE(""https://docs.google.com/spreadsheets/d/1eHaY18a8A9IcSdp1K8H6x8fbOy06t2VsZHhMHf-1x7Y/edit?usp=sharing"",""แผน!LV77"")"),14000)</f>
        <v>14000</v>
      </c>
      <c r="R206" s="46"/>
      <c r="S206" s="743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IFERROR(__xludf.DUMMYFUNCTION("IMPORTRANGE(""https://docs.google.com/spreadsheets/d/1eHaY18a8A9IcSdp1K8H6x8fbOy06t2VsZHhMHf-1x7Y/edit?usp=sharing"",""แผน!AJ77"")"),4000)</f>
        <v>4000</v>
      </c>
      <c r="M207" s="46"/>
      <c r="N207" s="743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IFERROR(__xludf.DUMMYFUNCTION("IMPORTRANGE(""https://docs.google.com/spreadsheets/d/1eHaY18a8A9IcSdp1K8H6x8fbOy06t2VsZHhMHf-1x7Y/edit?usp=sharing"",""แผน!AK77"")"),1)</f>
        <v>1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IFERROR(__xludf.DUMMYFUNCTION("IMPORTRANGE(""https://docs.google.com/spreadsheets/d/1eHaY18a8A9IcSdp1K8H6x8fbOy06t2VsZHhMHf-1x7Y/edit?usp=sharing"",""แผน!JX77"")"),1)</f>
        <v>1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IFERROR(__xludf.DUMMYFUNCTION("IMPORTRANGE(""https://docs.google.com/spreadsheets/d/1eHaY18a8A9IcSdp1K8H6x8fbOy06t2VsZHhMHf-1x7Y/edit?usp=sharing"",""แผน!JY77"")"),0)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7"/>
      <c r="M213" s="230"/>
      <c r="N213" s="230"/>
      <c r="O213" s="230"/>
      <c r="P213" s="230"/>
      <c r="Q213" s="687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IFERROR(__xludf.DUMMYFUNCTION("IMPORTRANGE(""https://docs.google.com/spreadsheets/d/1eHaY18a8A9IcSdp1K8H6x8fbOy06t2VsZHhMHf-1x7Y/edit?usp=sharing"",""แผน!AM77"")"),0)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IFERROR(__xludf.DUMMYFUNCTION("IMPORTRANGE(""https://docs.google.com/spreadsheets/d/1eHaY18a8A9IcSdp1K8H6x8fbOy06t2VsZHhMHf-1x7Y/edit?usp=sharing"",""แผน!AN77"")"),0)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IFERROR(__xludf.DUMMYFUNCTION("IMPORTRANGE(""https://docs.google.com/spreadsheets/d/1eHaY18a8A9IcSdp1K8H6x8fbOy06t2VsZHhMHf-1x7Y/edit?usp=sharing"",""แผน!AO77"")"),0)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IFERROR(__xludf.DUMMYFUNCTION("IMPORTRANGE(""https://docs.google.com/spreadsheets/d/1eHaY18a8A9IcSdp1K8H6x8fbOy06t2VsZHhMHf-1x7Y/edit?usp=sharing"",""แผน!LY77"")"),0)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IFERROR(__xludf.DUMMYFUNCTION("IMPORTRANGE(""https://docs.google.com/spreadsheets/d/1eHaY18a8A9IcSdp1K8H6x8fbOy06t2VsZHhMHf-1x7Y/edit?usp=sharing"",""แผน!AP77"")"),0)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IFERROR(__xludf.DUMMYFUNCTION("IMPORTRANGE(""https://docs.google.com/spreadsheets/d/1eHaY18a8A9IcSdp1K8H6x8fbOy06t2VsZHhMHf-1x7Y/edit?usp=sharing"",""แผน!AP77"")"),0)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0</v>
      </c>
      <c r="K221" s="229">
        <f ca="1">IF(I221&gt;0,J221*100/I221,0)</f>
        <v>0</v>
      </c>
      <c r="L221" s="687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IFERROR(__xludf.DUMMYFUNCTION("IMPORTRANGE(""https://docs.google.com/spreadsheets/d/1eHaY18a8A9IcSdp1K8H6x8fbOy06t2VsZHhMHf-1x7Y/edit?usp=sharing"",""แผน!AR77"")"),3000)</f>
        <v>3000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IFERROR(__xludf.DUMMYFUNCTION("IMPORTRANGE(""https://docs.google.com/spreadsheets/d/1eHaY18a8A9IcSdp1K8H6x8fbOy06t2VsZHhMHf-1x7Y/edit?usp=sharing"",""แผน!AS77"")"),1500)</f>
        <v>1500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IFERROR(__xludf.DUMMYFUNCTION("IMPORTRANGE(""https://docs.google.com/spreadsheets/d/1eHaY18a8A9IcSdp1K8H6x8fbOy06t2VsZHhMHf-1x7Y/edit?usp=sharing"",""แผน!AT77"")"),0)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IFERROR(__xludf.DUMMYFUNCTION("IMPORTRANGE(""https://docs.google.com/spreadsheets/d/1eHaY18a8A9IcSdp1K8H6x8fbOy06t2VsZHhMHf-1x7Y/edit?usp=sharing"",""แผน!AV77"")"),10000)</f>
        <v>10000</v>
      </c>
      <c r="J228" s="167">
        <v>10000</v>
      </c>
      <c r="K228" s="153">
        <f ca="1">IF(I228&gt;0,J228*100/I228,0)</f>
        <v>100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IFERROR(__xludf.DUMMYFUNCTION("IMPORTRANGE(""https://docs.google.com/spreadsheets/d/1eHaY18a8A9IcSdp1K8H6x8fbOy06t2VsZHhMHf-1x7Y/edit?usp=sharing"",""แผน!AV77"")"),10000)</f>
        <v>10000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IFERROR(__xludf.DUMMYFUNCTION("IMPORTRANGE(""https://docs.google.com/spreadsheets/d/1eHaY18a8A9IcSdp1K8H6x8fbOy06t2VsZHhMHf-1x7Y/edit?usp=sharing"",""แผน!AU77"")"),0)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7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1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765"/>
      <c r="B242" s="764"/>
      <c r="C242" s="749" t="s">
        <v>111</v>
      </c>
      <c r="D242" s="763"/>
      <c r="E242" s="763"/>
      <c r="F242" s="763"/>
      <c r="G242" s="762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7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623"/>
      <c r="B243" s="622"/>
      <c r="C243" s="745" t="s">
        <v>18</v>
      </c>
      <c r="D243" s="560" t="s">
        <v>19</v>
      </c>
      <c r="E243" s="622"/>
      <c r="F243" s="622"/>
      <c r="G243" s="621"/>
      <c r="H243" s="490" t="s">
        <v>14</v>
      </c>
      <c r="I243" s="620"/>
      <c r="J243" s="620"/>
      <c r="K243" s="619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623"/>
      <c r="B244" s="756"/>
      <c r="C244" s="622"/>
      <c r="D244" s="157" t="s">
        <v>86</v>
      </c>
      <c r="E244" s="622"/>
      <c r="F244" s="622"/>
      <c r="G244" s="621"/>
      <c r="H244" s="160" t="s">
        <v>14</v>
      </c>
      <c r="I244" s="620"/>
      <c r="J244" s="620"/>
      <c r="K244" s="619"/>
      <c r="L244" s="548">
        <f ca="1">IFERROR(__xludf.DUMMYFUNCTION("IMPORTRANGE(""https://docs.google.com/spreadsheets/d/1eHaY18a8A9IcSdp1K8H6x8fbOy06t2VsZHhMHf-1x7Y/edit?usp=sharing"",""แผน!AX77"")"),0)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757"/>
      <c r="B245" s="756"/>
      <c r="C245" s="756"/>
      <c r="D245" s="157" t="s">
        <v>88</v>
      </c>
      <c r="E245" s="622"/>
      <c r="F245" s="622"/>
      <c r="G245" s="621"/>
      <c r="H245" s="160" t="s">
        <v>14</v>
      </c>
      <c r="I245" s="626"/>
      <c r="J245" s="626"/>
      <c r="K245" s="625"/>
      <c r="L245" s="548">
        <f ca="1">IFERROR(__xludf.DUMMYFUNCTION("IMPORTRANGE(""https://docs.google.com/spreadsheets/d/1eHaY18a8A9IcSdp1K8H6x8fbOy06t2VsZHhMHf-1x7Y/edit?usp=sharing"",""แผน!AY77"")"),0)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757"/>
      <c r="B246" s="756"/>
      <c r="C246" s="756"/>
      <c r="D246" s="157" t="s">
        <v>106</v>
      </c>
      <c r="E246" s="622"/>
      <c r="F246" s="622"/>
      <c r="G246" s="621"/>
      <c r="H246" s="160" t="s">
        <v>14</v>
      </c>
      <c r="I246" s="626"/>
      <c r="J246" s="626"/>
      <c r="K246" s="625"/>
      <c r="L246" s="548">
        <f ca="1">IFERROR(__xludf.DUMMYFUNCTION("IMPORTRANGE(""https://docs.google.com/spreadsheets/d/1eHaY18a8A9IcSdp1K8H6x8fbOy06t2VsZHhMHf-1x7Y/edit?usp=sharing"",""แผน!AZ77"")"),0)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757"/>
      <c r="B247" s="756"/>
      <c r="C247" s="756"/>
      <c r="D247" s="157" t="s">
        <v>107</v>
      </c>
      <c r="E247" s="622"/>
      <c r="F247" s="622"/>
      <c r="G247" s="621"/>
      <c r="H247" s="160" t="s">
        <v>14</v>
      </c>
      <c r="I247" s="626"/>
      <c r="J247" s="626"/>
      <c r="K247" s="625"/>
      <c r="L247" s="548">
        <f ca="1">IFERROR(__xludf.DUMMYFUNCTION("IMPORTRANGE(""https://docs.google.com/spreadsheets/d/1eHaY18a8A9IcSdp1K8H6x8fbOy06t2VsZHhMHf-1x7Y/edit?usp=sharing"",""แผน!BA77"")"),0)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753"/>
      <c r="B248" s="752"/>
      <c r="C248" s="742" t="s">
        <v>18</v>
      </c>
      <c r="D248" s="581" t="s">
        <v>38</v>
      </c>
      <c r="E248" s="755"/>
      <c r="F248" s="755"/>
      <c r="G248" s="754"/>
      <c r="H248" s="750"/>
      <c r="I248" s="620"/>
      <c r="J248" s="626"/>
      <c r="K248" s="625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753"/>
      <c r="B249" s="752"/>
      <c r="C249" s="752"/>
      <c r="D249" s="190" t="s">
        <v>108</v>
      </c>
      <c r="E249" s="751"/>
      <c r="F249" s="751"/>
      <c r="G249" s="750"/>
      <c r="H249" s="739" t="s">
        <v>35</v>
      </c>
      <c r="I249" s="495">
        <f ca="1">IFERROR(__xludf.DUMMYFUNCTION("IMPORTRANGE(""https://docs.google.com/spreadsheets/d/1eHaY18a8A9IcSdp1K8H6x8fbOy06t2VsZHhMHf-1x7Y/edit?usp=sharing"",""แผน!BG77"")"),0)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753"/>
      <c r="B250" s="752"/>
      <c r="C250" s="752"/>
      <c r="D250" s="741" t="s">
        <v>43</v>
      </c>
      <c r="E250" s="751"/>
      <c r="F250" s="751"/>
      <c r="G250" s="750"/>
      <c r="H250" s="750"/>
      <c r="I250" s="626"/>
      <c r="J250" s="626"/>
      <c r="K250" s="625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753"/>
      <c r="B251" s="752"/>
      <c r="C251" s="752"/>
      <c r="D251" s="752"/>
      <c r="E251" s="740" t="s">
        <v>109</v>
      </c>
      <c r="F251" s="751"/>
      <c r="G251" s="750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753"/>
      <c r="B252" s="752"/>
      <c r="C252" s="752"/>
      <c r="D252" s="752"/>
      <c r="E252" s="740" t="s">
        <v>110</v>
      </c>
      <c r="F252" s="751"/>
      <c r="G252" s="750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765"/>
      <c r="B253" s="764"/>
      <c r="C253" s="749" t="s">
        <v>112</v>
      </c>
      <c r="D253" s="763"/>
      <c r="E253" s="763"/>
      <c r="F253" s="763"/>
      <c r="G253" s="762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7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623"/>
      <c r="B254" s="622"/>
      <c r="C254" s="745" t="s">
        <v>18</v>
      </c>
      <c r="D254" s="744" t="s">
        <v>19</v>
      </c>
      <c r="E254" s="622"/>
      <c r="F254" s="622"/>
      <c r="G254" s="621"/>
      <c r="H254" s="490" t="s">
        <v>14</v>
      </c>
      <c r="I254" s="620"/>
      <c r="J254" s="620"/>
      <c r="K254" s="619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623"/>
      <c r="B255" s="756"/>
      <c r="C255" s="622"/>
      <c r="D255" s="157" t="s">
        <v>86</v>
      </c>
      <c r="E255" s="622"/>
      <c r="F255" s="622"/>
      <c r="G255" s="621"/>
      <c r="H255" s="160" t="s">
        <v>14</v>
      </c>
      <c r="I255" s="620"/>
      <c r="J255" s="620"/>
      <c r="K255" s="619"/>
      <c r="L255" s="548">
        <f ca="1">IFERROR(__xludf.DUMMYFUNCTION("IMPORTRANGE(""https://docs.google.com/spreadsheets/d/1eHaY18a8A9IcSdp1K8H6x8fbOy06t2VsZHhMHf-1x7Y/edit?usp=sharing"",""แผน!BB77"")"),0)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757"/>
      <c r="B256" s="756"/>
      <c r="C256" s="756"/>
      <c r="D256" s="157" t="s">
        <v>88</v>
      </c>
      <c r="E256" s="622"/>
      <c r="F256" s="622"/>
      <c r="G256" s="621"/>
      <c r="H256" s="160" t="s">
        <v>14</v>
      </c>
      <c r="I256" s="626"/>
      <c r="J256" s="626"/>
      <c r="K256" s="625"/>
      <c r="L256" s="548">
        <f ca="1">IFERROR(__xludf.DUMMYFUNCTION("IMPORTRANGE(""https://docs.google.com/spreadsheets/d/1eHaY18a8A9IcSdp1K8H6x8fbOy06t2VsZHhMHf-1x7Y/edit?usp=sharing"",""แผน!BC77"")"),0)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757"/>
      <c r="B257" s="756"/>
      <c r="C257" s="756"/>
      <c r="D257" s="157" t="s">
        <v>106</v>
      </c>
      <c r="E257" s="622"/>
      <c r="F257" s="622"/>
      <c r="G257" s="621"/>
      <c r="H257" s="160" t="s">
        <v>14</v>
      </c>
      <c r="I257" s="626"/>
      <c r="J257" s="626"/>
      <c r="K257" s="625"/>
      <c r="L257" s="548">
        <f ca="1">IFERROR(__xludf.DUMMYFUNCTION("IMPORTRANGE(""https://docs.google.com/spreadsheets/d/1eHaY18a8A9IcSdp1K8H6x8fbOy06t2VsZHhMHf-1x7Y/edit?usp=sharing"",""แผน!BD77"")"),0)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757"/>
      <c r="B258" s="756"/>
      <c r="C258" s="756"/>
      <c r="D258" s="157" t="s">
        <v>107</v>
      </c>
      <c r="E258" s="622"/>
      <c r="F258" s="622"/>
      <c r="G258" s="621"/>
      <c r="H258" s="160" t="s">
        <v>14</v>
      </c>
      <c r="I258" s="626"/>
      <c r="J258" s="626"/>
      <c r="K258" s="625"/>
      <c r="L258" s="548">
        <f ca="1">IFERROR(__xludf.DUMMYFUNCTION("IMPORTRANGE(""https://docs.google.com/spreadsheets/d/1eHaY18a8A9IcSdp1K8H6x8fbOy06t2VsZHhMHf-1x7Y/edit?usp=sharing"",""แผน!BE77"")"),0)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753"/>
      <c r="B259" s="752"/>
      <c r="C259" s="742" t="s">
        <v>18</v>
      </c>
      <c r="D259" s="581" t="s">
        <v>38</v>
      </c>
      <c r="E259" s="755"/>
      <c r="F259" s="755"/>
      <c r="G259" s="754"/>
      <c r="H259" s="750"/>
      <c r="I259" s="620"/>
      <c r="J259" s="626"/>
      <c r="K259" s="625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753"/>
      <c r="B260" s="752"/>
      <c r="C260" s="752"/>
      <c r="D260" s="190" t="s">
        <v>108</v>
      </c>
      <c r="E260" s="751"/>
      <c r="F260" s="751"/>
      <c r="G260" s="750"/>
      <c r="H260" s="739" t="s">
        <v>35</v>
      </c>
      <c r="I260" s="495">
        <f ca="1">IFERROR(__xludf.DUMMYFUNCTION("IMPORTRANGE(""https://docs.google.com/spreadsheets/d/1eHaY18a8A9IcSdp1K8H6x8fbOy06t2VsZHhMHf-1x7Y/edit?usp=sharing"",""แผน!BH77"")"),0)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753"/>
      <c r="B261" s="752"/>
      <c r="C261" s="752"/>
      <c r="D261" s="741" t="s">
        <v>43</v>
      </c>
      <c r="E261" s="751"/>
      <c r="F261" s="751"/>
      <c r="G261" s="750"/>
      <c r="H261" s="750"/>
      <c r="I261" s="626"/>
      <c r="J261" s="626"/>
      <c r="K261" s="625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753"/>
      <c r="B262" s="752"/>
      <c r="C262" s="752"/>
      <c r="D262" s="752"/>
      <c r="E262" s="740" t="s">
        <v>109</v>
      </c>
      <c r="F262" s="751"/>
      <c r="G262" s="750"/>
      <c r="H262" s="739" t="s">
        <v>35</v>
      </c>
      <c r="I262" s="626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753"/>
      <c r="B263" s="752"/>
      <c r="C263" s="752"/>
      <c r="D263" s="752"/>
      <c r="E263" s="740" t="s">
        <v>110</v>
      </c>
      <c r="F263" s="751"/>
      <c r="G263" s="750"/>
      <c r="H263" s="739" t="s">
        <v>61</v>
      </c>
      <c r="I263" s="626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22</v>
      </c>
      <c r="K265" s="725">
        <f ca="1">IF(I265&gt;0,J265*100/I265,0)</f>
        <v>100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618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0</v>
      </c>
      <c r="O266" s="421">
        <f ca="1">IF(L266&gt;0,N266*100/L266,0)</f>
        <v>0</v>
      </c>
      <c r="P266" s="421">
        <f ca="1">IF(M266&gt;0,N266*100/M266,0)</f>
        <v>0</v>
      </c>
      <c r="Q266" s="421">
        <f ca="1">Q267+Q268</f>
        <v>50660</v>
      </c>
      <c r="R266" s="421">
        <f ca="1">R267+R268</f>
        <v>50660</v>
      </c>
      <c r="S266" s="421">
        <f ca="1">S267+S268</f>
        <v>37760</v>
      </c>
      <c r="T266" s="421">
        <f ca="1">IF(Q266&gt;0,S266*100/Q266,0)</f>
        <v>74.53612317410186</v>
      </c>
      <c r="U266" s="421">
        <f ca="1">IF(R266&gt;0,S266*100/R266,0)</f>
        <v>74.53612317410186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0</v>
      </c>
      <c r="O268" s="331">
        <f ca="1">IF(L268&gt;0,N268*100/L268,0)</f>
        <v>0</v>
      </c>
      <c r="P268" s="331">
        <f ca="1">IF(M268&gt;0,N268*100/M268,0)</f>
        <v>0</v>
      </c>
      <c r="Q268" s="331">
        <f ca="1">Q271+Q274</f>
        <v>50660</v>
      </c>
      <c r="R268" s="331">
        <f ca="1">R271+R274</f>
        <v>50660</v>
      </c>
      <c r="S268" s="331">
        <f ca="1">S271+S274</f>
        <v>37760</v>
      </c>
      <c r="T268" s="331">
        <f ca="1">IF(Q268&gt;0,S268*100/Q268,0)</f>
        <v>74.53612317410186</v>
      </c>
      <c r="U268" s="331">
        <f ca="1">IF(R268&gt;0,S268*100/R268,0)</f>
        <v>74.53612317410186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0</v>
      </c>
      <c r="O269" s="331">
        <f ca="1">IF(L269&gt;0,N269*100/L269,0)</f>
        <v>0</v>
      </c>
      <c r="P269" s="331">
        <f ca="1">IF(M269&gt;0,N269*100/M269,0)</f>
        <v>0</v>
      </c>
      <c r="Q269" s="331">
        <f ca="1">Q270+Q271</f>
        <v>50660</v>
      </c>
      <c r="R269" s="331">
        <f ca="1">R270+R271</f>
        <v>50660</v>
      </c>
      <c r="S269" s="331">
        <f ca="1">S270+S271</f>
        <v>37760</v>
      </c>
      <c r="T269" s="331">
        <f ca="1">IF(Q269&gt;0,S269*100/Q269,0)</f>
        <v>74.53612317410186</v>
      </c>
      <c r="U269" s="331">
        <f ca="1">IF(R269&gt;0,S269*100/R269,0)</f>
        <v>74.53612317410186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IFERROR(__xludf.DUMMYFUNCTION("IMPORTRANGE(""https://docs.google.com/spreadsheets/d/1-uDff_7J0KD5mKrp0Vvzr7lt3OU09vwQwhkpOPPYv2Y/edit?usp=sharing"",""งบพรบ!DE77"")"),5000)</f>
        <v>5000</v>
      </c>
      <c r="M271" s="331">
        <f ca="1">IFERROR(__xludf.DUMMYFUNCTION("IMPORTRANGE(""https://docs.google.com/spreadsheets/d/1-uDff_7J0KD5mKrp0Vvzr7lt3OU09vwQwhkpOPPYv2Y/edit?usp=sharing"",""งบพรบ!DJ77"")"),5000)</f>
        <v>5000</v>
      </c>
      <c r="N271" s="331">
        <f ca="1">IFERROR(__xludf.DUMMYFUNCTION("IMPORTRANGE(""https://docs.google.com/spreadsheets/d/1-uDff_7J0KD5mKrp0Vvzr7lt3OU09vwQwhkpOPPYv2Y/edit?usp=sharing"",""งบพรบ!DL77"")"),0)</f>
        <v>0</v>
      </c>
      <c r="O271" s="331">
        <f ca="1">IF(L271&gt;0,N271*100/L271,0)</f>
        <v>0</v>
      </c>
      <c r="P271" s="331">
        <f ca="1">IF(M271&gt;0,N271*100/M271,0)</f>
        <v>0</v>
      </c>
      <c r="Q271" s="331">
        <f ca="1">IFERROR(__xludf.DUMMYFUNCTION("IMPORTRANGE(""https://docs.google.com/spreadsheets/d/1ItG2mGa2ceCfYo0BwxsXqNm01IGEUdYcSSLTEv9YCik/edit?usp=sharing"",""เบิกจ่ายกองทุน!AP77"")"),50660)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IFERROR(__xludf.DUMMYFUNCTION("IMPORTRANGE(""https://docs.google.com/spreadsheets/d/1ItG2mGa2ceCfYo0BwxsXqNm01IGEUdYcSSLTEv9YCik/edit?usp=sharing"",""เบิกจ่ายกองทุน!AQ77"")"),50660)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IFERROR(__xludf.DUMMYFUNCTION("IMPORTRANGE(""https://docs.google.com/spreadsheets/d/1ItG2mGa2ceCfYo0BwxsXqNm01IGEUdYcSSLTEv9YCik/edit?usp=sharing"",""เบิกจ่ายกองทุน!AR77"")"),37760)</f>
        <v>37760</v>
      </c>
      <c r="T271" s="331">
        <f ca="1">IF(Q271&gt;0,S271*100/Q271,0)</f>
        <v>74.53612317410186</v>
      </c>
      <c r="U271" s="331">
        <f ca="1">IF(R271&gt;0,S271*100/R271,0)</f>
        <v>74.53612317410186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IFERROR(__xludf.DUMMYFUNCTION("IMPORTRANGE(""https://docs.google.com/spreadsheets/d/1-uDff_7J0KD5mKrp0Vvzr7lt3OU09vwQwhkpOPPYv2Y/edit?usp=sharing"",""งบพรบ!DH77"")"),0)</f>
        <v>0</v>
      </c>
      <c r="M274" s="331">
        <f ca="1">IFERROR(__xludf.DUMMYFUNCTION("IMPORTRANGE(""https://docs.google.com/spreadsheets/d/1-uDff_7J0KD5mKrp0Vvzr7lt3OU09vwQwhkpOPPYv2Y/edit?usp=sharing"",""งบพรบ!DK77"")"),0)</f>
        <v>0</v>
      </c>
      <c r="N274" s="331">
        <f ca="1">IFERROR(__xludf.DUMMYFUNCTION("IMPORTRANGE(""https://docs.google.com/spreadsheets/d/1-uDff_7J0KD5mKrp0Vvzr7lt3OU09vwQwhkpOPPYv2Y/edit?usp=sharing"",""งบพรบ!DM77"")"),0)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423" t="s">
        <v>18</v>
      </c>
      <c r="D275" s="617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IFERROR(__xludf.DUMMYFUNCTION("IMPORTRANGE(""https://docs.google.com/spreadsheets/d/1eHaY18a8A9IcSdp1K8H6x8fbOy06t2VsZHhMHf-1x7Y/edit?usp=sharing"",""แผน!EC77"")"),22)</f>
        <v>22</v>
      </c>
      <c r="J276" s="175">
        <v>22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833"/>
      <c r="B277" s="832"/>
      <c r="C277" s="832"/>
      <c r="D277" s="716" t="s">
        <v>116</v>
      </c>
      <c r="E277" s="831"/>
      <c r="F277" s="831"/>
      <c r="G277" s="830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IFERROR(__xludf.DUMMYFUNCTION("IMPORTRANGE(""https://docs.google.com/spreadsheets/d/1-uDff_7J0KD5mKrp0Vvzr7lt3OU09vwQwhkpOPPYv2Y/edit?usp=sharing"",""งบพรบ!DO77"")"),0)</f>
        <v>0</v>
      </c>
      <c r="M287" s="47">
        <f ca="1">IFERROR(__xludf.DUMMYFUNCTION("IMPORTRANGE(""https://docs.google.com/spreadsheets/d/1-uDff_7J0KD5mKrp0Vvzr7lt3OU09vwQwhkpOPPYv2Y/edit?usp=sharing"",""งบพรบ!DT77"")"),0)</f>
        <v>0</v>
      </c>
      <c r="N287" s="47">
        <f ca="1">IFERROR(__xludf.DUMMYFUNCTION("IMPORTRANGE(""https://docs.google.com/spreadsheets/d/1-uDff_7J0KD5mKrp0Vvzr7lt3OU09vwQwhkpOPPYv2Y/edit?usp=sharing"",""งบพรบ!DV77"")"),0)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IFERROR(__xludf.DUMMYFUNCTION("IMPORTRANGE(""https://docs.google.com/spreadsheets/d/1-uDff_7J0KD5mKrp0Vvzr7lt3OU09vwQwhkpOPPYv2Y/edit?usp=sharing"",""งบพรบ!DR77"")"),0)</f>
        <v>0</v>
      </c>
      <c r="M290" s="47">
        <f ca="1">IFERROR(__xludf.DUMMYFUNCTION("IMPORTRANGE(""https://docs.google.com/spreadsheets/d/1-uDff_7J0KD5mKrp0Vvzr7lt3OU09vwQwhkpOPPYv2Y/edit?usp=sharing"",""งบพรบ!DU77"")"),0)</f>
        <v>0</v>
      </c>
      <c r="N290" s="47">
        <f ca="1">IFERROR(__xludf.DUMMYFUNCTION("IMPORTRANGE(""https://docs.google.com/spreadsheets/d/1-uDff_7J0KD5mKrp0Vvzr7lt3OU09vwQwhkpOPPYv2Y/edit?usp=sharing"",""งบพรบ!DW77"")"),0)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IFERROR(__xludf.DUMMYFUNCTION("IMPORTRANGE(""https://docs.google.com/spreadsheets/d/1eHaY18a8A9IcSdp1K8H6x8fbOy06t2VsZHhMHf-1x7Y/edit?usp=sharing"",""แผน!EE77"")"),0)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IFERROR(__xludf.DUMMYFUNCTION("IMPORTRANGE(""https://docs.google.com/spreadsheets/d/1eHaY18a8A9IcSdp1K8H6x8fbOy06t2VsZHhMHf-1x7Y/edit?usp=sharing"",""แผน!ED77"")"),0)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IFERROR(__xludf.DUMMYFUNCTION("IMPORTRANGE(""https://docs.google.com/spreadsheets/d/1eHaY18a8A9IcSdp1K8H6x8fbOy06t2VsZHhMHf-1x7Y/edit?usp=sharing"",""แผน!ED77"")"),0)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IFERROR(__xludf.DUMMYFUNCTION("IMPORTRANGE(""https://docs.google.com/spreadsheets/d/1eHaY18a8A9IcSdp1K8H6x8fbOy06t2VsZHhMHf-1x7Y/edit?usp=sharing"",""แผน!ED77"")"),0)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1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1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700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9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229336.17</v>
      </c>
      <c r="R303" s="132">
        <f ca="1">R304+R305</f>
        <v>229336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229336.17</v>
      </c>
      <c r="R305" s="47">
        <f ca="1">R308+R311</f>
        <v>229336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229336.17</v>
      </c>
      <c r="R306" s="47">
        <f ca="1">R307+R308</f>
        <v>229336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IFERROR(__xludf.DUMMYFUNCTION("IMPORTRANGE(""https://docs.google.com/spreadsheets/d/1-uDff_7J0KD5mKrp0Vvzr7lt3OU09vwQwhkpOPPYv2Y/edit?usp=sharing"",""งบพรบ!DY77"")"),0)</f>
        <v>0</v>
      </c>
      <c r="M308" s="47">
        <f ca="1">IFERROR(__xludf.DUMMYFUNCTION("IMPORTRANGE(""https://docs.google.com/spreadsheets/d/1-uDff_7J0KD5mKrp0Vvzr7lt3OU09vwQwhkpOPPYv2Y/edit?usp=sharing"",""งบพรบ!ED77"")"),0)</f>
        <v>0</v>
      </c>
      <c r="N308" s="47">
        <f ca="1">IFERROR(__xludf.DUMMYFUNCTION("IMPORTRANGE(""https://docs.google.com/spreadsheets/d/1-uDff_7J0KD5mKrp0Vvzr7lt3OU09vwQwhkpOPPYv2Y/edit?usp=sharing"",""งบพรบ!EF77"")"),0)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IFERROR(__xludf.DUMMYFUNCTION("IMPORTRANGE(""https://docs.google.com/spreadsheets/d/1ItG2mGa2ceCfYo0BwxsXqNm01IGEUdYcSSLTEv9YCik/edit?usp=sharing"",""เบิกจ่ายกองทุน!BB77"")"),229336.17)</f>
        <v>229336.17</v>
      </c>
      <c r="R308" s="47">
        <f ca="1">IFERROR(__xludf.DUMMYFUNCTION("IMPORTRANGE(""https://docs.google.com/spreadsheets/d/1ItG2mGa2ceCfYo0BwxsXqNm01IGEUdYcSSLTEv9YCik/edit?usp=sharing"",""เบิกจ่ายกองทุน!BC77"")"),229336)</f>
        <v>229336</v>
      </c>
      <c r="S308" s="47">
        <f ca="1">IFERROR(__xludf.DUMMYFUNCTION("IMPORTRANGE(""https://docs.google.com/spreadsheets/d/1ItG2mGa2ceCfYo0BwxsXqNm01IGEUdYcSSLTEv9YCik/edit?usp=sharing"",""เบิกจ่ายกองทุน!BD77"")"),0)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IFERROR(__xludf.DUMMYFUNCTION("IMPORTRANGE(""https://docs.google.com/spreadsheets/d/1-uDff_7J0KD5mKrp0Vvzr7lt3OU09vwQwhkpOPPYv2Y/edit?usp=sharing"",""งบพรบ!EB77"")"),0)</f>
        <v>0</v>
      </c>
      <c r="M311" s="47">
        <f ca="1">IFERROR(__xludf.DUMMYFUNCTION("IMPORTRANGE(""https://docs.google.com/spreadsheets/d/1-uDff_7J0KD5mKrp0Vvzr7lt3OU09vwQwhkpOPPYv2Y/edit?usp=sharing"",""งบพรบ!EE77"")"),0)</f>
        <v>0</v>
      </c>
      <c r="N311" s="47">
        <f ca="1">IFERROR(__xludf.DUMMYFUNCTION("IMPORTRANGE(""https://docs.google.com/spreadsheets/d/1-uDff_7J0KD5mKrp0Vvzr7lt3OU09vwQwhkpOPPYv2Y/edit?usp=sharing"",""งบพรบ!EG77"")"),0)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9"/>
      <c r="E313" s="19"/>
      <c r="F313" s="19"/>
      <c r="G313" s="20"/>
      <c r="H313" s="20"/>
      <c r="I313" s="21"/>
      <c r="J313" s="707"/>
      <c r="K313" s="22"/>
      <c r="L313" s="701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IFERROR(__xludf.DUMMYFUNCTION("IMPORTRANGE(""https://docs.google.com/spreadsheets/d/1eHaY18a8A9IcSdp1K8H6x8fbOy06t2VsZHhMHf-1x7Y/edit?usp=sharing"",""แผน!EF77"")"),25)</f>
        <v>25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9"/>
      <c r="E315" s="19"/>
      <c r="F315" s="19"/>
      <c r="G315" s="20"/>
      <c r="H315" s="708"/>
      <c r="I315" s="707"/>
      <c r="J315" s="707"/>
      <c r="K315" s="706"/>
      <c r="L315" s="701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9"/>
      <c r="E316" s="19"/>
      <c r="F316" s="19"/>
      <c r="G316" s="20"/>
      <c r="H316" s="708"/>
      <c r="I316" s="707"/>
      <c r="J316" s="707"/>
      <c r="K316" s="706"/>
      <c r="L316" s="701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5"/>
      <c r="E317" s="19"/>
      <c r="F317" s="19"/>
      <c r="G317" s="20"/>
      <c r="H317" s="704"/>
      <c r="I317" s="703"/>
      <c r="J317" s="703"/>
      <c r="K317" s="702"/>
      <c r="L317" s="701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700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IFERROR(__xludf.DUMMYFUNCTION("IMPORTRANGE(""https://docs.google.com/spreadsheets/d/1-uDff_7J0KD5mKrp0Vvzr7lt3OU09vwQwhkpOPPYv2Y/edit?usp=sharing"",""งบพรบ!EI77"")"),0)</f>
        <v>0</v>
      </c>
      <c r="M325" s="47">
        <f ca="1">IFERROR(__xludf.DUMMYFUNCTION("IMPORTRANGE(""https://docs.google.com/spreadsheets/d/1-uDff_7J0KD5mKrp0Vvzr7lt3OU09vwQwhkpOPPYv2Y/edit?usp=sharing"",""งบพรบ!EN77"")"),0)</f>
        <v>0</v>
      </c>
      <c r="N325" s="47">
        <f ca="1">IFERROR(__xludf.DUMMYFUNCTION("IMPORTRANGE(""https://docs.google.com/spreadsheets/d/1-uDff_7J0KD5mKrp0Vvzr7lt3OU09vwQwhkpOPPYv2Y/edit?usp=sharing"",""งบพรบ!EP77"")"),0)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IFERROR(__xludf.DUMMYFUNCTION("IMPORTRANGE(""https://docs.google.com/spreadsheets/d/1-uDff_7J0KD5mKrp0Vvzr7lt3OU09vwQwhkpOPPYv2Y/edit?usp=sharing"",""งบพรบ!EL77"")"),0)</f>
        <v>0</v>
      </c>
      <c r="M328" s="47">
        <f ca="1">IFERROR(__xludf.DUMMYFUNCTION("IMPORTRANGE(""https://docs.google.com/spreadsheets/d/1-uDff_7J0KD5mKrp0Vvzr7lt3OU09vwQwhkpOPPYv2Y/edit?usp=sharing"",""งบพรบ!EO77"")"),0)</f>
        <v>0</v>
      </c>
      <c r="N328" s="47">
        <f ca="1">IFERROR(__xludf.DUMMYFUNCTION("IMPORTRANGE(""https://docs.google.com/spreadsheets/d/1-uDff_7J0KD5mKrp0Vvzr7lt3OU09vwQwhkpOPPYv2Y/edit?usp=sharing"",""งบพรบ!EQ77"")"),0)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IFERROR(__xludf.DUMMYFUNCTION("IMPORTRANGE(""https://docs.google.com/spreadsheets/d/1eHaY18a8A9IcSdp1K8H6x8fbOy06t2VsZHhMHf-1x7Y/edit?usp=sharing"",""แผน!EJ77"")"),0)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700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9">
        <f ca="1">I344</f>
        <v>1140</v>
      </c>
      <c r="J332" s="698">
        <f ca="1">J344+J347+J348+J349+J353</f>
        <v>4422</v>
      </c>
      <c r="K332" s="697">
        <f ca="1">IF(I332&gt;0,J332*100/I332,0)</f>
        <v>387.89473684210526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9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181000</v>
      </c>
      <c r="M333" s="132">
        <f ca="1">M334+M335</f>
        <v>181000</v>
      </c>
      <c r="N333" s="132">
        <f ca="1">N334+N335</f>
        <v>110309.78</v>
      </c>
      <c r="O333" s="132">
        <f ca="1">IF(L333&gt;0,N333*100/L333,0)</f>
        <v>60.944629834254144</v>
      </c>
      <c r="P333" s="132">
        <f ca="1">IF(M333&gt;0,N333*100/M333,0)</f>
        <v>60.944629834254144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181000</v>
      </c>
      <c r="M335" s="47">
        <f ca="1">M338+M341</f>
        <v>181000</v>
      </c>
      <c r="N335" s="47">
        <f ca="1">N338+N341</f>
        <v>110309.78</v>
      </c>
      <c r="O335" s="47">
        <f ca="1">IF(L335&gt;0,N335*100/L335,0)</f>
        <v>60.944629834254144</v>
      </c>
      <c r="P335" s="47">
        <f ca="1">IF(M335&gt;0,N335*100/M335,0)</f>
        <v>60.944629834254144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181000</v>
      </c>
      <c r="M336" s="47">
        <f ca="1">M337+M338</f>
        <v>181000</v>
      </c>
      <c r="N336" s="47">
        <f ca="1">N337+N338</f>
        <v>110309.78</v>
      </c>
      <c r="O336" s="47">
        <f ca="1">IF(L336&gt;0,N336*100/L336,0)</f>
        <v>60.944629834254144</v>
      </c>
      <c r="P336" s="47">
        <f ca="1">IF(M336&gt;0,N336*100/M336,0)</f>
        <v>60.944629834254144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IFERROR(__xludf.DUMMYFUNCTION("IMPORTRANGE(""https://docs.google.com/spreadsheets/d/1-uDff_7J0KD5mKrp0Vvzr7lt3OU09vwQwhkpOPPYv2Y/edit?usp=sharing"",""งบพรบ!ES77"")"),181000)</f>
        <v>181000</v>
      </c>
      <c r="M338" s="47">
        <f ca="1">IFERROR(__xludf.DUMMYFUNCTION("IMPORTRANGE(""https://docs.google.com/spreadsheets/d/1-uDff_7J0KD5mKrp0Vvzr7lt3OU09vwQwhkpOPPYv2Y/edit?usp=sharing"",""งบพรบ!EX77"")"),181000)</f>
        <v>181000</v>
      </c>
      <c r="N338" s="47">
        <f ca="1">IFERROR(__xludf.DUMMYFUNCTION("IMPORTRANGE(""https://docs.google.com/spreadsheets/d/1-uDff_7J0KD5mKrp0Vvzr7lt3OU09vwQwhkpOPPYv2Y/edit?usp=sharing"",""งบพรบ!EZ77"")"),110309.78)</f>
        <v>110309.78</v>
      </c>
      <c r="O338" s="47">
        <f ca="1">IF(L338&gt;0,N338*100/L338,0)</f>
        <v>60.944629834254144</v>
      </c>
      <c r="P338" s="47">
        <f ca="1">IF(M338&gt;0,N338*100/M338,0)</f>
        <v>60.944629834254144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IFERROR(__xludf.DUMMYFUNCTION("IMPORTRANGE(""https://docs.google.com/spreadsheets/d/1-uDff_7J0KD5mKrp0Vvzr7lt3OU09vwQwhkpOPPYv2Y/edit?usp=sharing"",""งบพรบ!EV77"")"),0)</f>
        <v>0</v>
      </c>
      <c r="M341" s="47">
        <f ca="1">IFERROR(__xludf.DUMMYFUNCTION("IMPORTRANGE(""https://docs.google.com/spreadsheets/d/1-uDff_7J0KD5mKrp0Vvzr7lt3OU09vwQwhkpOPPYv2Y/edit?usp=sharing"",""งบพรบ!EY77"")"),0)</f>
        <v>0</v>
      </c>
      <c r="N341" s="47">
        <f ca="1">IFERROR(__xludf.DUMMYFUNCTION("IMPORTRANGE(""https://docs.google.com/spreadsheets/d/1-uDff_7J0KD5mKrp0Vvzr7lt3OU09vwQwhkpOPPYv2Y/edit?usp=sharing"",""งบพรบ!FA77"")"),0)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6"/>
      <c r="B343" s="693"/>
      <c r="C343" s="695"/>
      <c r="D343" s="693"/>
      <c r="E343" s="694" t="s">
        <v>137</v>
      </c>
      <c r="F343" s="693"/>
      <c r="G343" s="692"/>
      <c r="H343" s="691" t="s">
        <v>35</v>
      </c>
      <c r="I343" s="690">
        <v>0</v>
      </c>
      <c r="J343" s="690">
        <f ca="1">J344+J347+J348+J349</f>
        <v>3314</v>
      </c>
      <c r="K343" s="689">
        <v>0</v>
      </c>
      <c r="L343" s="687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IFERROR(__xludf.DUMMYFUNCTION("IMPORTRANGE(""https://docs.google.com/spreadsheets/d/1eHaY18a8A9IcSdp1K8H6x8fbOy06t2VsZHhMHf-1x7Y/edit?usp=sharing"",""แผน!EK77"")"),1140)</f>
        <v>1140</v>
      </c>
      <c r="J344" s="152">
        <f ca="1">IFERROR(__xludf.DUMMYFUNCTION("IMPORTRANGE(""https://docs.google.com/spreadsheets/d/1awYsYK3VOup2i3Pq_Yjnu8DRu_mYwSBnCR2QPthd0rU/edit?usp=sharing"",""ศูนย์ยกเว้นโฉนด!D77"")"),3313)</f>
        <v>3313</v>
      </c>
      <c r="K344" s="47">
        <f ca="1">IF(I344&gt;0,J344*100/I344,0)</f>
        <v>290.61403508771929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IFERROR(__xludf.DUMMYFUNCTION("IMPORTRANGE(""https://docs.google.com/spreadsheets/d/1eHaY18a8A9IcSdp1K8H6x8fbOy06t2VsZHhMHf-1x7Y/edit?usp=sharing"",""แผน!EL77"")"),3)</f>
        <v>3</v>
      </c>
      <c r="J346" s="152">
        <f ca="1">IFERROR(__xludf.DUMMYFUNCTION("IMPORTRANGE(""https://docs.google.com/spreadsheets/d/1awYsYK3VOup2i3Pq_Yjnu8DRu_mYwSBnCR2QPthd0rU/edit?usp=sharing"",""ศูนย์รวม!E77"")"),6)</f>
        <v>6</v>
      </c>
      <c r="K346" s="47">
        <f ca="1">IF(I346&gt;0,J346*100/I346,0)</f>
        <v>200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IFERROR(__xludf.DUMMYFUNCTION("IMPORTRANGE(""https://docs.google.com/spreadsheets/d/1awYsYK3VOup2i3Pq_Yjnu8DRu_mYwSBnCR2QPthd0rU/edit?usp=sharing"",""ศูนย์ยกเว้นโฉนด!F77"")"),1)</f>
        <v>1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IFERROR(__xludf.DUMMYFUNCTION("IMPORTRANGE(""https://docs.google.com/spreadsheets/d/1awYsYK3VOup2i3Pq_Yjnu8DRu_mYwSBnCR2QPthd0rU/edit?usp=sharing"",""ศูนย์ยกเว้นโฉนด!G77"")"),0)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IFERROR(__xludf.DUMMYFUNCTION("IMPORTRANGE(""https://docs.google.com/spreadsheets/d/1awYsYK3VOup2i3Pq_Yjnu8DRu_mYwSBnCR2QPthd0rU/edit?usp=sharing"",""ศูนย์ยกเว้นโฉนด!H77"")"),0)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8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6545</v>
      </c>
      <c r="K351" s="229">
        <v>0</v>
      </c>
      <c r="L351" s="687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IFERROR(__xludf.DUMMYFUNCTION("IMPORTRANGE(""https://docs.google.com/spreadsheets/d/1awYsYK3VOup2i3Pq_Yjnu8DRu_mYwSBnCR2QPthd0rU/edit?usp=sharing"",""โฉนดM3!G77"")"),5437)</f>
        <v>5437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IFERROR(__xludf.DUMMYFUNCTION("IMPORTRANGE(""https://docs.google.com/spreadsheets/d/1awYsYK3VOup2i3Pq_Yjnu8DRu_mYwSBnCR2QPthd0rU/edit?usp=sharing"",""โฉนดM3!H77"")"),1108)</f>
        <v>1108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9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619060</v>
      </c>
      <c r="M356" s="132">
        <f ca="1">M357+M358</f>
        <v>610860</v>
      </c>
      <c r="N356" s="132">
        <f ca="1">N357+N358</f>
        <v>496830.45</v>
      </c>
      <c r="O356" s="132">
        <f ca="1">IF(L356&gt;0,N356*100/L356,0)</f>
        <v>80.255621426033017</v>
      </c>
      <c r="P356" s="132">
        <f ca="1">IF(M356&gt;0,N356*100/M356,0)</f>
        <v>81.332948629800612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619060</v>
      </c>
      <c r="M358" s="47">
        <f ca="1">M361+M364</f>
        <v>610860</v>
      </c>
      <c r="N358" s="47">
        <f ca="1">N361+N364</f>
        <v>496830.45</v>
      </c>
      <c r="O358" s="47">
        <f ca="1">IF(L358&gt;0,N358*100/L358,0)</f>
        <v>80.255621426033017</v>
      </c>
      <c r="P358" s="47">
        <f ca="1">IF(M358&gt;0,N358*100/M358,0)</f>
        <v>81.332948629800612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619060</v>
      </c>
      <c r="M359" s="47">
        <f ca="1">M360+M361</f>
        <v>610860</v>
      </c>
      <c r="N359" s="47">
        <f ca="1">N360+N361</f>
        <v>496830.45</v>
      </c>
      <c r="O359" s="47">
        <f ca="1">IF(L359&gt;0,N359*100/L359,0)</f>
        <v>80.255621426033017</v>
      </c>
      <c r="P359" s="47">
        <f ca="1">IF(M359&gt;0,N359*100/M359,0)</f>
        <v>81.332948629800612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IFERROR(__xludf.DUMMYFUNCTION("IMPORTRANGE(""https://docs.google.com/spreadsheets/d/1-uDff_7J0KD5mKrp0Vvzr7lt3OU09vwQwhkpOPPYv2Y/edit?usp=sharing"",""งบพรบ!FC77"")"),619060)</f>
        <v>619060</v>
      </c>
      <c r="M361" s="47">
        <f ca="1">IFERROR(__xludf.DUMMYFUNCTION("IMPORTRANGE(""https://docs.google.com/spreadsheets/d/1-uDff_7J0KD5mKrp0Vvzr7lt3OU09vwQwhkpOPPYv2Y/edit?usp=sharing"",""งบพรบ!FH77"")"),610860)</f>
        <v>610860</v>
      </c>
      <c r="N361" s="47">
        <f ca="1">IFERROR(__xludf.DUMMYFUNCTION("IMPORTRANGE(""https://docs.google.com/spreadsheets/d/1-uDff_7J0KD5mKrp0Vvzr7lt3OU09vwQwhkpOPPYv2Y/edit?usp=sharing"",""งบพรบ!FJ77"")"),496830.45)</f>
        <v>496830.45</v>
      </c>
      <c r="O361" s="47">
        <f ca="1">IF(L361&gt;0,N361*100/L361,0)</f>
        <v>80.255621426033017</v>
      </c>
      <c r="P361" s="47">
        <f ca="1">IF(M361&gt;0,N361*100/M361,0)</f>
        <v>81.332948629800612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IFERROR(__xludf.DUMMYFUNCTION("IMPORTRANGE(""https://docs.google.com/spreadsheets/d/1-uDff_7J0KD5mKrp0Vvzr7lt3OU09vwQwhkpOPPYv2Y/edit?usp=sharing"",""งบพรบ!FF77"")"),0)</f>
        <v>0</v>
      </c>
      <c r="M364" s="47">
        <f ca="1">IFERROR(__xludf.DUMMYFUNCTION("IMPORTRANGE(""https://docs.google.com/spreadsheets/d/1-uDff_7J0KD5mKrp0Vvzr7lt3OU09vwQwhkpOPPYv2Y/edit?usp=sharing"",""งบพรบ!FI77"")"),0)</f>
        <v>0</v>
      </c>
      <c r="N364" s="47">
        <f ca="1">IFERROR(__xludf.DUMMYFUNCTION("IMPORTRANGE(""https://docs.google.com/spreadsheets/d/1-uDff_7J0KD5mKrp0Vvzr7lt3OU09vwQwhkpOPPYv2Y/edit?usp=sharing"",""งบพรบ!FK77"")"),0)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8" t="s">
        <v>149</v>
      </c>
      <c r="E365" s="225"/>
      <c r="F365" s="225"/>
      <c r="G365" s="226"/>
      <c r="H365" s="234" t="s">
        <v>35</v>
      </c>
      <c r="I365" s="228">
        <f ca="1">I371</f>
        <v>113</v>
      </c>
      <c r="J365" s="228">
        <f ca="1">J371</f>
        <v>95</v>
      </c>
      <c r="K365" s="229">
        <f ca="1">IF(I365&gt;0,J365*100/I365,0)</f>
        <v>84.070796460176993</v>
      </c>
      <c r="L365" s="687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IFERROR(__xludf.DUMMYFUNCTION("IMPORTRANGE(""https://docs.google.com/spreadsheets/d/1tdoBKaGub7dwA3U6UFTqxio9LNnvDCQjHKmttSEBsFQ/edit?usp=sharing"",""จัดที่ดิน!AB77"")"),156)</f>
        <v>156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IFERROR(__xludf.DUMMYFUNCTION("IMPORTRANGE(""https://docs.google.com/spreadsheets/d/1eHaY18a8A9IcSdp1K8H6x8fbOy06t2VsZHhMHf-1x7Y/edit?usp=sharing"",""แผน!EW77"")"),640)</f>
        <v>640</v>
      </c>
      <c r="J368" s="686">
        <f ca="1">IFERROR(__xludf.DUMMYFUNCTION("IMPORTRANGE(""https://docs.google.com/spreadsheets/d/1tdoBKaGub7dwA3U6UFTqxio9LNnvDCQjHKmttSEBsFQ/edit?usp=sharing"",""จัดที่ดิน!AC77"")"),1437.97)</f>
        <v>1437.97</v>
      </c>
      <c r="K368" s="47">
        <f ca="1">IF(I368&gt;0,J368*100/I368,0)</f>
        <v>224.68281250000001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IFERROR(__xludf.DUMMYFUNCTION("IMPORTRANGE(""https://docs.google.com/spreadsheets/d/1eHaY18a8A9IcSdp1K8H6x8fbOy06t2VsZHhMHf-1x7Y/edit?usp=sharing"",""แผน!EX77"")"),113)</f>
        <v>113</v>
      </c>
      <c r="J369" s="152">
        <f ca="1">IFERROR(__xludf.DUMMYFUNCTION("IMPORTRANGE(""https://docs.google.com/spreadsheets/d/1tdoBKaGub7dwA3U6UFTqxio9LNnvDCQjHKmttSEBsFQ/edit?usp=sharing"",""จัดที่ดิน!AD77"")"),103)</f>
        <v>103</v>
      </c>
      <c r="K369" s="47">
        <f ca="1">IF(I369&gt;0,J369*100/I369,0)</f>
        <v>91.150442477876112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6">
        <f ca="1">IFERROR(__xludf.DUMMYFUNCTION("IMPORTRANGE(""https://docs.google.com/spreadsheets/d/1tdoBKaGub7dwA3U6UFTqxio9LNnvDCQjHKmttSEBsFQ/edit?usp=sharing"",""จัดที่ดิน!AE77"")"),1111.95)</f>
        <v>1111.95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IFERROR(__xludf.DUMMYFUNCTION("IMPORTRANGE(""https://docs.google.com/spreadsheets/d/1eHaY18a8A9IcSdp1K8H6x8fbOy06t2VsZHhMHf-1x7Y/edit?usp=sharing"",""แผน!EY77"")"),113)</f>
        <v>113</v>
      </c>
      <c r="J371" s="152">
        <f ca="1">IFERROR(__xludf.DUMMYFUNCTION("IMPORTRANGE(""https://docs.google.com/spreadsheets/d/1tdoBKaGub7dwA3U6UFTqxio9LNnvDCQjHKmttSEBsFQ/edit?usp=sharing"",""จัดที่ดิน!AF77"")"),95)</f>
        <v>95</v>
      </c>
      <c r="K371" s="47">
        <f ca="1">IF(I371&gt;0,J371*100/I371,0)</f>
        <v>84.070796460176993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6">
        <f ca="1">IFERROR(__xludf.DUMMYFUNCTION("IMPORTRANGE(""https://docs.google.com/spreadsheets/d/1tdoBKaGub7dwA3U6UFTqxio9LNnvDCQjHKmttSEBsFQ/edit?usp=sharing"",""จัดที่ดิน!AG77"")"),1046.15)</f>
        <v>1046.1500000000001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5"/>
      <c r="B374" s="684" t="s">
        <v>153</v>
      </c>
      <c r="C374" s="683"/>
      <c r="D374" s="682"/>
      <c r="E374" s="681"/>
      <c r="F374" s="681"/>
      <c r="G374" s="680"/>
      <c r="H374" s="679" t="s">
        <v>46</v>
      </c>
      <c r="I374" s="678">
        <f ca="1">I386+I388</f>
        <v>1000</v>
      </c>
      <c r="J374" s="678">
        <f ca="1">J386+J388</f>
        <v>456</v>
      </c>
      <c r="K374" s="677">
        <f ca="1">IF(I374&gt;0,J374*100/I374,0)</f>
        <v>45.6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1437.5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1437.5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1437.5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IFERROR(__xludf.DUMMYFUNCTION("IMPORTRANGE(""https://docs.google.com/spreadsheets/d/1-uDff_7J0KD5mKrp0Vvzr7lt3OU09vwQwhkpOPPYv2Y/edit?usp=sharing"",""งบพรบ!IE77"")"),0)</f>
        <v>0</v>
      </c>
      <c r="M380" s="47">
        <f ca="1">IFERROR(__xludf.DUMMYFUNCTION("IMPORTRANGE(""https://docs.google.com/spreadsheets/d/1-uDff_7J0KD5mKrp0Vvzr7lt3OU09vwQwhkpOPPYv2Y/edit?usp=sharing"",""งบพรบ!IJ77"")"),0)</f>
        <v>0</v>
      </c>
      <c r="N380" s="47">
        <f ca="1">IFERROR(__xludf.DUMMYFUNCTION("IMPORTRANGE(""https://docs.google.com/spreadsheets/d/1-uDff_7J0KD5mKrp0Vvzr7lt3OU09vwQwhkpOPPYv2Y/edit?usp=sharing"",""งบพรบ!IL77"")"),0)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IFERROR(__xludf.DUMMYFUNCTION("IMPORTRANGE(""https://docs.google.com/spreadsheets/d/1ItG2mGa2ceCfYo0BwxsXqNm01IGEUdYcSSLTEv9YCik/edit?usp=sharing"",""เบิกจ่ายกองทุน!BW77"")"),62500)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IFERROR(__xludf.DUMMYFUNCTION("IMPORTRANGE(""https://docs.google.com/spreadsheets/d/1ItG2mGa2ceCfYo0BwxsXqNm01IGEUdYcSSLTEv9YCik/edit?usp=sharing"",""เบิกจ่ายกองทุน!BX77"")"),1437.5)</f>
        <v>1437.5</v>
      </c>
      <c r="S380" s="47">
        <f ca="1">IFERROR(__xludf.DUMMYFUNCTION("IMPORTRANGE(""https://docs.google.com/spreadsheets/d/1ItG2mGa2ceCfYo0BwxsXqNm01IGEUdYcSSLTEv9YCik/edit?usp=sharing"",""เบิกจ่ายกองทุน!BY77"")"),0)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IFERROR(__xludf.DUMMYFUNCTION("IMPORTRANGE(""https://docs.google.com/spreadsheets/d/1-uDff_7J0KD5mKrp0Vvzr7lt3OU09vwQwhkpOPPYv2Y/edit?usp=sharing"",""งบพรบ!IH77"")"),0)</f>
        <v>0</v>
      </c>
      <c r="M383" s="47">
        <f ca="1">IFERROR(__xludf.DUMMYFUNCTION("IMPORTRANGE(""https://docs.google.com/spreadsheets/d/1-uDff_7J0KD5mKrp0Vvzr7lt3OU09vwQwhkpOPPYv2Y/edit?usp=sharing"",""งบพรบ!IK77"")"),0)</f>
        <v>0</v>
      </c>
      <c r="N383" s="47">
        <f ca="1">IFERROR(__xludf.DUMMYFUNCTION("IMPORTRANGE(""https://docs.google.com/spreadsheets/d/1-uDff_7J0KD5mKrp0Vvzr7lt3OU09vwQwhkpOPPYv2Y/edit?usp=sharing"",""งบพรบ!IM77"")"),0)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IFERROR(__xludf.DUMMYFUNCTION("IMPORTRANGE(""https://docs.google.com/spreadsheets/d/1w5rwWK1o49a35cNtocGL0gxDwhFSTZUQu90BiH9_zqM/edit?usp=sharing"",""RTK!H77"")"),28)</f>
        <v>28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IFERROR(__xludf.DUMMYFUNCTION("IMPORTRANGE(""https://docs.google.com/spreadsheets/d/1w5rwWK1o49a35cNtocGL0gxDwhFSTZUQu90BiH9_zqM/edit?usp=sharing"",""RTK!G77"")"),1000)</f>
        <v>1000</v>
      </c>
      <c r="J386" s="152">
        <f ca="1">IFERROR(__xludf.DUMMYFUNCTION("IMPORTRANGE(""https://docs.google.com/spreadsheets/d/1w5rwWK1o49a35cNtocGL0gxDwhFSTZUQu90BiH9_zqM/edit?usp=sharing"",""RTK!I77"")"),456)</f>
        <v>456</v>
      </c>
      <c r="K386" s="47">
        <f ca="1">IF(I386&gt;0,J386*100/I386,0)</f>
        <v>45.6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326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IFERROR(__xludf.DUMMYFUNCTION("IMPORTRANGE(""https://docs.google.com/spreadsheets/d/1w5rwWK1o49a35cNtocGL0gxDwhFSTZUQu90BiH9_zqM/edit?usp=sharing"",""RTK!L77"")"),0)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326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IFERROR(__xludf.DUMMYFUNCTION("IMPORTRANGE(""https://docs.google.com/spreadsheets/d/1w5rwWK1o49a35cNtocGL0gxDwhFSTZUQu90BiH9_zqM/edit?usp=sharing"",""RTK!K77"")"),0)</f>
        <v>0</v>
      </c>
      <c r="J388" s="330">
        <f ca="1">IFERROR(__xludf.DUMMYFUNCTION("IMPORTRANGE(""https://docs.google.com/spreadsheets/d/1w5rwWK1o49a35cNtocGL0gxDwhFSTZUQu90BiH9_zqM/edit?usp=sharing"",""RTK!M77"")"),0)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89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33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IFERROR(__xludf.DUMMYFUNCTION("IMPORTRANGE(""https://docs.google.com/spreadsheets/d/1ItG2mGa2ceCfYo0BwxsXqNm01IGEUdYcSSLTEv9YCik/edit?usp=sharing"",""เบิกจ่ายกองทุน!CL77"")"),0)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IFERROR(__xludf.DUMMYFUNCTION("IMPORTRANGE(""https://docs.google.com/spreadsheets/d/1ItG2mGa2ceCfYo0BwxsXqNm01IGEUdYcSSLTEv9YCik/edit?usp=sharing"",""เบิกจ่ายกองทุน!CM77"")"),0)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IFERROR(__xludf.DUMMYFUNCTION("IMPORTRANGE(""https://docs.google.com/spreadsheets/d/1ItG2mGa2ceCfYo0BwxsXqNm01IGEUdYcSSLTEv9YCik/edit?usp=sharing"",""เบิกจ่ายกองทุน!CN77"")"),0)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89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89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89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89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89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89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89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89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89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33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26015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40" t="s">
        <v>18</v>
      </c>
      <c r="D413" s="676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403280</v>
      </c>
      <c r="M413" s="132">
        <f ca="1">M414+M415</f>
        <v>403280</v>
      </c>
      <c r="N413" s="132">
        <f ca="1">N414+N415</f>
        <v>16949.8</v>
      </c>
      <c r="O413" s="132">
        <f ca="1">IF(L413&gt;0,N413*100/L413,0)</f>
        <v>4.2029855187462806</v>
      </c>
      <c r="P413" s="132">
        <f ca="1">IF(M413&gt;0,N413*100/M413,0)</f>
        <v>4.2029855187462806</v>
      </c>
      <c r="Q413" s="132">
        <f ca="1">Q414+Q415</f>
        <v>64430</v>
      </c>
      <c r="R413" s="132">
        <f ca="1">R414+R415</f>
        <v>64430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403280</v>
      </c>
      <c r="M415" s="47">
        <f ca="1">M418+M421</f>
        <v>403280</v>
      </c>
      <c r="N415" s="47">
        <f ca="1">N418+N421</f>
        <v>16949.8</v>
      </c>
      <c r="O415" s="47">
        <f ca="1">IF(L415&gt;0,N415*100/L415,0)</f>
        <v>4.2029855187462806</v>
      </c>
      <c r="P415" s="47">
        <f ca="1">IF(M415&gt;0,N415*100/M415,0)</f>
        <v>4.2029855187462806</v>
      </c>
      <c r="Q415" s="47">
        <f ca="1">Q418+Q421</f>
        <v>64430</v>
      </c>
      <c r="R415" s="47">
        <f ca="1">R418+R421</f>
        <v>64430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403280</v>
      </c>
      <c r="M416" s="47">
        <f ca="1">M417+M418</f>
        <v>403280</v>
      </c>
      <c r="N416" s="47">
        <f ca="1">N417+N418</f>
        <v>16949.8</v>
      </c>
      <c r="O416" s="47">
        <f ca="1">IF(L416&gt;0,N416*100/L416,0)</f>
        <v>4.2029855187462806</v>
      </c>
      <c r="P416" s="47">
        <f ca="1">IF(M416&gt;0,N416*100/M416,0)</f>
        <v>4.2029855187462806</v>
      </c>
      <c r="Q416" s="47">
        <f ca="1">Q417+Q418</f>
        <v>64430</v>
      </c>
      <c r="R416" s="47">
        <f ca="1">R417+R418</f>
        <v>64430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IFERROR(__xludf.DUMMYFUNCTION("IMPORTRANGE(""https://docs.google.com/spreadsheets/d/1-uDff_7J0KD5mKrp0Vvzr7lt3OU09vwQwhkpOPPYv2Y/edit?usp=sharing"",""งบพรบ!IO77"")"),403280)</f>
        <v>403280</v>
      </c>
      <c r="M418" s="47">
        <f ca="1">IFERROR(__xludf.DUMMYFUNCTION("IMPORTRANGE(""https://docs.google.com/spreadsheets/d/1-uDff_7J0KD5mKrp0Vvzr7lt3OU09vwQwhkpOPPYv2Y/edit?usp=sharing"",""งบพรบ!IT77"")"),403280)</f>
        <v>403280</v>
      </c>
      <c r="N418" s="47">
        <f ca="1">IFERROR(__xludf.DUMMYFUNCTION("IMPORTRANGE(""https://docs.google.com/spreadsheets/d/1-uDff_7J0KD5mKrp0Vvzr7lt3OU09vwQwhkpOPPYv2Y/edit?usp=sharing"",""งบพรบ!IV77"")"),16949.8)</f>
        <v>16949.8</v>
      </c>
      <c r="O418" s="47">
        <f ca="1">IF(L418&gt;0,N418*100/L418,0)</f>
        <v>4.2029855187462806</v>
      </c>
      <c r="P418" s="47">
        <f ca="1">IF(M418&gt;0,N418*100/M418,0)</f>
        <v>4.2029855187462806</v>
      </c>
      <c r="Q418" s="47">
        <f ca="1">IFERROR(__xludf.DUMMYFUNCTION("IMPORTRANGE(""https://docs.google.com/spreadsheets/d/1ItG2mGa2ceCfYo0BwxsXqNm01IGEUdYcSSLTEv9YCik/edit?usp=sharing"",""เบิกจ่ายกองทุน!BZ77"")"),64430)</f>
        <v>64430</v>
      </c>
      <c r="R418" s="47">
        <f ca="1">IFERROR(__xludf.DUMMYFUNCTION("IMPORTRANGE(""https://docs.google.com/spreadsheets/d/1ItG2mGa2ceCfYo0BwxsXqNm01IGEUdYcSSLTEv9YCik/edit?usp=sharing"",""เบิกจ่ายกองทุน!CA77"")"),64430)</f>
        <v>64430</v>
      </c>
      <c r="S418" s="47">
        <f ca="1">IFERROR(__xludf.DUMMYFUNCTION("IMPORTRANGE(""https://docs.google.com/spreadsheets/d/1ItG2mGa2ceCfYo0BwxsXqNm01IGEUdYcSSLTEv9YCik/edit?usp=sharing"",""เบิกจ่ายกองทุน!CB77"")"),0)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IFERROR(__xludf.DUMMYFUNCTION("IMPORTRANGE(""https://docs.google.com/spreadsheets/d/1-uDff_7J0KD5mKrp0Vvzr7lt3OU09vwQwhkpOPPYv2Y/edit?usp=sharing"",""งบพรบ!IR77"")"),0)</f>
        <v>0</v>
      </c>
      <c r="M421" s="47">
        <f ca="1">IFERROR(__xludf.DUMMYFUNCTION("IMPORTRANGE(""https://docs.google.com/spreadsheets/d/1-uDff_7J0KD5mKrp0Vvzr7lt3OU09vwQwhkpOPPYv2Y/edit?usp=sharing"",""งบพรบ!IU77"")"),0)</f>
        <v>0</v>
      </c>
      <c r="N421" s="47">
        <f ca="1">IFERROR(__xludf.DUMMYFUNCTION("IMPORTRANGE(""https://docs.google.com/spreadsheets/d/1-uDff_7J0KD5mKrp0Vvzr7lt3OU09vwQwhkpOPPYv2Y/edit?usp=sharing"",""งบพรบ!IW77"")"),0)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40" t="s">
        <v>18</v>
      </c>
      <c r="D422" s="674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669"/>
      <c r="B423" s="464" t="s">
        <v>160</v>
      </c>
      <c r="C423" s="463"/>
      <c r="D423" s="463"/>
      <c r="E423" s="463"/>
      <c r="F423" s="463"/>
      <c r="G423" s="474"/>
      <c r="H423" s="671" t="s">
        <v>46</v>
      </c>
      <c r="I423" s="468">
        <f ca="1">I440</f>
        <v>26015</v>
      </c>
      <c r="J423" s="673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IFERROR(__xludf.DUMMYFUNCTION("IMPORTRANGE(""https://docs.google.com/spreadsheets/d/1eHaY18a8A9IcSdp1K8H6x8fbOy06t2VsZHhMHf-1x7Y/edit?usp=sharing"",""แผน!HJ77"")"),26015)</f>
        <v>26015</v>
      </c>
      <c r="J424" s="670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IFERROR(__xludf.DUMMYFUNCTION("IMPORTRANGE(""https://docs.google.com/spreadsheets/d/1eHaY18a8A9IcSdp1K8H6x8fbOy06t2VsZHhMHf-1x7Y/edit?usp=sharing"",""แผน!HK77"")"),2978)</f>
        <v>2978</v>
      </c>
      <c r="J425" s="670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IFERROR(__xludf.DUMMYFUNCTION("IMPORTRANGE(""https://docs.google.com/spreadsheets/d/1eHaY18a8A9IcSdp1K8H6x8fbOy06t2VsZHhMHf-1x7Y/edit?usp=sharing"",""แผน!HJ77"")"),26015)</f>
        <v>26015</v>
      </c>
      <c r="J432" s="670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IFERROR(__xludf.DUMMYFUNCTION("IMPORTRANGE(""https://docs.google.com/spreadsheets/d/1eHaY18a8A9IcSdp1K8H6x8fbOy06t2VsZHhMHf-1x7Y/edit?usp=sharing"",""แผน!HK77"")"),2978)</f>
        <v>2978</v>
      </c>
      <c r="J433" s="670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IFERROR(__xludf.DUMMYFUNCTION("IMPORTRANGE(""https://docs.google.com/spreadsheets/d/1eHaY18a8A9IcSdp1K8H6x8fbOy06t2VsZHhMHf-1x7Y/edit?usp=sharing"",""แผน!HJ77"")"),26015)</f>
        <v>26015</v>
      </c>
      <c r="J440" s="670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IFERROR(__xludf.DUMMYFUNCTION("IMPORTRANGE(""https://docs.google.com/spreadsheets/d/1eHaY18a8A9IcSdp1K8H6x8fbOy06t2VsZHhMHf-1x7Y/edit?usp=sharing"",""แผน!HK77"")"),2978)</f>
        <v>2978</v>
      </c>
      <c r="J441" s="670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70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70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2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669"/>
      <c r="B456" s="464" t="s">
        <v>177</v>
      </c>
      <c r="C456" s="463"/>
      <c r="D456" s="463"/>
      <c r="E456" s="463"/>
      <c r="F456" s="463"/>
      <c r="G456" s="474"/>
      <c r="H456" s="671" t="s">
        <v>46</v>
      </c>
      <c r="I456" s="468">
        <f ca="1">I457</f>
        <v>170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IFERROR(__xludf.DUMMYFUNCTION("IMPORTRANGE(""https://docs.google.com/spreadsheets/d/1eHaY18a8A9IcSdp1K8H6x8fbOy06t2VsZHhMHf-1x7Y/edit?usp=sharing"",""แผน!HL77"")"),170)</f>
        <v>170</v>
      </c>
      <c r="J457" s="670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IFERROR(__xludf.DUMMYFUNCTION("IMPORTRANGE(""https://docs.google.com/spreadsheets/d/1eHaY18a8A9IcSdp1K8H6x8fbOy06t2VsZHhMHf-1x7Y/edit?usp=sharing"",""แผน!HM77"")"),0)</f>
        <v>0</v>
      </c>
      <c r="J458" s="670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669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650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IFERROR(__xludf.DUMMYFUNCTION("IMPORTRANGE(""https://docs.google.com/spreadsheets/d/1-uDff_7J0KD5mKrp0Vvzr7lt3OU09vwQwhkpOPPYv2Y/edit?usp=sharing"",""งบพรบ!HU77"")"),0)</f>
        <v>0</v>
      </c>
      <c r="M498" s="47">
        <f ca="1">IFERROR(__xludf.DUMMYFUNCTION("IMPORTRANGE(""https://docs.google.com/spreadsheets/d/1-uDff_7J0KD5mKrp0Vvzr7lt3OU09vwQwhkpOPPYv2Y/edit?usp=sharing"",""งบพรบ!HZ77"")"),0)</f>
        <v>0</v>
      </c>
      <c r="N498" s="47">
        <f ca="1">IFERROR(__xludf.DUMMYFUNCTION("IMPORTRANGE(""https://docs.google.com/spreadsheets/d/1-uDff_7J0KD5mKrp0Vvzr7lt3OU09vwQwhkpOPPYv2Y/edit?usp=sharing"",""งบพรบ!IB77"")"),0)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IFERROR(__xludf.DUMMYFUNCTION("IMPORTRANGE(""https://docs.google.com/spreadsheets/d/1ItG2mGa2ceCfYo0BwxsXqNm01IGEUdYcSSLTEv9YCik/edit?usp=sharing"",""เบิกจ่ายกองทุน!AD77"")"),0)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IFERROR(__xludf.DUMMYFUNCTION("IMPORTRANGE(""https://docs.google.com/spreadsheets/d/1ItG2mGa2ceCfYo0BwxsXqNm01IGEUdYcSSLTEv9YCik/edit?usp=sharing"",""เบิกจ่ายกองทุน!AE77"")"),0)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IFERROR(__xludf.DUMMYFUNCTION("IMPORTRANGE(""https://docs.google.com/spreadsheets/d/1ItG2mGa2ceCfYo0BwxsXqNm01IGEUdYcSSLTEv9YCik/edit?usp=sharing"",""เบิกจ่ายกองทุน!AF77"")"),0)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IFERROR(__xludf.DUMMYFUNCTION("IMPORTRANGE(""https://docs.google.com/spreadsheets/d/1-uDff_7J0KD5mKrp0Vvzr7lt3OU09vwQwhkpOPPYv2Y/edit?usp=sharing"",""งบพรบ!HX77"")"),0)</f>
        <v>0</v>
      </c>
      <c r="M501" s="47">
        <f ca="1">IFERROR(__xludf.DUMMYFUNCTION("IMPORTRANGE(""https://docs.google.com/spreadsheets/d/1-uDff_7J0KD5mKrp0Vvzr7lt3OU09vwQwhkpOPPYv2Y/edit?usp=sharing"",""งบพรบ!IA77"")"),0)</f>
        <v>0</v>
      </c>
      <c r="N501" s="47">
        <f ca="1">IFERROR(__xludf.DUMMYFUNCTION("IMPORTRANGE(""https://docs.google.com/spreadsheets/d/1-uDff_7J0KD5mKrp0Vvzr7lt3OU09vwQwhkpOPPYv2Y/edit?usp=sharing"",""งบพรบ!IC77"")"),0)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IFERROR(__xludf.DUMMYFUNCTION("IMPORTRANGE(""https://docs.google.com/spreadsheets/d/1eHaY18a8A9IcSdp1K8H6x8fbOy06t2VsZHhMHf-1x7Y/edit?usp=sharing"",""แผน!GX77"")"),0)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IFERROR(__xludf.DUMMYFUNCTION("IMPORTRANGE(""https://docs.google.com/spreadsheets/d/1eHaY18a8A9IcSdp1K8H6x8fbOy06t2VsZHhMHf-1x7Y/edit?usp=sharing"",""แผน!GY77"")"),0)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IFERROR(__xludf.DUMMYFUNCTION("IMPORTRANGE(""https://docs.google.com/spreadsheets/d/1eHaY18a8A9IcSdp1K8H6x8fbOy06t2VsZHhMHf-1x7Y/edit?usp=sharing"",""แผน!GZ77"")"),0)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IFERROR(__xludf.DUMMYFUNCTION("IMPORTRANGE(""https://docs.google.com/spreadsheets/d/1eHaY18a8A9IcSdp1K8H6x8fbOy06t2VsZHhMHf-1x7Y/edit?usp=sharing"",""แผน!HA77"")"),0)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IFERROR(__xludf.DUMMYFUNCTION("IMPORTRANGE(""https://docs.google.com/spreadsheets/d/1eHaY18a8A9IcSdp1K8H6x8fbOy06t2VsZHhMHf-1x7Y/edit?usp=sharing"",""แผน!HB77"")"),0)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IFERROR(__xludf.DUMMYFUNCTION("IMPORTRANGE(""https://docs.google.com/spreadsheets/d/1eHaY18a8A9IcSdp1K8H6x8fbOy06t2VsZHhMHf-1x7Y/edit?usp=sharing"",""แผน!HC77"")"),0)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29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26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25" t="s">
        <v>207</v>
      </c>
      <c r="C512" s="372"/>
      <c r="D512" s="373"/>
      <c r="E512" s="373"/>
      <c r="F512" s="373"/>
      <c r="G512" s="374"/>
      <c r="H512" s="824" t="s">
        <v>61</v>
      </c>
      <c r="I512" s="823">
        <f>I524</f>
        <v>0</v>
      </c>
      <c r="J512" s="823">
        <f>J524</f>
        <v>0</v>
      </c>
      <c r="K512" s="822">
        <f>IF(I512&gt;0,J512*100/I512,0)</f>
        <v>0</v>
      </c>
      <c r="L512" s="591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21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0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IFERROR(__xludf.DUMMYFUNCTION("IMPORTRANGE(""https://docs.google.com/spreadsheets/d/1-uDff_7J0KD5mKrp0Vvzr7lt3OU09vwQwhkpOPPYv2Y/edit?usp=sharing"",""งบพรบ!FM77"")"),0)</f>
        <v>0</v>
      </c>
      <c r="M518" s="47">
        <f ca="1">IFERROR(__xludf.DUMMYFUNCTION("IMPORTRANGE(""https://docs.google.com/spreadsheets/d/1-uDff_7J0KD5mKrp0Vvzr7lt3OU09vwQwhkpOPPYv2Y/edit?usp=sharing"",""งบพรบ!FR77"")"),0)</f>
        <v>0</v>
      </c>
      <c r="N518" s="47">
        <f ca="1">IFERROR(__xludf.DUMMYFUNCTION("IMPORTRANGE(""https://docs.google.com/spreadsheets/d/1-uDff_7J0KD5mKrp0Vvzr7lt3OU09vwQwhkpOPPYv2Y/edit?usp=sharing"",""งบพรบ!FT77"")"),0)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0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IFERROR(__xludf.DUMMYFUNCTION("IMPORTRANGE(""https://docs.google.com/spreadsheets/d/1-uDff_7J0KD5mKrp0Vvzr7lt3OU09vwQwhkpOPPYv2Y/edit?usp=sharing"",""งบพรบ!FP77"")"),0)</f>
        <v>0</v>
      </c>
      <c r="M521" s="47">
        <f ca="1">IFERROR(__xludf.DUMMYFUNCTION("IMPORTRANGE(""https://docs.google.com/spreadsheets/d/1-uDff_7J0KD5mKrp0Vvzr7lt3OU09vwQwhkpOPPYv2Y/edit?usp=sharing"",""งบพรบ!FS77"")"),0)</f>
        <v>0</v>
      </c>
      <c r="N521" s="47">
        <f ca="1">IFERROR(__xludf.DUMMYFUNCTION("IMPORTRANGE(""https://docs.google.com/spreadsheets/d/1-uDff_7J0KD5mKrp0Vvzr7lt3OU09vwQwhkpOPPYv2Y/edit?usp=sharing"",""งบพรบ!FU77"")"),0)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1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19" t="s">
        <v>209</v>
      </c>
      <c r="E524" s="264"/>
      <c r="F524" s="1"/>
      <c r="G524" s="53"/>
      <c r="H524" s="818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4"/>
      <c r="B525" s="613"/>
      <c r="C525" s="613"/>
      <c r="D525" s="612"/>
      <c r="E525" s="612"/>
      <c r="F525" s="612"/>
      <c r="G525" s="611"/>
      <c r="H525" s="610"/>
      <c r="I525" s="609"/>
      <c r="J525" s="609"/>
      <c r="K525" s="608"/>
      <c r="L525" s="589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89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89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89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89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89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89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2">
        <f>I545</f>
        <v>0</v>
      </c>
      <c r="J533" s="592">
        <f>J545</f>
        <v>0</v>
      </c>
      <c r="K533" s="377">
        <f>IF(I533&gt;0,J533*100/I533,0)</f>
        <v>0</v>
      </c>
      <c r="L533" s="591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IFERROR(__xludf.DUMMYFUNCTION("IMPORTRANGE(""https://docs.google.com/spreadsheets/d/1-uDff_7J0KD5mKrp0Vvzr7lt3OU09vwQwhkpOPPYv2Y/edit?usp=sharing"",""งบพรบ!FW77"")"),0)</f>
        <v>0</v>
      </c>
      <c r="M539" s="47">
        <f ca="1">IFERROR(__xludf.DUMMYFUNCTION("IMPORTRANGE(""https://docs.google.com/spreadsheets/d/1-uDff_7J0KD5mKrp0Vvzr7lt3OU09vwQwhkpOPPYv2Y/edit?usp=sharing"",""งบพรบ!GB77"")"),0)</f>
        <v>0</v>
      </c>
      <c r="N539" s="47">
        <f ca="1">IFERROR(__xludf.DUMMYFUNCTION("IMPORTRANGE(""https://docs.google.com/spreadsheets/d/1-uDff_7J0KD5mKrp0Vvzr7lt3OU09vwQwhkpOPPYv2Y/edit?usp=sharing"",""งบพรบ!GD77"")"),0)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IFERROR(__xludf.DUMMYFUNCTION("IMPORTRANGE(""https://docs.google.com/spreadsheets/d/1-uDff_7J0KD5mKrp0Vvzr7lt3OU09vwQwhkpOPPYv2Y/edit?usp=sharing"",""งบพรบ!FZ77"")"),0)</f>
        <v>0</v>
      </c>
      <c r="M542" s="47">
        <f ca="1">IFERROR(__xludf.DUMMYFUNCTION("IMPORTRANGE(""https://docs.google.com/spreadsheets/d/1-uDff_7J0KD5mKrp0Vvzr7lt3OU09vwQwhkpOPPYv2Y/edit?usp=sharing"",""งบพรบ!GC77"")"),0)</f>
        <v>0</v>
      </c>
      <c r="N542" s="47">
        <f ca="1">IFERROR(__xludf.DUMMYFUNCTION("IMPORTRANGE(""https://docs.google.com/spreadsheets/d/1-uDff_7J0KD5mKrp0Vvzr7lt3OU09vwQwhkpOPPYv2Y/edit?usp=sharing"",""งบพรบ!GE77"")"),0)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89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89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89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89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89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89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89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89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89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2">
        <f>I566</f>
        <v>0</v>
      </c>
      <c r="J554" s="592">
        <f>J566</f>
        <v>0</v>
      </c>
      <c r="K554" s="377">
        <f>IF(I554&gt;0,J554*100/I554,0)</f>
        <v>0</v>
      </c>
      <c r="L554" s="591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IFERROR(__xludf.DUMMYFUNCTION("IMPORTRANGE(""https://docs.google.com/spreadsheets/d/1-uDff_7J0KD5mKrp0Vvzr7lt3OU09vwQwhkpOPPYv2Y/edit?usp=sharing"",""งบพรบ!GG77"")"),0)</f>
        <v>0</v>
      </c>
      <c r="M560" s="47">
        <f ca="1">IFERROR(__xludf.DUMMYFUNCTION("IMPORTRANGE(""https://docs.google.com/spreadsheets/d/1-uDff_7J0KD5mKrp0Vvzr7lt3OU09vwQwhkpOPPYv2Y/edit?usp=sharing"",""งบพรบ!GL77"")"),0)</f>
        <v>0</v>
      </c>
      <c r="N560" s="47">
        <f ca="1">IFERROR(__xludf.DUMMYFUNCTION("IMPORTRANGE(""https://docs.google.com/spreadsheets/d/1-uDff_7J0KD5mKrp0Vvzr7lt3OU09vwQwhkpOPPYv2Y/edit?usp=sharing"",""งบพรบ!GN77"")"),0)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IFERROR(__xludf.DUMMYFUNCTION("IMPORTRANGE(""https://docs.google.com/spreadsheets/d/1-uDff_7J0KD5mKrp0Vvzr7lt3OU09vwQwhkpOPPYv2Y/edit?usp=sharing"",""งบพรบ!GJ77"")"),0)</f>
        <v>0</v>
      </c>
      <c r="M563" s="47">
        <f ca="1">IFERROR(__xludf.DUMMYFUNCTION("IMPORTRANGE(""https://docs.google.com/spreadsheets/d/1-uDff_7J0KD5mKrp0Vvzr7lt3OU09vwQwhkpOPPYv2Y/edit?usp=sharing"",""งบพรบ!GM77"")"),0)</f>
        <v>0</v>
      </c>
      <c r="N563" s="47">
        <f ca="1">IFERROR(__xludf.DUMMYFUNCTION("IMPORTRANGE(""https://docs.google.com/spreadsheets/d/1-uDff_7J0KD5mKrp0Vvzr7lt3OU09vwQwhkpOPPYv2Y/edit?usp=sharing"",""งบพรบ!GO77"")"),0)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89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89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89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89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89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89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89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89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89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2">
        <f>I587</f>
        <v>0</v>
      </c>
      <c r="J575" s="592">
        <f>J587</f>
        <v>0</v>
      </c>
      <c r="K575" s="377">
        <f>IF(I575&gt;0,J575*100/I575,0)</f>
        <v>0</v>
      </c>
      <c r="L575" s="591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IFERROR(__xludf.DUMMYFUNCTION("IMPORTRANGE(""https://docs.google.com/spreadsheets/d/1-uDff_7J0KD5mKrp0Vvzr7lt3OU09vwQwhkpOPPYv2Y/edit?usp=sharing"",""งบพรบ!GQ77"")"),0)</f>
        <v>0</v>
      </c>
      <c r="M581" s="47">
        <f ca="1">IFERROR(__xludf.DUMMYFUNCTION("IMPORTRANGE(""https://docs.google.com/spreadsheets/d/1-uDff_7J0KD5mKrp0Vvzr7lt3OU09vwQwhkpOPPYv2Y/edit?usp=sharing"",""งบพรบ!GV77"")"),0)</f>
        <v>0</v>
      </c>
      <c r="N581" s="47">
        <f ca="1">IFERROR(__xludf.DUMMYFUNCTION("IMPORTRANGE(""https://docs.google.com/spreadsheets/d/1-uDff_7J0KD5mKrp0Vvzr7lt3OU09vwQwhkpOPPYv2Y/edit?usp=sharing"",""งบพรบ!GX77"")"),0)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IFERROR(__xludf.DUMMYFUNCTION("IMPORTRANGE(""https://docs.google.com/spreadsheets/d/1-uDff_7J0KD5mKrp0Vvzr7lt3OU09vwQwhkpOPPYv2Y/edit?usp=sharing"",""งบพรบ!GT77"")"),0)</f>
        <v>0</v>
      </c>
      <c r="M584" s="47">
        <f ca="1">IFERROR(__xludf.DUMMYFUNCTION("IMPORTRANGE(""https://docs.google.com/spreadsheets/d/1-uDff_7J0KD5mKrp0Vvzr7lt3OU09vwQwhkpOPPYv2Y/edit?usp=sharing"",""งบพรบ!GW77"")"),0)</f>
        <v>0</v>
      </c>
      <c r="N584" s="47">
        <f ca="1">IFERROR(__xludf.DUMMYFUNCTION("IMPORTRANGE(""https://docs.google.com/spreadsheets/d/1-uDff_7J0KD5mKrp0Vvzr7lt3OU09vwQwhkpOPPYv2Y/edit?usp=sharing"",""งบพรบ!GY77"")"),0)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89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89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89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89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89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89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89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89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89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8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7" t="s">
        <v>217</v>
      </c>
      <c r="C597" s="183"/>
      <c r="D597" s="125"/>
      <c r="E597" s="28"/>
      <c r="F597" s="28"/>
      <c r="G597" s="28"/>
      <c r="H597" s="586" t="s">
        <v>99</v>
      </c>
      <c r="I597" s="193"/>
      <c r="J597" s="33"/>
      <c r="K597" s="34"/>
      <c r="L597" s="582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5"/>
      <c r="B598" s="584" t="s">
        <v>218</v>
      </c>
      <c r="C598" s="125"/>
      <c r="D598" s="28"/>
      <c r="E598" s="28"/>
      <c r="F598" s="28"/>
      <c r="G598" s="31"/>
      <c r="H598" s="583" t="s">
        <v>35</v>
      </c>
      <c r="I598" s="33"/>
      <c r="J598" s="33"/>
      <c r="K598" s="34"/>
      <c r="L598" s="582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IFERROR(__xludf.DUMMYFUNCTION("IMPORTRANGE(""https://docs.google.com/spreadsheets/d/1-uDff_7J0KD5mKrp0Vvzr7lt3OU09vwQwhkpOPPYv2Y/edit?usp=sharing"",""งบพรบ!HK77"")"),0)</f>
        <v>0</v>
      </c>
      <c r="M604" s="47">
        <f ca="1">IFERROR(__xludf.DUMMYFUNCTION("IMPORTRANGE(""https://docs.google.com/spreadsheets/d/1-uDff_7J0KD5mKrp0Vvzr7lt3OU09vwQwhkpOPPYv2Y/edit?usp=sharing"",""งบพรบ!HP77"")"),0)</f>
        <v>0</v>
      </c>
      <c r="N604" s="47">
        <f ca="1">IFERROR(__xludf.DUMMYFUNCTION("IMPORTRANGE(""https://docs.google.com/spreadsheets/d/1-uDff_7J0KD5mKrp0Vvzr7lt3OU09vwQwhkpOPPYv2Y/edit?usp=sharing"",""งบพรบ!HR77"")"),0)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IFERROR(__xludf.DUMMYFUNCTION("IMPORTRANGE(""https://docs.google.com/spreadsheets/d/1ItG2mGa2ceCfYo0BwxsXqNm01IGEUdYcSSLTEv9YCik/edit?usp=sharing"",""เบิกจ่ายกองทุน!AV77"")"),0)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IFERROR(__xludf.DUMMYFUNCTION("IMPORTRANGE(""https://docs.google.com/spreadsheets/d/1ItG2mGa2ceCfYo0BwxsXqNm01IGEUdYcSSLTEv9YCik/edit?usp=sharing"",""เบิกจ่ายกองทุน!AW77"")"),0)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IFERROR(__xludf.DUMMYFUNCTION("IMPORTRANGE(""https://docs.google.com/spreadsheets/d/1ItG2mGa2ceCfYo0BwxsXqNm01IGEUdYcSSLTEv9YCik/edit?usp=sharing"",""เบิกจ่ายกองทุน!AX77"")"),0)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IFERROR(__xludf.DUMMYFUNCTION("IMPORTRANGE(""https://docs.google.com/spreadsheets/d/1-uDff_7J0KD5mKrp0Vvzr7lt3OU09vwQwhkpOPPYv2Y/edit?usp=sharing"",""งบพรบ!HN77"")"),0)</f>
        <v>0</v>
      </c>
      <c r="M607" s="47">
        <f ca="1">IFERROR(__xludf.DUMMYFUNCTION("IMPORTRANGE(""https://docs.google.com/spreadsheets/d/1-uDff_7J0KD5mKrp0Vvzr7lt3OU09vwQwhkpOPPYv2Y/edit?usp=sharing"",""งบพรบ!HQ77"")"),0)</f>
        <v>0</v>
      </c>
      <c r="N607" s="47">
        <f ca="1">IFERROR(__xludf.DUMMYFUNCTION("IMPORTRANGE(""https://docs.google.com/spreadsheets/d/1-uDff_7J0KD5mKrp0Vvzr7lt3OU09vwQwhkpOPPYv2Y/edit?usp=sharing"",""งบพรบ!HS77"")"),0)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IFERROR(__xludf.DUMMYFUNCTION("IMPORTRANGE(""https://docs.google.com/spreadsheets/d/1ItG2mGa2ceCfYo0BwxsXqNm01IGEUdYcSSLTEv9YCik/edit?usp=sharing"",""เบิกจ่ายกองทุน!AY77"")"),0)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IFERROR(__xludf.DUMMYFUNCTION("IMPORTRANGE(""https://docs.google.com/spreadsheets/d/1ItG2mGa2ceCfYo0BwxsXqNm01IGEUdYcSSLTEv9YCik/edit?usp=sharing"",""เบิกจ่ายกองทุน!AZ77"")"),0)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IFERROR(__xludf.DUMMYFUNCTION("IMPORTRANGE(""https://docs.google.com/spreadsheets/d/1ItG2mGa2ceCfYo0BwxsXqNm01IGEUdYcSSLTEv9YCik/edit?usp=sharing"",""เบิกจ่ายกองทุน!BA77"")"),0)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1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0"/>
      <c r="B612" s="579"/>
      <c r="C612" s="579"/>
      <c r="D612" s="579"/>
      <c r="E612" s="578" t="s">
        <v>222</v>
      </c>
      <c r="F612" s="577"/>
      <c r="G612" s="576"/>
      <c r="H612" s="575" t="s">
        <v>35</v>
      </c>
      <c r="I612" s="574"/>
      <c r="J612" s="574"/>
      <c r="K612" s="573"/>
      <c r="L612" s="572"/>
      <c r="M612" s="571"/>
      <c r="N612" s="571"/>
      <c r="O612" s="571"/>
      <c r="P612" s="571"/>
      <c r="Q612" s="571"/>
      <c r="R612" s="571"/>
      <c r="S612" s="571"/>
      <c r="T612" s="571"/>
      <c r="U612" s="571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0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56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463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188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7350</v>
      </c>
      <c r="R616" s="132">
        <f ca="1">R617+R618</f>
        <v>7350</v>
      </c>
      <c r="S616" s="132">
        <f ca="1">S617+S618</f>
        <v>1600</v>
      </c>
      <c r="T616" s="132">
        <f ca="1">IF(Q616&gt;0,S616*100/Q616,0)</f>
        <v>21.768707482993197</v>
      </c>
      <c r="U616" s="132">
        <f ca="1">IF(R616&gt;0,S616*100/R616,0)</f>
        <v>21.768707482993197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7350</v>
      </c>
      <c r="R618" s="47">
        <f ca="1">R621+R624</f>
        <v>7350</v>
      </c>
      <c r="S618" s="47">
        <f ca="1">S621+S624</f>
        <v>1600</v>
      </c>
      <c r="T618" s="47">
        <f ca="1">IF(Q618&gt;0,S618*100/Q618,0)</f>
        <v>21.768707482993197</v>
      </c>
      <c r="U618" s="47">
        <f ca="1">IF(R618&gt;0,S618*100/R618,0)</f>
        <v>21.768707482993197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7350</v>
      </c>
      <c r="R619" s="47">
        <f ca="1">R620+R621</f>
        <v>7350</v>
      </c>
      <c r="S619" s="47">
        <f ca="1">S620+S621</f>
        <v>1600</v>
      </c>
      <c r="T619" s="47">
        <f ca="1">IF(Q619&gt;0,S619*100/Q619,0)</f>
        <v>21.768707482993197</v>
      </c>
      <c r="U619" s="47">
        <f ca="1">IF(R619&gt;0,S619*100/R619,0)</f>
        <v>21.768707482993197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IFERROR(__xludf.DUMMYFUNCTION("IMPORTRANGE(""https://docs.google.com/spreadsheets/d/1ItG2mGa2ceCfYo0BwxsXqNm01IGEUdYcSSLTEv9YCik/edit?usp=sharing"",""เบิกจ่ายกองทุน!F77"")"),7350)</f>
        <v>7350</v>
      </c>
      <c r="R621" s="47">
        <f ca="1">IFERROR(__xludf.DUMMYFUNCTION("IMPORTRANGE(""https://docs.google.com/spreadsheets/d/1ItG2mGa2ceCfYo0BwxsXqNm01IGEUdYcSSLTEv9YCik/edit?usp=sharing"",""เบิกจ่ายกองทุน!G77"")"),7350)</f>
        <v>7350</v>
      </c>
      <c r="S621" s="47">
        <f ca="1">IFERROR(__xludf.DUMMYFUNCTION("IMPORTRANGE(""https://docs.google.com/spreadsheets/d/1ItG2mGa2ceCfYo0BwxsXqNm01IGEUdYcSSLTEv9YCik/edit?usp=sharing"",""เบิกจ่ายกองทุน!H77"")"),1600)</f>
        <v>1600</v>
      </c>
      <c r="T621" s="47">
        <f ca="1">IF(Q621&gt;0,S621*100/Q621,0)</f>
        <v>21.768707482993197</v>
      </c>
      <c r="U621" s="47">
        <f ca="1">IF(R621&gt;0,S621*100/R621,0)</f>
        <v>21.768707482993197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IFERROR(__xludf.DUMMYFUNCTION("IMPORTRANGE(""https://docs.google.com/spreadsheets/d/1eHaY18a8A9IcSdp1K8H6x8fbOy06t2VsZHhMHf-1x7Y/edit?usp=sharing"",""แผน!ID77"")"),50)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IFERROR(__xludf.DUMMYFUNCTION("IMPORTRANGE(""https://docs.google.com/spreadsheets/d/1eHaY18a8A9IcSdp1K8H6x8fbOy06t2VsZHhMHf-1x7Y/edit?usp=sharing"",""แผน!IC77"")"),1)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IFERROR(__xludf.DUMMYFUNCTION("IMPORTRANGE(""https://docs.google.com/spreadsheets/d/1eHaY18a8A9IcSdp1K8H6x8fbOy06t2VsZHhMHf-1x7Y/edit?usp=sharing"",""แผน!IC77"")"),1)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IFERROR(__xludf.DUMMYFUNCTION("IMPORTRANGE(""https://docs.google.com/spreadsheets/d/1eHaY18a8A9IcSdp1K8H6x8fbOy06t2VsZHhMHf-1x7Y/edit?usp=sharing"",""แผน!IE77"")"),0)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63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IFERROR(__xludf.DUMMYFUNCTION("IMPORTRANGE(""https://docs.google.com/spreadsheets/d/1ItG2mGa2ceCfYo0BwxsXqNm01IGEUdYcSSLTEv9YCik/edit?usp=sharing"",""เบิกจ่ายกองทุน!I77"")"),0)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IFERROR(__xludf.DUMMYFUNCTION("IMPORTRANGE(""https://docs.google.com/spreadsheets/d/1ItG2mGa2ceCfYo0BwxsXqNm01IGEUdYcSSLTEv9YCik/edit?usp=sharing"",""เบิกจ่ายกองทุน!J77"")"),0)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IFERROR(__xludf.DUMMYFUNCTION("IMPORTRANGE(""https://docs.google.com/spreadsheets/d/1ItG2mGa2ceCfYo0BwxsXqNm01IGEUdYcSSLTEv9YCik/edit?usp=sharing"",""เบิกจ่ายกองทุน!K77"")"),0)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IFERROR(__xludf.DUMMYFUNCTION("IMPORTRANGE(""https://docs.google.com/spreadsheets/d/1eHaY18a8A9IcSdp1K8H6x8fbOy06t2VsZHhMHf-1x7Y/edit?usp=sharing"",""แผน!IF77"")"),0)</f>
        <v>0</v>
      </c>
      <c r="J652" s="152">
        <f ca="1">IFERROR(__xludf.DUMMYFUNCTION("IMPORTRANGE(""https://docs.google.com/spreadsheets/d/1tdoBKaGub7dwA3U6UFTqxio9LNnvDCQjHKmttSEBsFQ/edit?usp=sharing"",""จัดที่ดิน!AU77"")"),0)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IFERROR(__xludf.DUMMYFUNCTION("IMPORTRANGE(""https://docs.google.com/spreadsheets/d/1eHaY18a8A9IcSdp1K8H6x8fbOy06t2VsZHhMHf-1x7Y/edit?usp=sharing"",""แผน!IG77"")"),0)</f>
        <v>0</v>
      </c>
      <c r="J653" s="152">
        <f ca="1">IFERROR(__xludf.DUMMYFUNCTION("IMPORTRANGE(""https://docs.google.com/spreadsheets/d/1tdoBKaGub7dwA3U6UFTqxio9LNnvDCQjHKmttSEBsFQ/edit?usp=sharing"",""จัดที่ดิน!AW77"")"),0)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IFERROR(__xludf.DUMMYFUNCTION("IMPORTRANGE(""https://docs.google.com/spreadsheets/d/1eHaY18a8A9IcSdp1K8H6x8fbOy06t2VsZHhMHf-1x7Y/edit?usp=sharing"",""แผน!IH77"")"),0)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IFERROR(__xludf.DUMMYFUNCTION("IMPORTRANGE(""https://docs.google.com/spreadsheets/d/1eHaY18a8A9IcSdp1K8H6x8fbOy06t2VsZHhMHf-1x7Y/edit?usp=sharing"",""แผน!II77"")"),0)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IFERROR(__xludf.DUMMYFUNCTION("IMPORTRANGE(""https://docs.google.com/spreadsheets/d/1eHaY18a8A9IcSdp1K8H6x8fbOy06t2VsZHhMHf-1x7Y/edit?usp=sharing"",""แผน!IJ77"")"),0)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IFERROR(__xludf.DUMMYFUNCTION("IMPORTRANGE(""https://docs.google.com/spreadsheets/d/1eHaY18a8A9IcSdp1K8H6x8fbOy06t2VsZHhMHf-1x7Y/edit?usp=sharing"",""แผน!IK77"")"),0)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IFERROR(__xludf.DUMMYFUNCTION("IMPORTRANGE(""https://docs.google.com/spreadsheets/d/1tdoBKaGub7dwA3U6UFTqxio9LNnvDCQjHKmttSEBsFQ/edit?usp=sharing"",""จัดที่ดิน!AY77"")"),0)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IFERROR(__xludf.DUMMYFUNCTION("IMPORTRANGE(""https://docs.google.com/spreadsheets/d/1tdoBKaGub7dwA3U6UFTqxio9LNnvDCQjHKmttSEBsFQ/edit?usp=sharing"",""จัดที่ดิน!AZ77"")"),0)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IFERROR(__xludf.DUMMYFUNCTION("IMPORTRANGE(""https://docs.google.com/spreadsheets/d/1eHaY18a8A9IcSdp1K8H6x8fbOy06t2VsZHhMHf-1x7Y/edit?usp=sharing"",""แผน!IL77"")"),0)</f>
        <v>0</v>
      </c>
      <c r="J673" s="152">
        <f ca="1">IFERROR(__xludf.DUMMYFUNCTION("IMPORTRANGE(""https://docs.google.com/spreadsheets/d/1tdoBKaGub7dwA3U6UFTqxio9LNnvDCQjHKmttSEBsFQ/edit?usp=sharing"",""จัดที่ดิน!BA77"")"),0)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IFERROR(__xludf.DUMMYFUNCTION("IMPORTRANGE(""https://docs.google.com/spreadsheets/d/1eHaY18a8A9IcSdp1K8H6x8fbOy06t2VsZHhMHf-1x7Y/edit?usp=sharing"",""แผน!IM77"")"),0)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IFERROR(__xludf.DUMMYFUNCTION("IMPORTRANGE(""https://docs.google.com/spreadsheets/d/1eHaY18a8A9IcSdp1K8H6x8fbOy06t2VsZHhMHf-1x7Y/edit?usp=sharing"",""แผน!IN77"")"),0)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IFERROR(__xludf.DUMMYFUNCTION("IMPORTRANGE(""https://docs.google.com/spreadsheets/d/1eHaY18a8A9IcSdp1K8H6x8fbOy06t2VsZHhMHf-1x7Y/edit?usp=sharing"",""แผน!IO77"")"),0)</f>
        <v>0</v>
      </c>
      <c r="J676" s="152">
        <f ca="1">IFERROR(__xludf.DUMMYFUNCTION("IMPORTRANGE(""https://docs.google.com/spreadsheets/d/1tdoBKaGub7dwA3U6UFTqxio9LNnvDCQjHKmttSEBsFQ/edit?usp=sharing"",""จัดที่ดิน!BF77"")"),0)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IFERROR(__xludf.DUMMYFUNCTION("IMPORTRANGE(""https://docs.google.com/spreadsheets/d/1tdoBKaGub7dwA3U6UFTqxio9LNnvDCQjHKmttSEBsFQ/edit?usp=sharing"",""จัดที่ดิน!BG77"")"),0)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IFERROR(__xludf.DUMMYFUNCTION("IMPORTRANGE(""https://docs.google.com/spreadsheets/d/1eHaY18a8A9IcSdp1K8H6x8fbOy06t2VsZHhMHf-1x7Y/edit?usp=sharing"",""แผน!IP77"")"),0)</f>
        <v>0</v>
      </c>
      <c r="J678" s="152">
        <f ca="1">IFERROR(__xludf.DUMMYFUNCTION("IMPORTRANGE(""https://docs.google.com/spreadsheets/d/1tdoBKaGub7dwA3U6UFTqxio9LNnvDCQjHKmttSEBsFQ/edit?usp=sharing"",""จัดที่ดิน!BH77"")"),0)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IFERROR(__xludf.DUMMYFUNCTION("IMPORTRANGE(""https://docs.google.com/spreadsheets/d/1eHaY18a8A9IcSdp1K8H6x8fbOy06t2VsZHhMHf-1x7Y/edit?usp=sharing"",""แผน!IQ77"")"),0)</f>
        <v>0</v>
      </c>
      <c r="J679" s="152">
        <f ca="1">IFERROR(__xludf.DUMMYFUNCTION("IMPORTRANGE(""https://docs.google.com/spreadsheets/d/1tdoBKaGub7dwA3U6UFTqxio9LNnvDCQjHKmttSEBsFQ/edit?usp=sharing"",""จัดที่ดิน!BK77"")"),0)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IFERROR(__xludf.DUMMYFUNCTION("IMPORTRANGE(""https://docs.google.com/spreadsheets/d/1tdoBKaGub7dwA3U6UFTqxio9LNnvDCQjHKmttSEBsFQ/edit?usp=sharing"",""จัดที่ดิน!BL77"")"),0)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IFERROR(__xludf.DUMMYFUNCTION("IMPORTRANGE(""https://docs.google.com/spreadsheets/d/1eHaY18a8A9IcSdp1K8H6x8fbOy06t2VsZHhMHf-1x7Y/edit?usp=sharing"",""แผน!IR77"")"),0)</f>
        <v>0</v>
      </c>
      <c r="J681" s="152">
        <f ca="1">IFERROR(__xludf.DUMMYFUNCTION("IMPORTRANGE(""https://docs.google.com/spreadsheets/d/1tdoBKaGub7dwA3U6UFTqxio9LNnvDCQjHKmttSEBsFQ/edit?usp=sharing"",""จัดที่ดิน!BM77"")"),0)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IFERROR(__xludf.DUMMYFUNCTION("IMPORTRANGE(""https://docs.google.com/spreadsheets/d/1eHaY18a8A9IcSdp1K8H6x8fbOy06t2VsZHhMHf-1x7Y/edit?usp=sharing"",""แผน!IS77"")"),0)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56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64340</v>
      </c>
      <c r="R690" s="132">
        <f ca="1">R691+R692</f>
        <v>64340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64340</v>
      </c>
      <c r="R692" s="47">
        <f ca="1">R695+R698</f>
        <v>64340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64340</v>
      </c>
      <c r="R693" s="47">
        <f ca="1">R694+R695</f>
        <v>64340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IFERROR(__xludf.DUMMYFUNCTION("IMPORTRANGE(""https://docs.google.com/spreadsheets/d/1ItG2mGa2ceCfYo0BwxsXqNm01IGEUdYcSSLTEv9YCik/edit?usp=sharing"",""เบิกจ่ายกองทุน!L77"")"),64340)</f>
        <v>64340</v>
      </c>
      <c r="R695" s="47">
        <f ca="1">IFERROR(__xludf.DUMMYFUNCTION("IMPORTRANGE(""https://docs.google.com/spreadsheets/d/1ItG2mGa2ceCfYo0BwxsXqNm01IGEUdYcSSLTEv9YCik/edit?usp=sharing"",""เบิกจ่ายกองทุน!M77"")"),64340)</f>
        <v>64340</v>
      </c>
      <c r="S695" s="47">
        <f ca="1">IFERROR(__xludf.DUMMYFUNCTION("IMPORTRANGE(""https://docs.google.com/spreadsheets/d/1ItG2mGa2ceCfYo0BwxsXqNm01IGEUdYcSSLTEv9YCik/edit?usp=sharing"",""เบิกจ่ายกองทุน!N77"")"),0)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IFERROR(__xludf.DUMMYFUNCTION("IMPORTRANGE(""https://docs.google.com/spreadsheets/d/1eHaY18a8A9IcSdp1K8H6x8fbOy06t2VsZHhMHf-1x7Y/edit?usp=sharing"",""แผน!LC77"")"),0)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1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IFERROR(__xludf.DUMMYFUNCTION("IMPORTRANGE(""https://docs.google.com/spreadsheets/d/1eHaY18a8A9IcSdp1K8H6x8fbOy06t2VsZHhMHf-1x7Y/edit?usp=sharing"",""แผน!LJ77"")"),0)</f>
        <v>0</v>
      </c>
      <c r="J703" s="152">
        <f ca="1">IFERROR(__xludf.DUMMYFUNCTION("IMPORTRANGE(""https://docs.google.com/spreadsheets/d/1tdoBKaGub7dwA3U6UFTqxio9LNnvDCQjHKmttSEBsFQ/edit?usp=sharing"",""จัดที่ดิน!AP77"")"),0)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IFERROR(__xludf.DUMMYFUNCTION("IMPORTRANGE(""https://docs.google.com/spreadsheets/d/1tdoBKaGub7dwA3U6UFTqxio9LNnvDCQjHKmttSEBsFQ/edit?usp=sharing"",""จัดที่ดิน!AQ77"")"),0)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IFERROR(__xludf.DUMMYFUNCTION("IMPORTRANGE(""https://docs.google.com/spreadsheets/d/1eHaY18a8A9IcSdp1K8H6x8fbOy06t2VsZHhMHf-1x7Y/edit?usp=sharing"",""แผน!LK77"")"),1)</f>
        <v>1</v>
      </c>
      <c r="J705" s="152">
        <f ca="1">IFERROR(__xludf.DUMMYFUNCTION("IMPORTRANGE(""https://docs.google.com/spreadsheets/d/1tdoBKaGub7dwA3U6UFTqxio9LNnvDCQjHKmttSEBsFQ/edit?usp=sharing"",""จัดที่ดิน!AR77"")"),0)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IFERROR(__xludf.DUMMYFUNCTION("IMPORTRANGE(""https://docs.google.com/spreadsheets/d/1tdoBKaGub7dwA3U6UFTqxio9LNnvDCQjHKmttSEBsFQ/edit?usp=sharing"",""จัดที่ดิน!AS77"")"),0)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IFERROR(__xludf.DUMMYFUNCTION("IMPORTRANGE(""https://docs.google.com/spreadsheets/d/1eHaY18a8A9IcSdp1K8H6x8fbOy06t2VsZHhMHf-1x7Y/edit?usp=sharing"",""แผน!LJ77"")"),0)</f>
        <v>0</v>
      </c>
      <c r="J707" s="152">
        <f ca="1">IFERROR(__xludf.DUMMYFUNCTION("IMPORTRANGE(""https://docs.google.com/spreadsheets/d/1tdoBKaGub7dwA3U6UFTqxio9LNnvDCQjHKmttSEBsFQ/edit?usp=sharing"",""จัดที่ดิน!BN77"")"),0)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IFERROR(__xludf.DUMMYFUNCTION("IMPORTRANGE(""https://docs.google.com/spreadsheets/d/1tdoBKaGub7dwA3U6UFTqxio9LNnvDCQjHKmttSEBsFQ/edit?usp=sharing"",""จัดที่ดิน!BO77"")"),0)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IFERROR(__xludf.DUMMYFUNCTION("IMPORTRANGE(""https://docs.google.com/spreadsheets/d/1eHaY18a8A9IcSdp1K8H6x8fbOy06t2VsZHhMHf-1x7Y/edit?usp=sharing"",""แผน!LK77"")"),1)</f>
        <v>1</v>
      </c>
      <c r="J709" s="152">
        <f ca="1">IFERROR(__xludf.DUMMYFUNCTION("IMPORTRANGE(""https://docs.google.com/spreadsheets/d/1tdoBKaGub7dwA3U6UFTqxio9LNnvDCQjHKmttSEBsFQ/edit?usp=sharing"",""จัดที่ดิน!BP77"")"),3)</f>
        <v>3</v>
      </c>
      <c r="K709" s="47">
        <f ca="1">IF(I709&gt;0,J709*100/I709,0)</f>
        <v>300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IFERROR(__xludf.DUMMYFUNCTION("IMPORTRANGE(""https://docs.google.com/spreadsheets/d/1tdoBKaGub7dwA3U6UFTqxio9LNnvDCQjHKmttSEBsFQ/edit?usp=sharing"",""จัดที่ดิน!BQ77"")"),0)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56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56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56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IFERROR(__xludf.DUMMYFUNCTION("IMPORTRANGE(""https://docs.google.com/spreadsheets/d/1eHaY18a8A9IcSdp1K8H6x8fbOy06t2VsZHhMHf-1x7Y/edit?usp=sharing"",""แผน!GA77"")"),31)</f>
        <v>31</v>
      </c>
      <c r="J726" s="483">
        <f>J742+J746+J749</f>
        <v>30</v>
      </c>
      <c r="K726" s="484">
        <f ca="1">IF(I726&gt;0,J726*100/I726,0)</f>
        <v>96.774193548387103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IFERROR(__xludf.DUMMYFUNCTION("IMPORTRANGE(""https://docs.google.com/spreadsheets/d/1eHaY18a8A9IcSdp1K8H6x8fbOy06t2VsZHhMHf-1x7Y/edit?usp=sharing"",""แผน!FZ77"")"),300)</f>
        <v>300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188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242546</v>
      </c>
      <c r="R728" s="132">
        <f ca="1">R729+R730</f>
        <v>242546</v>
      </c>
      <c r="S728" s="132">
        <f ca="1">S729+S730</f>
        <v>28440</v>
      </c>
      <c r="T728" s="132">
        <f ca="1">IF(Q728&gt;0,S728*100/Q728,0)</f>
        <v>11.725610811969688</v>
      </c>
      <c r="U728" s="132">
        <f ca="1">IF(R728&gt;0,S728*100/R728,0)</f>
        <v>11.725610811969688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242546</v>
      </c>
      <c r="R730" s="47">
        <f ca="1">R733+R736</f>
        <v>242546</v>
      </c>
      <c r="S730" s="47">
        <f ca="1">S733+S736</f>
        <v>28440</v>
      </c>
      <c r="T730" s="47">
        <f ca="1">IF(Q730&gt;0,S730*100/Q730,0)</f>
        <v>11.725610811969688</v>
      </c>
      <c r="U730" s="47">
        <f ca="1">IF(R730&gt;0,S730*100/R730,0)</f>
        <v>11.725610811969688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242546</v>
      </c>
      <c r="R731" s="47">
        <f ca="1">R732+R733</f>
        <v>242546</v>
      </c>
      <c r="S731" s="47">
        <f ca="1">S732+S733</f>
        <v>28440</v>
      </c>
      <c r="T731" s="47">
        <f ca="1">IF(Q731&gt;0,S731*100/Q731,0)</f>
        <v>11.725610811969688</v>
      </c>
      <c r="U731" s="47">
        <f ca="1">IF(R731&gt;0,S731*100/R731,0)</f>
        <v>11.725610811969688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IFERROR(__xludf.DUMMYFUNCTION("IMPORTRANGE(""https://docs.google.com/spreadsheets/d/1ItG2mGa2ceCfYo0BwxsXqNm01IGEUdYcSSLTEv9YCik/edit?usp=sharing"",""เบิกจ่ายกองทุน!O77"")"),242546)</f>
        <v>242546</v>
      </c>
      <c r="R733" s="47">
        <f ca="1">IFERROR(__xludf.DUMMYFUNCTION("IMPORTRANGE(""https://docs.google.com/spreadsheets/d/1ItG2mGa2ceCfYo0BwxsXqNm01IGEUdYcSSLTEv9YCik/edit?usp=sharing"",""เบิกจ่ายกองทุน!P77"")"),242546)</f>
        <v>242546</v>
      </c>
      <c r="S733" s="47">
        <f ca="1">IFERROR(__xludf.DUMMYFUNCTION("IMPORTRANGE(""https://docs.google.com/spreadsheets/d/1ItG2mGa2ceCfYo0BwxsXqNm01IGEUdYcSSLTEv9YCik/edit?usp=sharing"",""เบิกจ่ายกองทุน!Q77"")"),28440)</f>
        <v>28440</v>
      </c>
      <c r="T733" s="47">
        <f ca="1">IF(Q733&gt;0,S733*100/Q733,0)</f>
        <v>11.725610811969688</v>
      </c>
      <c r="U733" s="47">
        <f ca="1">IF(R733&gt;0,S733*100/R733,0)</f>
        <v>11.725610811969688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IFERROR(__xludf.DUMMYFUNCTION("IMPORTRANGE(""https://docs.google.com/spreadsheets/d/1eHaY18a8A9IcSdp1K8H6x8fbOy06t2VsZHhMHf-1x7Y/edit?usp=sharing"",""แผน!GB77"")"),240)</f>
        <v>240</v>
      </c>
      <c r="J740" s="554">
        <v>240</v>
      </c>
      <c r="K740" s="331">
        <f ca="1">IF(I740&gt;0,J740*100/I740,0)</f>
        <v>100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24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IFERROR(__xludf.DUMMYFUNCTION("IMPORTRANGE(""https://docs.google.com/spreadsheets/d/1eHaY18a8A9IcSdp1K8H6x8fbOy06t2VsZHhMHf-1x7Y/edit?usp=sharing"",""แผน!GC77"")"),24)</f>
        <v>24</v>
      </c>
      <c r="J742" s="554">
        <v>24</v>
      </c>
      <c r="K742" s="331">
        <f ca="1">IF(I742&gt;0,J742*100/I742,0)</f>
        <v>100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IFERROR(__xludf.DUMMYFUNCTION("IMPORTRANGE(""https://docs.google.com/spreadsheets/d/1eHaY18a8A9IcSdp1K8H6x8fbOy06t2VsZHhMHf-1x7Y/edit?usp=sharing"",""แผน!GD77"")"),60)</f>
        <v>60</v>
      </c>
      <c r="J744" s="554">
        <v>60</v>
      </c>
      <c r="K744" s="331">
        <f ca="1">IF(I744&gt;0,J744*100/I744,0)</f>
        <v>100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6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IFERROR(__xludf.DUMMYFUNCTION("IMPORTRANGE(""https://docs.google.com/spreadsheets/d/1eHaY18a8A9IcSdp1K8H6x8fbOy06t2VsZHhMHf-1x7Y/edit?usp=sharing"",""แผน!GE77"")"),6)</f>
        <v>6</v>
      </c>
      <c r="J746" s="554">
        <v>6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IFERROR(__xludf.DUMMYFUNCTION("IMPORTRANGE(""https://docs.google.com/spreadsheets/d/1eHaY18a8A9IcSdp1K8H6x8fbOy06t2VsZHhMHf-1x7Y/edit?usp=sharing"",""แผน!GF77"")"),1)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IFERROR(__xludf.DUMMYFUNCTION("IMPORTRANGE(""https://docs.google.com/spreadsheets/d/1eHaY18a8A9IcSdp1K8H6x8fbOy06t2VsZHhMHf-1x7Y/edit?usp=sharing"",""แผน!GB77"")"),240)</f>
        <v>240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IFERROR(__xludf.DUMMYFUNCTION("IMPORTRANGE(""https://docs.google.com/spreadsheets/d/1eHaY18a8A9IcSdp1K8H6x8fbOy06t2VsZHhMHf-1x7Y/edit?usp=sharing"",""แผน!GD77"")"),60)</f>
        <v>60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9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56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20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50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148660</v>
      </c>
      <c r="R760" s="132">
        <f ca="1">R761+R762</f>
        <v>148660</v>
      </c>
      <c r="S760" s="132">
        <f ca="1">S761+S762</f>
        <v>12354.8</v>
      </c>
      <c r="T760" s="132">
        <f ca="1">IF(Q760&gt;0,S760*100/Q760,0)</f>
        <v>8.3107762679940809</v>
      </c>
      <c r="U760" s="132">
        <f ca="1">IF(R760&gt;0,S760*100/R760,0)</f>
        <v>8.3107762679940809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148660</v>
      </c>
      <c r="R762" s="47">
        <f ca="1">R765+R768</f>
        <v>148660</v>
      </c>
      <c r="S762" s="47">
        <f ca="1">S765+S768</f>
        <v>12354.8</v>
      </c>
      <c r="T762" s="47">
        <f ca="1">IF(Q762&gt;0,S762*100/Q762,0)</f>
        <v>8.3107762679940809</v>
      </c>
      <c r="U762" s="47">
        <f ca="1">IF(R762&gt;0,S762*100/R762,0)</f>
        <v>8.3107762679940809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148660</v>
      </c>
      <c r="R763" s="47">
        <f ca="1">R764+R765</f>
        <v>148660</v>
      </c>
      <c r="S763" s="47">
        <f ca="1">S764+S765</f>
        <v>12354.8</v>
      </c>
      <c r="T763" s="47">
        <f ca="1">IF(Q763&gt;0,S763*100/Q763,0)</f>
        <v>8.3107762679940809</v>
      </c>
      <c r="U763" s="47">
        <f ca="1">IF(R763&gt;0,S763*100/R763,0)</f>
        <v>8.3107762679940809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IFERROR(__xludf.DUMMYFUNCTION("IMPORTRANGE(""https://docs.google.com/spreadsheets/d/1ItG2mGa2ceCfYo0BwxsXqNm01IGEUdYcSSLTEv9YCik/edit?usp=sharing"",""เบิกจ่ายกองทุน!AA77"")"),148660)</f>
        <v>148660</v>
      </c>
      <c r="R765" s="47">
        <f ca="1">IFERROR(__xludf.DUMMYFUNCTION("IMPORTRANGE(""https://docs.google.com/spreadsheets/d/1ItG2mGa2ceCfYo0BwxsXqNm01IGEUdYcSSLTEv9YCik/edit?usp=sharing"",""เบิกจ่ายกองทุน!AB77"")"),148660)</f>
        <v>148660</v>
      </c>
      <c r="S765" s="47">
        <f ca="1">IFERROR(__xludf.DUMMYFUNCTION("IMPORTRANGE(""https://docs.google.com/spreadsheets/d/1ItG2mGa2ceCfYo0BwxsXqNm01IGEUdYcSSLTEv9YCik/edit?usp=sharing"",""เบิกจ่ายกองทุน!AC77"")"),12354.8)</f>
        <v>12354.8</v>
      </c>
      <c r="T765" s="47">
        <f ca="1">IF(Q765&gt;0,S765*100/Q765,0)</f>
        <v>8.3107762679940809</v>
      </c>
      <c r="U765" s="47">
        <f ca="1">IF(R765&gt;0,S765*100/R765,0)</f>
        <v>8.3107762679940809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IFERROR(__xludf.DUMMYFUNCTION("IMPORTRANGE(""https://docs.google.com/spreadsheets/d/1eHaY18a8A9IcSdp1K8H6x8fbOy06t2VsZHhMHf-1x7Y/edit?usp=sharing"",""แผน!FI77"")"),0)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IFERROR(__xludf.DUMMYFUNCTION("IMPORTRANGE(""https://docs.google.com/spreadsheets/d/1eHaY18a8A9IcSdp1K8H6x8fbOy06t2VsZHhMHf-1x7Y/edit?usp=sharing"",""แผน!FQ77"")"),20)</f>
        <v>20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IFERROR(__xludf.DUMMYFUNCTION("IMPORTRANGE(""https://docs.google.com/spreadsheets/d/1eHaY18a8A9IcSdp1K8H6x8fbOy06t2VsZHhMHf-1x7Y/edit?usp=sharing"",""แผน!FR77"")"),50)</f>
        <v>50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IFERROR(__xludf.DUMMYFUNCTION("IMPORTRANGE(""https://docs.google.com/spreadsheets/d/1eHaY18a8A9IcSdp1K8H6x8fbOy06t2VsZHhMHf-1x7Y/edit?usp=sharing"",""แผน!FS77"")"),50)</f>
        <v>50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IFERROR(__xludf.DUMMYFUNCTION("IMPORTRANGE(""https://docs.google.com/spreadsheets/d/1eHaY18a8A9IcSdp1K8H6x8fbOy06t2VsZHhMHf-1x7Y/edit?usp=sharing"",""แผน!FT77"")"),20)</f>
        <v>20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IFERROR(__xludf.DUMMYFUNCTION("IMPORTRANGE(""https://docs.google.com/spreadsheets/d/10OvvATaaLtwErnr3qtWFcTmtbfpFEt5Bsqel9sXx0uE/edit?usp=sharing"",""งานกองทุน!D77"")"),908878.42)</f>
        <v>908878.42</v>
      </c>
      <c r="J778" s="152">
        <f ca="1">IFERROR(__xludf.DUMMYFUNCTION("IMPORTRANGE(""https://docs.google.com/spreadsheets/d/10OvvATaaLtwErnr3qtWFcTmtbfpFEt5Bsqel9sXx0uE/edit?usp=sharing"",""งานกองทุน!F77"")"),607168.26)</f>
        <v>607168.26</v>
      </c>
      <c r="K778" s="47">
        <f ca="1">IF(I778&gt;0,J778*100/I778,0)</f>
        <v>66.804123262163046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IFERROR(__xludf.DUMMYFUNCTION("IMPORTRANGE(""https://docs.google.com/spreadsheets/d/10OvvATaaLtwErnr3qtWFcTmtbfpFEt5Bsqel9sXx0uE/edit?usp=sharing"",""งานกองทุน!C77"")"),66)</f>
        <v>66</v>
      </c>
      <c r="J779" s="152">
        <f ca="1">IFERROR(__xludf.DUMMYFUNCTION("IMPORTRANGE(""https://docs.google.com/spreadsheets/d/10OvvATaaLtwErnr3qtWFcTmtbfpFEt5Bsqel9sXx0uE/edit?usp=sharing"",""งานกองทุน!E77"")"),48)</f>
        <v>48</v>
      </c>
      <c r="K779" s="47">
        <f ca="1">IF(I779&gt;0,J779*100/I779,0)</f>
        <v>72.727272727272734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IFERROR(__xludf.DUMMYFUNCTION("IMPORTRANGE(""https://docs.google.com/spreadsheets/d/10OvvATaaLtwErnr3qtWFcTmtbfpFEt5Bsqel9sXx0uE/edit?usp=sharing"",""งานกองทุน!I77"")"),2017257.79)</f>
        <v>2017257.79</v>
      </c>
      <c r="J780" s="152">
        <f ca="1">IFERROR(__xludf.DUMMYFUNCTION("IMPORTRANGE(""https://docs.google.com/spreadsheets/d/10OvvATaaLtwErnr3qtWFcTmtbfpFEt5Bsqel9sXx0uE/edit?usp=sharing"",""งานกองทุน!K77"")"),387561.52)</f>
        <v>387561.52</v>
      </c>
      <c r="K780" s="47">
        <f ca="1">IF(I780&gt;0,J780*100/I780,0)</f>
        <v>19.212295122677403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IFERROR(__xludf.DUMMYFUNCTION("IMPORTRANGE(""https://docs.google.com/spreadsheets/d/10OvvATaaLtwErnr3qtWFcTmtbfpFEt5Bsqel9sXx0uE/edit?usp=sharing"",""งานกองทุน!H77"")"),79)</f>
        <v>79</v>
      </c>
      <c r="J781" s="152">
        <f ca="1">IFERROR(__xludf.DUMMYFUNCTION("IMPORTRANGE(""https://docs.google.com/spreadsheets/d/10OvvATaaLtwErnr3qtWFcTmtbfpFEt5Bsqel9sXx0uE/edit?usp=sharing"",""งานกองทุน!J77"")"),36)</f>
        <v>36</v>
      </c>
      <c r="K781" s="47">
        <f ca="1">IF(I781&gt;0,J781*100/I781,0)</f>
        <v>45.569620253164558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IFERROR(__xludf.DUMMYFUNCTION("IMPORTRANGE(""https://docs.google.com/spreadsheets/d/10OvvATaaLtwErnr3qtWFcTmtbfpFEt5Bsqel9sXx0uE/edit?usp=sharing"",""งานกองทุน!N77"")"),0)</f>
        <v>0</v>
      </c>
      <c r="J782" s="152">
        <f ca="1">IFERROR(__xludf.DUMMYFUNCTION("IMPORTRANGE(""https://docs.google.com/spreadsheets/d/10OvvATaaLtwErnr3qtWFcTmtbfpFEt5Bsqel9sXx0uE/edit?usp=sharing"",""งานกองทุน!P77"")"),0)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IFERROR(__xludf.DUMMYFUNCTION("IMPORTRANGE(""https://docs.google.com/spreadsheets/d/10OvvATaaLtwErnr3qtWFcTmtbfpFEt5Bsqel9sXx0uE/edit?usp=sharing"",""งานกองทุน!M77"")"),0)</f>
        <v>0</v>
      </c>
      <c r="J783" s="152">
        <f ca="1">IFERROR(__xludf.DUMMYFUNCTION("IMPORTRANGE(""https://docs.google.com/spreadsheets/d/10OvvATaaLtwErnr3qtWFcTmtbfpFEt5Bsqel9sXx0uE/edit?usp=sharing"",""งานกองทุน!O77"")"),0)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IFERROR(__xludf.DUMMYFUNCTION("IMPORTRANGE(""https://docs.google.com/spreadsheets/d/10OvvATaaLtwErnr3qtWFcTmtbfpFEt5Bsqel9sXx0uE/edit?usp=sharing"",""งานกองทุน!S77"")"),2296000)</f>
        <v>2296000</v>
      </c>
      <c r="J784" s="152">
        <f ca="1">IFERROR(__xludf.DUMMYFUNCTION("IMPORTRANGE(""https://docs.google.com/spreadsheets/d/10OvvATaaLtwErnr3qtWFcTmtbfpFEt5Bsqel9sXx0uE/edit?usp=sharing"",""งานกองทุน!U77"")"),855000)</f>
        <v>855000</v>
      </c>
      <c r="K784" s="47">
        <f ca="1">IF(I784&gt;0,J784*100/I784,0)</f>
        <v>37.238675958188153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IFERROR(__xludf.DUMMYFUNCTION("IMPORTRANGE(""https://docs.google.com/spreadsheets/d/10OvvATaaLtwErnr3qtWFcTmtbfpFEt5Bsqel9sXx0uE/edit?usp=sharing"",""งานกองทุน!R77"")"),82)</f>
        <v>82</v>
      </c>
      <c r="J785" s="197">
        <f ca="1">IFERROR(__xludf.DUMMYFUNCTION("IMPORTRANGE(""https://docs.google.com/spreadsheets/d/10OvvATaaLtwErnr3qtWFcTmtbfpFEt5Bsqel9sXx0uE/edit?usp=sharing"",""งานกองทุน!T77"")"),19)</f>
        <v>19</v>
      </c>
      <c r="K785" s="111">
        <f ca="1">IF(I785&gt;0,J785*100/I785,0)</f>
        <v>23.170731707317074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4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2EB66-6275-41E4-B0EF-6E228071158A}">
  <sheetPr codeName="Sheet5">
    <outlinePr summaryBelow="0" summaryRight="0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 x14ac:dyDescent="0.3">
      <c r="A1" s="817" t="s">
        <v>0</v>
      </c>
      <c r="B1" s="817"/>
      <c r="C1" s="817"/>
      <c r="D1" s="817"/>
      <c r="E1" s="817"/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7"/>
      <c r="R1" s="817"/>
      <c r="S1" s="817"/>
      <c r="T1" s="817"/>
      <c r="U1" s="817"/>
    </row>
    <row r="2" spans="1:21" s="897" customFormat="1" ht="19.5" x14ac:dyDescent="0.3">
      <c r="A2" s="817" t="s">
        <v>317</v>
      </c>
      <c r="B2" s="817"/>
      <c r="C2" s="817"/>
      <c r="D2" s="817"/>
      <c r="E2" s="817"/>
      <c r="F2" s="817"/>
      <c r="G2" s="817"/>
      <c r="H2" s="817"/>
      <c r="I2" s="817"/>
      <c r="J2" s="817"/>
      <c r="K2" s="817"/>
      <c r="L2" s="817"/>
      <c r="M2" s="817"/>
      <c r="N2" s="817"/>
      <c r="O2" s="817"/>
      <c r="P2" s="817"/>
      <c r="Q2" s="817"/>
      <c r="R2" s="817"/>
      <c r="S2" s="817"/>
      <c r="T2" s="817"/>
      <c r="U2" s="817"/>
    </row>
    <row r="3" spans="1:21" ht="19.5" x14ac:dyDescent="0.3">
      <c r="A3" s="817" t="s">
        <v>332</v>
      </c>
      <c r="B3" s="817"/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  <c r="S3" s="817"/>
      <c r="T3" s="817"/>
      <c r="U3" s="817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816"/>
      <c r="L4" s="815" t="s">
        <v>2</v>
      </c>
      <c r="M4" s="518"/>
      <c r="N4" s="518"/>
      <c r="O4" s="518"/>
      <c r="P4" s="519"/>
      <c r="Q4" s="814" t="s">
        <v>3</v>
      </c>
      <c r="R4" s="518"/>
      <c r="S4" s="518"/>
      <c r="T4" s="518"/>
      <c r="U4" s="519"/>
    </row>
    <row r="5" spans="1:21" ht="19.5" x14ac:dyDescent="0.3">
      <c r="A5" s="813" t="s">
        <v>4</v>
      </c>
      <c r="B5" s="522"/>
      <c r="C5" s="522"/>
      <c r="D5" s="522"/>
      <c r="E5" s="522"/>
      <c r="F5" s="522"/>
      <c r="G5" s="535"/>
      <c r="H5" s="812" t="s">
        <v>5</v>
      </c>
      <c r="I5" s="527" t="s">
        <v>6</v>
      </c>
      <c r="J5" s="518"/>
      <c r="K5" s="519"/>
      <c r="L5" s="811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0"/>
      <c r="I6" s="7" t="s">
        <v>9</v>
      </c>
      <c r="J6" s="8" t="s">
        <v>10</v>
      </c>
      <c r="K6" s="7" t="s">
        <v>11</v>
      </c>
      <c r="L6" s="809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2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1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1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1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1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1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1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1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1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08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7">
        <f ca="1">L19+L20</f>
        <v>6497420</v>
      </c>
      <c r="M18" s="35">
        <f ca="1">M19+M20</f>
        <v>6768216.4800000004</v>
      </c>
      <c r="N18" s="35">
        <f ca="1">N19+N20</f>
        <v>2566135.2599999998</v>
      </c>
      <c r="O18" s="35">
        <f ca="1">IF(L18&gt;0,N18*100/L18,0)</f>
        <v>39.494680350046629</v>
      </c>
      <c r="P18" s="35">
        <f ca="1">IF(M18&gt;0,N18*100/M18,0)</f>
        <v>37.914497380261089</v>
      </c>
      <c r="Q18" s="35">
        <f ca="1">Q19+Q20</f>
        <v>1206797.3900000001</v>
      </c>
      <c r="R18" s="35">
        <f ca="1">R19+R20</f>
        <v>1200547</v>
      </c>
      <c r="S18" s="35">
        <f ca="1">S19+S20</f>
        <v>131253</v>
      </c>
      <c r="T18" s="35">
        <f ca="1">IF(Q18&gt;0,S18*100/Q18,0)</f>
        <v>10.876142183237567</v>
      </c>
      <c r="U18" s="35">
        <f ca="1">IF(R18&gt;0,S18*100/R18,0)</f>
        <v>10.932766480612587</v>
      </c>
    </row>
    <row r="19" spans="1:21" ht="18.75" hidden="1" x14ac:dyDescent="0.25">
      <c r="A19" s="27"/>
      <c r="B19" s="28"/>
      <c r="C19" s="28"/>
      <c r="D19" s="28"/>
      <c r="E19" s="806" t="s">
        <v>20</v>
      </c>
      <c r="F19" s="28"/>
      <c r="G19" s="31"/>
      <c r="H19" s="805" t="s">
        <v>14</v>
      </c>
      <c r="I19" s="33"/>
      <c r="J19" s="33"/>
      <c r="K19" s="34"/>
      <c r="L19" s="804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3">
        <f ca="1">L23+L26</f>
        <v>6497420</v>
      </c>
      <c r="M20" s="39">
        <f ca="1">M23+M26</f>
        <v>6768216.4800000004</v>
      </c>
      <c r="N20" s="39">
        <f ca="1">N23+N26</f>
        <v>2566135.2599999998</v>
      </c>
      <c r="O20" s="39">
        <f ca="1">IF(L20&gt;0,N20*100/L20,0)</f>
        <v>39.494680350046629</v>
      </c>
      <c r="P20" s="39">
        <f ca="1">IF(M20&gt;0,N20*100/M20,0)</f>
        <v>37.914497380261089</v>
      </c>
      <c r="Q20" s="39">
        <f ca="1">Q23+Q26</f>
        <v>1206797.3900000001</v>
      </c>
      <c r="R20" s="39">
        <f ca="1">R23+R26</f>
        <v>1200547</v>
      </c>
      <c r="S20" s="39">
        <f ca="1">S23+S26</f>
        <v>131253</v>
      </c>
      <c r="T20" s="39">
        <f ca="1">IF(Q20&gt;0,S20*100/Q20,0)</f>
        <v>10.876142183237567</v>
      </c>
      <c r="U20" s="39">
        <f ca="1">IF(R20&gt;0,S20*100/R20,0)</f>
        <v>10.932766480612587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2937420</v>
      </c>
      <c r="M21" s="47">
        <f ca="1">M22+M23</f>
        <v>3208216.48</v>
      </c>
      <c r="N21" s="47">
        <f ca="1">N22+N23</f>
        <v>2207135.2599999998</v>
      </c>
      <c r="O21" s="47">
        <f ca="1">IF(L21&gt;0,N21*100/L21,0)</f>
        <v>75.138565816260524</v>
      </c>
      <c r="P21" s="47">
        <f ca="1">IF(M21&gt;0,N21*100/M21,0)</f>
        <v>68.796331973208979</v>
      </c>
      <c r="Q21" s="47">
        <f ca="1">Q22+Q23</f>
        <v>1206797.3900000001</v>
      </c>
      <c r="R21" s="47">
        <f ca="1">R22+R23</f>
        <v>1200547</v>
      </c>
      <c r="S21" s="47">
        <f ca="1">S22+S23</f>
        <v>131253</v>
      </c>
      <c r="T21" s="47">
        <f ca="1">IF(Q21&gt;0,S21*100/Q21,0)</f>
        <v>10.876142183237567</v>
      </c>
      <c r="U21" s="47">
        <f ca="1">IF(R21&gt;0,S21*100/R21,0)</f>
        <v>10.932766480612587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L49+L64+L77+L99+L130+L144+L162+L191+L178+L271+L287+L308+L325+L338+L361+L518</f>
        <v>2937420</v>
      </c>
      <c r="M23" s="47">
        <f ca="1">M49+M64+M77+M99+M130+M144+M162+M191+M178+M271+M287+M308+M325+M338+M361+M518</f>
        <v>3208216.48</v>
      </c>
      <c r="N23" s="47">
        <f ca="1">N49+N64+N77+N99+N130+N144+N162+N191+N178+N271+N287+N308+N325+N338+N361+N518</f>
        <v>2207135.2599999998</v>
      </c>
      <c r="O23" s="47">
        <f ca="1">IF(L23&gt;0,N23*100/L23,0)</f>
        <v>75.138565816260524</v>
      </c>
      <c r="P23" s="47">
        <f ca="1">IF(M23&gt;0,N23*100/M23,0)</f>
        <v>68.796331973208979</v>
      </c>
      <c r="Q23" s="47">
        <f ca="1">Q77+Q99+Q122+Q144+Q162+Q178+Q191+Q271+Q287+Q308+Q338+Q380+Q397+Q418+Q498+Q604+Q621+Q647+Q695+Q719+Q733+Q765</f>
        <v>1206797.3900000001</v>
      </c>
      <c r="R23" s="47">
        <f ca="1">R77+R99+R122+R144+R162+R178+R191+R271+R287+R308+R338+R380+R397+R418+R498+R604+R621+R647+R695+R719+R733+R765</f>
        <v>1200547</v>
      </c>
      <c r="S23" s="47">
        <f ca="1">S77+S99+S122+S144+S162+S178+S191+S271+S287+S308+S338+S380+S397+S418+S498+S604+S621+S647+S695+S719+S733+S765</f>
        <v>131253</v>
      </c>
      <c r="T23" s="47">
        <f ca="1">IF(Q23&gt;0,S23*100/Q23,0)</f>
        <v>10.876142183237567</v>
      </c>
      <c r="U23" s="47">
        <f ca="1">IF(R23&gt;0,S23*100/R23,0)</f>
        <v>10.932766480612587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3560000</v>
      </c>
      <c r="M24" s="47">
        <f ca="1">M25+M26</f>
        <v>3560000</v>
      </c>
      <c r="N24" s="47">
        <f ca="1">N25+N26</f>
        <v>359000</v>
      </c>
      <c r="O24" s="47">
        <f ca="1">IF(L24&gt;0,N24*100/L24,0)</f>
        <v>10.084269662921349</v>
      </c>
      <c r="P24" s="47">
        <f ca="1">IF(M24&gt;0,N24*100/M24,0)</f>
        <v>10.084269662921349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L52+L67+L80+L102+L133+L147+L165+L194+L181+L274+L290+L311+L328+L341+L364+L521</f>
        <v>3560000</v>
      </c>
      <c r="M26" s="47">
        <f ca="1">M52+M67+M80+M102+M133+M147+M165+M194+M181+M274+M290+M311+M328+M341+M364+M521</f>
        <v>3560000</v>
      </c>
      <c r="N26" s="47">
        <f ca="1">N52+N67+N80+N102+N133+N147+N165+N194+N181+N274+N290+N311+N328+N341+N364+N521</f>
        <v>359000</v>
      </c>
      <c r="O26" s="47">
        <f ca="1">IF(L26&gt;0,N26*100/L26,0)</f>
        <v>10.084269662921349</v>
      </c>
      <c r="P26" s="47">
        <f ca="1">IF(M26&gt;0,N26*100/M26,0)</f>
        <v>10.084269662921349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2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1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1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1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1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1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1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1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1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1">
        <f ca="1">L44+L59+L72+L94+L125+L139+L157+L173+L186+L266+L282+L303+L320+L333+L356</f>
        <v>6497420</v>
      </c>
      <c r="M40" s="800">
        <f ca="1">M44+M59+M72+M94+M125+M139+M157+M173+M186+M266+M282+M303+M320+M333+M356</f>
        <v>6768216.4800000004</v>
      </c>
      <c r="N40" s="800">
        <f ca="1">N44+N59+N72+N94+N125+N139+N157+N173+N186+N266+N282+N303+N320+N333+N356</f>
        <v>2566135.2599999998</v>
      </c>
      <c r="O40" s="800">
        <f ca="1">IF(L40&gt;0,N40*100/L40,0)</f>
        <v>39.494680350046629</v>
      </c>
      <c r="P40" s="800">
        <f ca="1">IF(M40&gt;0,N40*100/M40,0)</f>
        <v>37.914497380261089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99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1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628000</v>
      </c>
      <c r="M44" s="79">
        <f ca="1">M45+M46</f>
        <v>715309.48</v>
      </c>
      <c r="N44" s="79">
        <f ca="1">N45+N46</f>
        <v>504982.72</v>
      </c>
      <c r="O44" s="79">
        <f ca="1">IF(L44&gt;0,N44*100/L44,0)</f>
        <v>80.411261146496813</v>
      </c>
      <c r="P44" s="79">
        <f ca="1">IF(M44&gt;0,N44*100/M44,0)</f>
        <v>70.59639696093501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628000</v>
      </c>
      <c r="M46" s="83">
        <f ca="1">M49+M52</f>
        <v>715309.48</v>
      </c>
      <c r="N46" s="83">
        <f ca="1">N49+N52</f>
        <v>504982.72</v>
      </c>
      <c r="O46" s="83">
        <f ca="1">IF(L46&gt;0,N46*100/L46,0)</f>
        <v>80.411261146496813</v>
      </c>
      <c r="P46" s="83">
        <f ca="1">IF(M46&gt;0,N46*100/M46,0)</f>
        <v>70.59639696093501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628000</v>
      </c>
      <c r="M47" s="47">
        <f ca="1">M48+M49</f>
        <v>715309.48</v>
      </c>
      <c r="N47" s="47">
        <f ca="1">N48+N49</f>
        <v>504982.72</v>
      </c>
      <c r="O47" s="47">
        <f ca="1">IF(L47&gt;0,N47*100/L47,0)</f>
        <v>80.411261146496813</v>
      </c>
      <c r="P47" s="47">
        <f ca="1">IF(M47&gt;0,N47*100/M47,0)</f>
        <v>70.59639696093501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IFERROR(__xludf.DUMMYFUNCTION("IMPORTRANGE(""https://docs.google.com/spreadsheets/d/1-uDff_7J0KD5mKrp0Vvzr7lt3OU09vwQwhkpOPPYv2Y/edit?usp=sharing"",""งบพรบ!P78"")"),628000)</f>
        <v>628000</v>
      </c>
      <c r="M49" s="47">
        <f ca="1">IFERROR(__xludf.DUMMYFUNCTION("IMPORTRANGE(""https://docs.google.com/spreadsheets/d/1-uDff_7J0KD5mKrp0Vvzr7lt3OU09vwQwhkpOPPYv2Y/edit?usp=sharing"",""งบพรบ!V78"")"),715309.48)</f>
        <v>715309.48</v>
      </c>
      <c r="N49" s="47">
        <f ca="1">IFERROR(__xludf.DUMMYFUNCTION("IMPORTRANGE(""https://docs.google.com/spreadsheets/d/1-uDff_7J0KD5mKrp0Vvzr7lt3OU09vwQwhkpOPPYv2Y/edit?usp=sharing"",""งบพรบ!Y78"")"),504982.72)</f>
        <v>504982.72</v>
      </c>
      <c r="O49" s="47">
        <f ca="1">IF(L49&gt;0,N49*100/L49,0)</f>
        <v>80.411261146496813</v>
      </c>
      <c r="P49" s="47">
        <f ca="1">IF(M49&gt;0,N49*100/M49,0)</f>
        <v>70.59639696093501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IFERROR(__xludf.DUMMYFUNCTION("IMPORTRANGE(""https://docs.google.com/spreadsheets/d/1-uDff_7J0KD5mKrp0Vvzr7lt3OU09vwQwhkpOPPYv2Y/edit?usp=sharing"",""งบพรบ!S78"")"),0)</f>
        <v>0</v>
      </c>
      <c r="M52" s="47">
        <f ca="1">IFERROR(__xludf.DUMMYFUNCTION("IMPORTRANGE(""https://docs.google.com/spreadsheets/d/1-uDff_7J0KD5mKrp0Vvzr7lt3OU09vwQwhkpOPPYv2Y/edit?usp=sharing"",""งบพรบ!W78"")"),0)</f>
        <v>0</v>
      </c>
      <c r="N52" s="47">
        <f ca="1">IFERROR(__xludf.DUMMYFUNCTION("IMPORTRANGE(""https://docs.google.com/spreadsheets/d/1-uDff_7J0KD5mKrp0Vvzr7lt3OU09vwQwhkpOPPYv2Y/edit?usp=sharing"",""งบพรบ!Z78"")"),0)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4319200</v>
      </c>
      <c r="M59" s="106">
        <f ca="1">M60+M61</f>
        <v>4444082</v>
      </c>
      <c r="N59" s="106">
        <f ca="1">N60+N61</f>
        <v>1044475.96</v>
      </c>
      <c r="O59" s="106">
        <f ca="1">IF(L59&gt;0,N59*100/L59,0)</f>
        <v>24.182162437488422</v>
      </c>
      <c r="P59" s="106">
        <f ca="1">IF(M59&gt;0,N59*100/M59,0)</f>
        <v>23.502625739129027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4319200</v>
      </c>
      <c r="M61" s="109">
        <f ca="1">M64+M67</f>
        <v>4444082</v>
      </c>
      <c r="N61" s="109">
        <f ca="1">N64+N67</f>
        <v>1044475.96</v>
      </c>
      <c r="O61" s="109">
        <f ca="1">IF(L61&gt;0,N61*100/L61,0)</f>
        <v>24.182162437488422</v>
      </c>
      <c r="P61" s="109">
        <f ca="1">IF(M61&gt;0,N61*100/M61,0)</f>
        <v>23.502625739129027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759200</v>
      </c>
      <c r="M62" s="47">
        <f ca="1">M63+M64</f>
        <v>884082</v>
      </c>
      <c r="N62" s="47">
        <f ca="1">N63+N64</f>
        <v>685475.96</v>
      </c>
      <c r="O62" s="47">
        <f ca="1">IF(L62&gt;0,N62*100/L62,0)</f>
        <v>90.28924657534246</v>
      </c>
      <c r="P62" s="47">
        <f ca="1">IF(M62&gt;0,N62*100/M62,0)</f>
        <v>77.535337219850646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IFERROR(__xludf.DUMMYFUNCTION("IMPORTRANGE(""https://docs.google.com/spreadsheets/d/1-uDff_7J0KD5mKrp0Vvzr7lt3OU09vwQwhkpOPPYv2Y/edit?usp=sharing"",""งบพรบ!AC78"")"),759200)</f>
        <v>759200</v>
      </c>
      <c r="M64" s="47">
        <f ca="1">IFERROR(__xludf.DUMMYFUNCTION("IMPORTRANGE(""https://docs.google.com/spreadsheets/d/1-uDff_7J0KD5mKrp0Vvzr7lt3OU09vwQwhkpOPPYv2Y/edit?usp=sharing"",""งบพรบ!AH78"")"),884082)</f>
        <v>884082</v>
      </c>
      <c r="N64" s="47">
        <f ca="1">IFERROR(__xludf.DUMMYFUNCTION("IMPORTRANGE(""https://docs.google.com/spreadsheets/d/1-uDff_7J0KD5mKrp0Vvzr7lt3OU09vwQwhkpOPPYv2Y/edit?usp=sharing"",""งบพรบ!AJ78"")"),685475.96)</f>
        <v>685475.96</v>
      </c>
      <c r="O64" s="47">
        <f ca="1">IF(L64&gt;0,N64*100/L64,0)</f>
        <v>90.28924657534246</v>
      </c>
      <c r="P64" s="47">
        <f ca="1">IF(M64&gt;0,N64*100/M64,0)</f>
        <v>77.535337219850646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3560000</v>
      </c>
      <c r="M65" s="47">
        <f ca="1">M66+M67</f>
        <v>3560000</v>
      </c>
      <c r="N65" s="47">
        <f ca="1">N66+N67</f>
        <v>359000</v>
      </c>
      <c r="O65" s="47">
        <f ca="1">IF(L65&gt;0,N65*100/L65,0)</f>
        <v>10.084269662921349</v>
      </c>
      <c r="P65" s="47">
        <f ca="1">IF(M65&gt;0,N65*100/M65,0)</f>
        <v>10.084269662921349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IFERROR(__xludf.DUMMYFUNCTION("IMPORTRANGE(""https://docs.google.com/spreadsheets/d/1-uDff_7J0KD5mKrp0Vvzr7lt3OU09vwQwhkpOPPYv2Y/edit?usp=sharing"",""งบพรบ!AF78"")"),3560000)</f>
        <v>3560000</v>
      </c>
      <c r="M67" s="111">
        <f ca="1">IFERROR(__xludf.DUMMYFUNCTION("IMPORTRANGE(""https://docs.google.com/spreadsheets/d/1-uDff_7J0KD5mKrp0Vvzr7lt3OU09vwQwhkpOPPYv2Y/edit?usp=sharing"",""งบพรบ!AI78"")"),3560000)</f>
        <v>3560000</v>
      </c>
      <c r="N67" s="111">
        <f ca="1">IFERROR(__xludf.DUMMYFUNCTION("IMPORTRANGE(""https://docs.google.com/spreadsheets/d/1-uDff_7J0KD5mKrp0Vvzr7lt3OU09vwQwhkpOPPYv2Y/edit?usp=sharing"",""งบพรบ!AK78"")"),359000)</f>
        <v>359000</v>
      </c>
      <c r="O67" s="111">
        <f ca="1">IF(L67&gt;0,N67*100/L67,0)</f>
        <v>10.084269662921349</v>
      </c>
      <c r="P67" s="111">
        <f ca="1">IF(M67&gt;0,N67*100/M67,0)</f>
        <v>10.084269662921349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0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IFERROR(__xludf.DUMMYFUNCTION("IMPORTRANGE(""https://docs.google.com/spreadsheets/d/1-uDff_7J0KD5mKrp0Vvzr7lt3OU09vwQwhkpOPPYv2Y/edit?usp=sharing"",""งบพรบ!AM78"")"),0)</f>
        <v>0</v>
      </c>
      <c r="M77" s="47">
        <f ca="1">IFERROR(__xludf.DUMMYFUNCTION("IMPORTRANGE(""https://docs.google.com/spreadsheets/d/1-uDff_7J0KD5mKrp0Vvzr7lt3OU09vwQwhkpOPPYv2Y/edit?usp=sharing"",""งบพรบ!AR78"")"),0)</f>
        <v>0</v>
      </c>
      <c r="N77" s="47">
        <f ca="1">IFERROR(__xludf.DUMMYFUNCTION("IMPORTRANGE(""https://docs.google.com/spreadsheets/d/1-uDff_7J0KD5mKrp0Vvzr7lt3OU09vwQwhkpOPPYv2Y/edit?usp=sharing"",""งบพรบ!AT78"")"),0)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IFERROR(__xludf.DUMMYFUNCTION("IMPORTRANGE(""https://docs.google.com/spreadsheets/d/1ItG2mGa2ceCfYo0BwxsXqNm01IGEUdYcSSLTEv9YCik/edit?usp=sharing"",""เบิกจ่ายกองทุน!BH78"")"),0)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IFERROR(__xludf.DUMMYFUNCTION("IMPORTRANGE(""https://docs.google.com/spreadsheets/d/1ItG2mGa2ceCfYo0BwxsXqNm01IGEUdYcSSLTEv9YCik/edit?usp=sharing"",""เบิกจ่ายกองทุน!BI78"")"),0)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IFERROR(__xludf.DUMMYFUNCTION("IMPORTRANGE(""https://docs.google.com/spreadsheets/d/1ItG2mGa2ceCfYo0BwxsXqNm01IGEUdYcSSLTEv9YCik/edit?usp=sharing"",""เบิกจ่ายกองทุน!BJ78"")"),0)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IFERROR(__xludf.DUMMYFUNCTION("IMPORTRANGE(""https://docs.google.com/spreadsheets/d/1-uDff_7J0KD5mKrp0Vvzr7lt3OU09vwQwhkpOPPYv2Y/edit?usp=sharing"",""งบพรบ!AP78"")"),0)</f>
        <v>0</v>
      </c>
      <c r="M80" s="47">
        <f ca="1">IFERROR(__xludf.DUMMYFUNCTION("IMPORTRANGE(""https://docs.google.com/spreadsheets/d/1-uDff_7J0KD5mKrp0Vvzr7lt3OU09vwQwhkpOPPYv2Y/edit?usp=sharing"",""งบพรบ!AS78"")"),0)</f>
        <v>0</v>
      </c>
      <c r="N80" s="47">
        <f ca="1">IFERROR(__xludf.DUMMYFUNCTION("IMPORTRANGE(""https://docs.google.com/spreadsheets/d/1-uDff_7J0KD5mKrp0Vvzr7lt3OU09vwQwhkpOPPYv2Y/edit?usp=sharing"",""งบพรบ!AU78"")"),0)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IFERROR(__xludf.DUMMYFUNCTION("IMPORTRANGE(""https://docs.google.com/spreadsheets/d/1ItG2mGa2ceCfYo0BwxsXqNm01IGEUdYcSSLTEv9YCik/edit?usp=sharing"",""เบิกจ่ายกองทุน!BK78"")"),0)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IFERROR(__xludf.DUMMYFUNCTION("IMPORTRANGE(""https://docs.google.com/spreadsheets/d/1ItG2mGa2ceCfYo0BwxsXqNm01IGEUdYcSSLTEv9YCik/edit?usp=sharing"",""เบิกจ่ายกองทุน!BL78"")"),0)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IFERROR(__xludf.DUMMYFUNCTION("IMPORTRANGE(""https://docs.google.com/spreadsheets/d/1ItG2mGa2ceCfYo0BwxsXqNm01IGEUdYcSSLTEv9YCik/edit?usp=sharing"",""เบิกจ่ายกองทุน!BM78"")"),0)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IFERROR(__xludf.DUMMYFUNCTION("IMPORTRANGE(""https://docs.google.com/spreadsheets/d/1eHaY18a8A9IcSdp1K8H6x8fbOy06t2VsZHhMHf-1x7Y/edit?usp=sharing"",""แผน!H78"")"),0)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IFERROR(__xludf.DUMMYFUNCTION("IMPORTRANGE(""https://docs.google.com/spreadsheets/d/1eHaY18a8A9IcSdp1K8H6x8fbOy06t2VsZHhMHf-1x7Y/edit?usp=sharing"",""แผน!I78"")"),0)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IFERROR(__xludf.DUMMYFUNCTION("IMPORTRANGE(""https://docs.google.com/spreadsheets/d/1eHaY18a8A9IcSdp1K8H6x8fbOy06t2VsZHhMHf-1x7Y/edit?usp=sharing"",""แผน!F78"")"),0)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IFERROR(__xludf.DUMMYFUNCTION("IMPORTRANGE(""https://docs.google.com/spreadsheets/d/1eHaY18a8A9IcSdp1K8H6x8fbOy06t2VsZHhMHf-1x7Y/edit?usp=sharing"",""แผน!G78"")"),0)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IFERROR(__xludf.DUMMYFUNCTION("IMPORTRANGE(""https://docs.google.com/spreadsheets/d/1eHaY18a8A9IcSdp1K8H6x8fbOy06t2VsZHhMHf-1x7Y/edit?usp=sharing"",""แผน!D78"")"),0)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IFERROR(__xludf.DUMMYFUNCTION("IMPORTRANGE(""https://docs.google.com/spreadsheets/d/1eHaY18a8A9IcSdp1K8H6x8fbOy06t2VsZHhMHf-1x7Y/edit?usp=sharing"",""แผน!E78"")"),0)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IFERROR(__xludf.DUMMYFUNCTION("IMPORTRANGE(""https://docs.google.com/spreadsheets/d/1eHaY18a8A9IcSdp1K8H6x8fbOy06t2VsZHhMHf-1x7Y/edit?usp=sharing"",""แผน!J78"")"),0)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0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IFERROR(__xludf.DUMMYFUNCTION("IMPORTRANGE(""https://docs.google.com/spreadsheets/d/1-uDff_7J0KD5mKrp0Vvzr7lt3OU09vwQwhkpOPPYv2Y/edit?usp=sharing"",""งบพรบ!AW78"")"),0)</f>
        <v>0</v>
      </c>
      <c r="M99" s="47">
        <f ca="1">IFERROR(__xludf.DUMMYFUNCTION("IMPORTRANGE(""https://docs.google.com/spreadsheets/d/1-uDff_7J0KD5mKrp0Vvzr7lt3OU09vwQwhkpOPPYv2Y/edit?usp=sharing"",""งบพรบ!BB78"")"),0)</f>
        <v>0</v>
      </c>
      <c r="N99" s="47">
        <f ca="1">IFERROR(__xludf.DUMMYFUNCTION("IMPORTRANGE(""https://docs.google.com/spreadsheets/d/1-uDff_7J0KD5mKrp0Vvzr7lt3OU09vwQwhkpOPPYv2Y/edit?usp=sharing"",""งบพรบ!BD78"")"),0)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IFERROR(__xludf.DUMMYFUNCTION("IMPORTRANGE(""https://docs.google.com/spreadsheets/d/1ItG2mGa2ceCfYo0BwxsXqNm01IGEUdYcSSLTEv9YCik/edit?usp=sharing"",""เบิกจ่ายกองทุน!AJ78"")"),0)</f>
        <v>0</v>
      </c>
      <c r="R99" s="47">
        <f ca="1">IFERROR(__xludf.DUMMYFUNCTION("IMPORTRANGE(""https://docs.google.com/spreadsheets/d/1ItG2mGa2ceCfYo0BwxsXqNm01IGEUdYcSSLTEv9YCik/edit?usp=sharing"",""เบิกจ่ายกองทุน!AK78"")"),0)</f>
        <v>0</v>
      </c>
      <c r="S99" s="47">
        <f ca="1">IFERROR(__xludf.DUMMYFUNCTION("IMPORTRANGE(""https://docs.google.com/spreadsheets/d/1ItG2mGa2ceCfYo0BwxsXqNm01IGEUdYcSSLTEv9YCik/edit?usp=sharing"",""เบิกจ่ายกองทุน!AL78"")"),0)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IFERROR(__xludf.DUMMYFUNCTION("IMPORTRANGE(""https://docs.google.com/spreadsheets/d/1-uDff_7J0KD5mKrp0Vvzr7lt3OU09vwQwhkpOPPYv2Y/edit?usp=sharing"",""งบพรบ!AZ78"")"),0)</f>
        <v>0</v>
      </c>
      <c r="M102" s="47">
        <f ca="1">IFERROR(__xludf.DUMMYFUNCTION("IMPORTRANGE(""https://docs.google.com/spreadsheets/d/1-uDff_7J0KD5mKrp0Vvzr7lt3OU09vwQwhkpOPPYv2Y/edit?usp=sharing"",""งบพรบ!BC78"")"),0)</f>
        <v>0</v>
      </c>
      <c r="N102" s="47">
        <f ca="1">IFERROR(__xludf.DUMMYFUNCTION("IMPORTRANGE(""https://docs.google.com/spreadsheets/d/1-uDff_7J0KD5mKrp0Vvzr7lt3OU09vwQwhkpOPPYv2Y/edit?usp=sharing"",""งบพรบ!BE78"")"),0)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1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1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1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IFERROR(__xludf.DUMMYFUNCTION("IMPORTRANGE(""https://docs.google.com/spreadsheets/d/1eHaY18a8A9IcSdp1K8H6x8fbOy06t2VsZHhMHf-1x7Y/edit?usp=sharing"",""แผน!N78"")"),0)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IFERROR(__xludf.DUMMYFUNCTION("IMPORTRANGE(""https://docs.google.com/spreadsheets/d/1eHaY18a8A9IcSdp1K8H6x8fbOy06t2VsZHhMHf-1x7Y/edit?usp=sharing"",""แผน!O78"")"),0)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1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1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1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1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IFERROR(__xludf.DUMMYFUNCTION("IMPORTRANGE(""https://docs.google.com/spreadsheets/d/1eHaY18a8A9IcSdp1K8H6x8fbOy06t2VsZHhMHf-1x7Y/edit?usp=sharing"",""แผน!R78"")"),0)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20</v>
      </c>
      <c r="J116" s="127">
        <f>J127</f>
        <v>0</v>
      </c>
      <c r="K116" s="35">
        <f ca="1">IF(I116&gt;0,J116*100/I116,0)</f>
        <v>0</v>
      </c>
      <c r="L116" s="58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9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209360</v>
      </c>
      <c r="R117" s="132">
        <f ca="1">R118+R119</f>
        <v>209360</v>
      </c>
      <c r="S117" s="132">
        <f ca="1">S118+S119</f>
        <v>65436</v>
      </c>
      <c r="T117" s="132">
        <f ca="1">IF(Q117&gt;0,S117*100/Q117,0)</f>
        <v>31.255254107756972</v>
      </c>
      <c r="U117" s="132">
        <f ca="1">IF(R117&gt;0,S117*100/R117,0)</f>
        <v>31.255254107756972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209360</v>
      </c>
      <c r="R119" s="47">
        <f ca="1">R122+R125</f>
        <v>209360</v>
      </c>
      <c r="S119" s="47">
        <f ca="1">S122+S125</f>
        <v>65436</v>
      </c>
      <c r="T119" s="47">
        <f ca="1">IF(Q119&gt;0,S119*100/Q119,0)</f>
        <v>31.255254107756972</v>
      </c>
      <c r="U119" s="47">
        <f ca="1">IF(R119&gt;0,S119*100/R119,0)</f>
        <v>31.255254107756972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209360</v>
      </c>
      <c r="R120" s="47">
        <f ca="1">R121+R122</f>
        <v>209360</v>
      </c>
      <c r="S120" s="47">
        <f ca="1">S121+S122</f>
        <v>65436</v>
      </c>
      <c r="T120" s="47">
        <f ca="1">IF(Q120&gt;0,S120*100/Q120,0)</f>
        <v>31.255254107756972</v>
      </c>
      <c r="U120" s="47">
        <f ca="1">IF(R120&gt;0,S120*100/R120,0)</f>
        <v>31.255254107756972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IFERROR(__xludf.DUMMYFUNCTION("IMPORTRANGE(""https://docs.google.com/spreadsheets/d/1-uDff_7J0KD5mKrp0Vvzr7lt3OU09vwQwhkpOPPYv2Y/edit?usp=sharing"",""งบพรบ!BG78"")"),0)</f>
        <v>0</v>
      </c>
      <c r="M122" s="47">
        <f ca="1">IFERROR(__xludf.DUMMYFUNCTION("IMPORTRANGE(""https://docs.google.com/spreadsheets/d/1-uDff_7J0KD5mKrp0Vvzr7lt3OU09vwQwhkpOPPYv2Y/edit?usp=sharing"",""งบพรบ!BL78"")"),0)</f>
        <v>0</v>
      </c>
      <c r="N122" s="47">
        <f ca="1">IFERROR(__xludf.DUMMYFUNCTION("IMPORTRANGE(""https://docs.google.com/spreadsheets/d/1-uDff_7J0KD5mKrp0Vvzr7lt3OU09vwQwhkpOPPYv2Y/edit?usp=sharing"",""งบพรบ!BN78"")"),0)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IFERROR(__xludf.DUMMYFUNCTION("IMPORTRANGE(""https://docs.google.com/spreadsheets/d/1ItG2mGa2ceCfYo0BwxsXqNm01IGEUdYcSSLTEv9YCik/edit?usp=sharing"",""เบิกจ่ายกองทุน!U78"")"),209360)</f>
        <v>209360</v>
      </c>
      <c r="R122" s="47">
        <f ca="1">IFERROR(__xludf.DUMMYFUNCTION("IMPORTRANGE(""https://docs.google.com/spreadsheets/d/1ItG2mGa2ceCfYo0BwxsXqNm01IGEUdYcSSLTEv9YCik/edit?usp=sharing"",""เบิกจ่ายกองทุน!V78"")"),209360)</f>
        <v>209360</v>
      </c>
      <c r="S122" s="47">
        <f ca="1">IFERROR(__xludf.DUMMYFUNCTION("IMPORTRANGE(""https://docs.google.com/spreadsheets/d/1ItG2mGa2ceCfYo0BwxsXqNm01IGEUdYcSSLTEv9YCik/edit?usp=sharing"",""เบิกจ่ายกองทุน!W78"")"),65436)</f>
        <v>65436</v>
      </c>
      <c r="T122" s="47">
        <f ca="1">IF(Q122&gt;0,S122*100/Q122,0)</f>
        <v>31.255254107756972</v>
      </c>
      <c r="U122" s="47">
        <f ca="1">IF(R122&gt;0,S122*100/R122,0)</f>
        <v>31.255254107756972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IFERROR(__xludf.DUMMYFUNCTION("IMPORTRANGE(""https://docs.google.com/spreadsheets/d/1-uDff_7J0KD5mKrp0Vvzr7lt3OU09vwQwhkpOPPYv2Y/edit?usp=sharing"",""งบพรบ!BJ78"")"),0)</f>
        <v>0</v>
      </c>
      <c r="M125" s="47">
        <f ca="1">IFERROR(__xludf.DUMMYFUNCTION("IMPORTRANGE(""https://docs.google.com/spreadsheets/d/1-uDff_7J0KD5mKrp0Vvzr7lt3OU09vwQwhkpOPPYv2Y/edit?usp=sharing"",""งบพรบ!BM78"")"),0)</f>
        <v>0</v>
      </c>
      <c r="N125" s="47">
        <f ca="1">IFERROR(__xludf.DUMMYFUNCTION("IMPORTRANGE(""https://docs.google.com/spreadsheets/d/1-uDff_7J0KD5mKrp0Vvzr7lt3OU09vwQwhkpOPPYv2Y/edit?usp=sharing"",""งบพรบ!BO78"")"),0)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IFERROR(__xludf.DUMMYFUNCTION("IMPORTRANGE(""https://docs.google.com/spreadsheets/d/1ItG2mGa2ceCfYo0BwxsXqNm01IGEUdYcSSLTEv9YCik/edit?usp=sharing"",""เบิกจ่ายกองทุน!X78"")"),0)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IFERROR(__xludf.DUMMYFUNCTION("IMPORTRANGE(""https://docs.google.com/spreadsheets/d/1ItG2mGa2ceCfYo0BwxsXqNm01IGEUdYcSSLTEv9YCik/edit?usp=sharing"",""เบิกจ่ายกองทุน!Y78"")"),0)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IFERROR(__xludf.DUMMYFUNCTION("IMPORTRANGE(""https://docs.google.com/spreadsheets/d/1ItG2mGa2ceCfYo0BwxsXqNm01IGEUdYcSSLTEv9YCik/edit?usp=sharing"",""เบิกจ่ายกองทุน!Z78"")"),0)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IFERROR(__xludf.DUMMYFUNCTION("IMPORTRANGE(""https://docs.google.com/spreadsheets/d/1eHaY18a8A9IcSdp1K8H6x8fbOy06t2VsZHhMHf-1x7Y/edit?usp=sharing"",""แผน!FF78"")"),20)</f>
        <v>20</v>
      </c>
      <c r="J127" s="167">
        <v>0</v>
      </c>
      <c r="K127" s="47">
        <f ca="1">IF(I127&gt;0,J127*100/I127,0)</f>
        <v>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IFERROR(__xludf.DUMMYFUNCTION("IMPORTRANGE(""https://docs.google.com/spreadsheets/d/1eHaY18a8A9IcSdp1K8H6x8fbOy06t2VsZHhMHf-1x7Y/edit?usp=sharing"",""แผน!FG78"")"),0)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IFERROR(__xludf.DUMMYFUNCTION("IMPORTRANGE(""https://docs.google.com/spreadsheets/d/1eHaY18a8A9IcSdp1K8H6x8fbOy06t2VsZHhMHf-1x7Y/edit?usp=sharing"",""แผน!FH78"")"),20)</f>
        <v>20</v>
      </c>
      <c r="J129" s="167">
        <v>0</v>
      </c>
      <c r="K129" s="47">
        <f ca="1">IF(I129&gt;0,J129*100/I129,0)</f>
        <v>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IFERROR(__xludf.DUMMYFUNCTION("IMPORTRANGE(""https://docs.google.com/spreadsheets/d/1eHaY18a8A9IcSdp1K8H6x8fbOy06t2VsZHhMHf-1x7Y/edit?usp=sharing"",""แผน!FI78"")"),0)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1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40</v>
      </c>
      <c r="J137" s="127">
        <f>J152</f>
        <v>0</v>
      </c>
      <c r="K137" s="35">
        <f ca="1">IF(I137&gt;0,J137*100/I137,0)</f>
        <v>0</v>
      </c>
      <c r="L137" s="58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4</v>
      </c>
      <c r="J138" s="127">
        <f>J153</f>
        <v>0</v>
      </c>
      <c r="K138" s="35">
        <f ca="1">IF(I138&gt;0,J138*100/I138,0)</f>
        <v>0</v>
      </c>
      <c r="L138" s="58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59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135400</v>
      </c>
      <c r="M139" s="132">
        <f ca="1">M140+M141</f>
        <v>130400</v>
      </c>
      <c r="N139" s="132">
        <f ca="1">N140+N141</f>
        <v>64161</v>
      </c>
      <c r="O139" s="132">
        <f ca="1">IF(L139&gt;0,N139*100/L139,0)</f>
        <v>47.386262924667655</v>
      </c>
      <c r="P139" s="132">
        <f ca="1">IF(M139&gt;0,N139*100/M139,0)</f>
        <v>49.203220858895705</v>
      </c>
      <c r="Q139" s="132">
        <f ca="1">Q140+Q141</f>
        <v>44860</v>
      </c>
      <c r="R139" s="132">
        <f ca="1">R140+R141</f>
        <v>44860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135400</v>
      </c>
      <c r="M141" s="47">
        <f ca="1">M144+M147</f>
        <v>130400</v>
      </c>
      <c r="N141" s="47">
        <f ca="1">N144+N147</f>
        <v>64161</v>
      </c>
      <c r="O141" s="47">
        <f ca="1">IF(L141&gt;0,N141*100/L141,0)</f>
        <v>47.386262924667655</v>
      </c>
      <c r="P141" s="47">
        <f ca="1">IF(M141&gt;0,N141*100/M141,0)</f>
        <v>49.203220858895705</v>
      </c>
      <c r="Q141" s="47">
        <f ca="1">Q144+Q147</f>
        <v>44860</v>
      </c>
      <c r="R141" s="47">
        <f ca="1">R144+R147</f>
        <v>44860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135400</v>
      </c>
      <c r="M142" s="47">
        <f ca="1">M143+M144</f>
        <v>130400</v>
      </c>
      <c r="N142" s="47">
        <f ca="1">N143+N144</f>
        <v>64161</v>
      </c>
      <c r="O142" s="47">
        <f ca="1">IF(L142&gt;0,N142*100/L142,0)</f>
        <v>47.386262924667655</v>
      </c>
      <c r="P142" s="47">
        <f ca="1">IF(M142&gt;0,N142*100/M142,0)</f>
        <v>49.203220858895705</v>
      </c>
      <c r="Q142" s="47">
        <f ca="1">Q143+Q144</f>
        <v>44860</v>
      </c>
      <c r="R142" s="47">
        <f ca="1">R143+R144</f>
        <v>44860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IFERROR(__xludf.DUMMYFUNCTION("IMPORTRANGE(""https://docs.google.com/spreadsheets/d/1-uDff_7J0KD5mKrp0Vvzr7lt3OU09vwQwhkpOPPYv2Y/edit?usp=sharing"",""งบพรบ!BQ78"")"),135400)</f>
        <v>135400</v>
      </c>
      <c r="M144" s="47">
        <f ca="1">IFERROR(__xludf.DUMMYFUNCTION("IMPORTRANGE(""https://docs.google.com/spreadsheets/d/1-uDff_7J0KD5mKrp0Vvzr7lt3OU09vwQwhkpOPPYv2Y/edit?usp=sharing"",""งบพรบ!BV78"")"),130400)</f>
        <v>130400</v>
      </c>
      <c r="N144" s="47">
        <f ca="1">IFERROR(__xludf.DUMMYFUNCTION("IMPORTRANGE(""https://docs.google.com/spreadsheets/d/1-uDff_7J0KD5mKrp0Vvzr7lt3OU09vwQwhkpOPPYv2Y/edit?usp=sharing"",""งบพรบ!BX78"")"),64161)</f>
        <v>64161</v>
      </c>
      <c r="O144" s="47">
        <f ca="1">IF(L144&gt;0,N144*100/L144,0)</f>
        <v>47.386262924667655</v>
      </c>
      <c r="P144" s="47">
        <f ca="1">IF(M144&gt;0,N144*100/M144,0)</f>
        <v>49.203220858895705</v>
      </c>
      <c r="Q144" s="47">
        <f ca="1">IFERROR(__xludf.DUMMYFUNCTION("IMPORTRANGE(""https://docs.google.com/spreadsheets/d/1ItG2mGa2ceCfYo0BwxsXqNm01IGEUdYcSSLTEv9YCik/edit?usp=sharing"",""เบิกจ่ายกองทุน!CF78"")"),44860)</f>
        <v>44860</v>
      </c>
      <c r="R144" s="47">
        <f ca="1">IFERROR(__xludf.DUMMYFUNCTION("IMPORTRANGE(""https://docs.google.com/spreadsheets/d/1ItG2mGa2ceCfYo0BwxsXqNm01IGEUdYcSSLTEv9YCik/edit?usp=sharing"",""เบิกจ่ายกองทุน!CG78"")"),44860)</f>
        <v>44860</v>
      </c>
      <c r="S144" s="47">
        <f ca="1">IFERROR(__xludf.DUMMYFUNCTION("IMPORTRANGE(""https://docs.google.com/spreadsheets/d/1ItG2mGa2ceCfYo0BwxsXqNm01IGEUdYcSSLTEv9YCik/edit?usp=sharing"",""เบิกจ่ายกองทุน!CH78"")"),0)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IFERROR(__xludf.DUMMYFUNCTION("IMPORTRANGE(""https://docs.google.com/spreadsheets/d/1-uDff_7J0KD5mKrp0Vvzr7lt3OU09vwQwhkpOPPYv2Y/edit?usp=sharing"",""งบพรบ!BT78"")"),0)</f>
        <v>0</v>
      </c>
      <c r="M147" s="47">
        <f ca="1">IFERROR(__xludf.DUMMYFUNCTION("IMPORTRANGE(""https://docs.google.com/spreadsheets/d/1-uDff_7J0KD5mKrp0Vvzr7lt3OU09vwQwhkpOPPYv2Y/edit?usp=sharing"",""งบพรบ!BW78"")"),0)</f>
        <v>0</v>
      </c>
      <c r="N147" s="47">
        <f ca="1">IFERROR(__xludf.DUMMYFUNCTION("IMPORTRANGE(""https://docs.google.com/spreadsheets/d/1-uDff_7J0KD5mKrp0Vvzr7lt3OU09vwQwhkpOPPYv2Y/edit?usp=sharing"",""งบพรบ!BY78"")"),0)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IFERROR(__xludf.DUMMYFUNCTION("IMPORTRANGE(""https://docs.google.com/spreadsheets/d/1ItG2mGa2ceCfYo0BwxsXqNm01IGEUdYcSSLTEv9YCik/edit?usp=sharing"",""เบิกจ่ายกองทุน!CI78"")"),0)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IFERROR(__xludf.DUMMYFUNCTION("IMPORTRANGE(""https://docs.google.com/spreadsheets/d/1ItG2mGa2ceCfYo0BwxsXqNm01IGEUdYcSSLTEv9YCik/edit?usp=sharing"",""เบิกจ่ายกองทุน!CJ78"")"),0)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IFERROR(__xludf.DUMMYFUNCTION("IMPORTRANGE(""https://docs.google.com/spreadsheets/d/1ItG2mGa2ceCfYo0BwxsXqNm01IGEUdYcSSLTEv9YCik/edit?usp=sharing"",""เบิกจ่ายกองทุน!CK78"")"),0)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IFERROR(__xludf.DUMMYFUNCTION("IMPORTRANGE(""https://docs.google.com/spreadsheets/d/1eHaY18a8A9IcSdp1K8H6x8fbOy06t2VsZHhMHf-1x7Y/edit?usp=sharing"",""แผน!U78"")"),0)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IFERROR(__xludf.DUMMYFUNCTION("IMPORTRANGE(""https://docs.google.com/spreadsheets/d/1eHaY18a8A9IcSdp1K8H6x8fbOy06t2VsZHhMHf-1x7Y/edit?usp=sharing"",""แผน!V78"")"),0)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IFERROR(__xludf.DUMMYFUNCTION("IMPORTRANGE(""https://docs.google.com/spreadsheets/d/1eHaY18a8A9IcSdp1K8H6x8fbOy06t2VsZHhMHf-1x7Y/edit?usp=sharing"",""แผน!W78"")"),40)</f>
        <v>40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IFERROR(__xludf.DUMMYFUNCTION("IMPORTRANGE(""https://docs.google.com/spreadsheets/d/1eHaY18a8A9IcSdp1K8H6x8fbOy06t2VsZHhMHf-1x7Y/edit?usp=sharing"",""แผน!X78"")"),4)</f>
        <v>4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IFERROR(__xludf.DUMMYFUNCTION("IMPORTRANGE(""https://docs.google.com/spreadsheets/d/1eHaY18a8A9IcSdp1K8H6x8fbOy06t2VsZHhMHf-1x7Y/edit?usp=sharing"",""แผน!Y78"")"),0)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IFERROR(__xludf.DUMMYFUNCTION("IMPORTRANGE(""https://docs.google.com/spreadsheets/d/1-uDff_7J0KD5mKrp0Vvzr7lt3OU09vwQwhkpOPPYv2Y/edit?usp=sharing"",""งบพรบ!CA78"")"),0)</f>
        <v>0</v>
      </c>
      <c r="M162" s="47">
        <f ca="1">IFERROR(__xludf.DUMMYFUNCTION("IMPORTRANGE(""https://docs.google.com/spreadsheets/d/1-uDff_7J0KD5mKrp0Vvzr7lt3OU09vwQwhkpOPPYv2Y/edit?usp=sharing"",""งบพรบ!CF78"")"),0)</f>
        <v>0</v>
      </c>
      <c r="N162" s="47">
        <f ca="1">IFERROR(__xludf.DUMMYFUNCTION("IMPORTRANGE(""https://docs.google.com/spreadsheets/d/1-uDff_7J0KD5mKrp0Vvzr7lt3OU09vwQwhkpOPPYv2Y/edit?usp=sharing"",""งบพรบ!CH78"")"),0)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IFERROR(__xludf.DUMMYFUNCTION("IMPORTRANGE(""https://docs.google.com/spreadsheets/d/1ItG2mGa2ceCfYo0BwxsXqNm01IGEUdYcSSLTEv9YCik/edit?usp=sharing"",""เบิกจ่ายกองทุน!AM78"")"),0)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IFERROR(__xludf.DUMMYFUNCTION("IMPORTRANGE(""https://docs.google.com/spreadsheets/d/1ItG2mGa2ceCfYo0BwxsXqNm01IGEUdYcSSLTEv9YCik/edit?usp=sharing"",""เบิกจ่ายกองทุน!AN78"")"),0)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IFERROR(__xludf.DUMMYFUNCTION("IMPORTRANGE(""https://docs.google.com/spreadsheets/d/1ItG2mGa2ceCfYo0BwxsXqNm01IGEUdYcSSLTEv9YCik/edit?usp=sharing"",""เบิกจ่ายกองทุน!AO78"")"),0)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IFERROR(__xludf.DUMMYFUNCTION("IMPORTRANGE(""https://docs.google.com/spreadsheets/d/1-uDff_7J0KD5mKrp0Vvzr7lt3OU09vwQwhkpOPPYv2Y/edit?usp=sharing"",""งบพรบ!CD78"")"),0)</f>
        <v>0</v>
      </c>
      <c r="M165" s="47">
        <f ca="1">IFERROR(__xludf.DUMMYFUNCTION("IMPORTRANGE(""https://docs.google.com/spreadsheets/d/1-uDff_7J0KD5mKrp0Vvzr7lt3OU09vwQwhkpOPPYv2Y/edit?usp=sharing"",""งบพรบ!CG78"")"),0)</f>
        <v>0</v>
      </c>
      <c r="N165" s="47">
        <f ca="1">IFERROR(__xludf.DUMMYFUNCTION("IMPORTRANGE(""https://docs.google.com/spreadsheets/d/1-uDff_7J0KD5mKrp0Vvzr7lt3OU09vwQwhkpOPPYv2Y/edit?usp=sharing"",""งบพรบ!CI78"")"),0)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IFERROR(__xludf.DUMMYFUNCTION("IMPORTRANGE(""https://docs.google.com/spreadsheets/d/1eHaY18a8A9IcSdp1K8H6x8fbOy06t2VsZHhMHf-1x7Y/edit?usp=sharing"",""แผน!Z78"")"),0)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IFERROR(__xludf.DUMMYFUNCTION("IMPORTRANGE(""https://docs.google.com/spreadsheets/d/1eHaY18a8A9IcSdp1K8H6x8fbOy06t2VsZHhMHf-1x7Y/edit?usp=sharing"",""แผน!Z78"")"),0)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IFERROR(__xludf.DUMMYFUNCTION("IMPORTRANGE(""https://docs.google.com/spreadsheets/d/1eHaY18a8A9IcSdp1K8H6x8fbOy06t2VsZHhMHf-1x7Y/edit?usp=sharing"",""แผน!Z78"")"),0)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14</v>
      </c>
      <c r="J172" s="214">
        <f>J183+J184</f>
        <v>7</v>
      </c>
      <c r="K172" s="215">
        <f ca="1">IF(I172&gt;0,J172*100/I172,0)</f>
        <v>50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9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36520</v>
      </c>
      <c r="N173" s="132">
        <f ca="1">N174+N175</f>
        <v>34385</v>
      </c>
      <c r="O173" s="132">
        <f ca="1">IF(L173&gt;0,N173*100/L173,0)</f>
        <v>175.52322613578357</v>
      </c>
      <c r="P173" s="132">
        <f ca="1">IF(M173&gt;0,N173*100/M173,0)</f>
        <v>94.153888280394298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36520</v>
      </c>
      <c r="N175" s="47">
        <f ca="1">N178+N181</f>
        <v>34385</v>
      </c>
      <c r="O175" s="47">
        <f ca="1">IF(L175&gt;0,N175*100/L175,0)</f>
        <v>175.52322613578357</v>
      </c>
      <c r="P175" s="47">
        <f ca="1">IF(M175&gt;0,N175*100/M175,0)</f>
        <v>94.153888280394298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36520</v>
      </c>
      <c r="N176" s="47">
        <f ca="1">N177+N178</f>
        <v>34385</v>
      </c>
      <c r="O176" s="47">
        <f ca="1">IF(L176&gt;0,N176*100/L176,0)</f>
        <v>175.52322613578357</v>
      </c>
      <c r="P176" s="47">
        <f ca="1">IF(M176&gt;0,N176*100/M176,0)</f>
        <v>94.153888280394298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IFERROR(__xludf.DUMMYFUNCTION("IMPORTRANGE(""https://docs.google.com/spreadsheets/d/1-uDff_7J0KD5mKrp0Vvzr7lt3OU09vwQwhkpOPPYv2Y/edit?usp=sharing"",""งบพรบ!CK78"")"),19590)</f>
        <v>19590</v>
      </c>
      <c r="M178" s="47">
        <f ca="1">IFERROR(__xludf.DUMMYFUNCTION("IMPORTRANGE(""https://docs.google.com/spreadsheets/d/1-uDff_7J0KD5mKrp0Vvzr7lt3OU09vwQwhkpOPPYv2Y/edit?usp=sharing"",""งบพรบ!CP78"")"),36520)</f>
        <v>36520</v>
      </c>
      <c r="N178" s="47">
        <f ca="1">IFERROR(__xludf.DUMMYFUNCTION("IMPORTRANGE(""https://docs.google.com/spreadsheets/d/1-uDff_7J0KD5mKrp0Vvzr7lt3OU09vwQwhkpOPPYv2Y/edit?usp=sharing"",""งบพรบ!CR78"")"),34385)</f>
        <v>34385</v>
      </c>
      <c r="O178" s="47">
        <f ca="1">IF(L178&gt;0,N178*100/L178,0)</f>
        <v>175.52322613578357</v>
      </c>
      <c r="P178" s="47">
        <f ca="1">IF(M178&gt;0,N178*100/M178,0)</f>
        <v>94.153888280394298</v>
      </c>
      <c r="Q178" s="47">
        <f ca="1">IFERROR(__xludf.DUMMYFUNCTION("IMPORTRANGE(""https://docs.google.com/spreadsheets/d/1ItG2mGa2ceCfYo0BwxsXqNm01IGEUdYcSSLTEv9YCik/edit?usp=sharing"",""เบิกจ่ายกองทุน!DG78"")"),0)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IFERROR(__xludf.DUMMYFUNCTION("IMPORTRANGE(""https://docs.google.com/spreadsheets/d/1ItG2mGa2ceCfYo0BwxsXqNm01IGEUdYcSSLTEv9YCik/edit?usp=sharing"",""เบิกจ่ายกองทุน!DH78"")"),0)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IFERROR(__xludf.DUMMYFUNCTION("IMPORTRANGE(""https://docs.google.com/spreadsheets/d/1ItG2mGa2ceCfYo0BwxsXqNm01IGEUdYcSSLTEv9YCik/edit?usp=sharing"",""เบิกจ่ายกองทุน!DI78"")"),0)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IFERROR(__xludf.DUMMYFUNCTION("IMPORTRANGE(""https://docs.google.com/spreadsheets/d/1-uDff_7J0KD5mKrp0Vvzr7lt3OU09vwQwhkpOPPYv2Y/edit?usp=sharing"",""งบพรบ!CN78"")"),0)</f>
        <v>0</v>
      </c>
      <c r="M181" s="47">
        <f ca="1">IFERROR(__xludf.DUMMYFUNCTION("IMPORTRANGE(""https://docs.google.com/spreadsheets/d/1-uDff_7J0KD5mKrp0Vvzr7lt3OU09vwQwhkpOPPYv2Y/edit?usp=sharing"",""งบพรบ!CQ78"")"),0)</f>
        <v>0</v>
      </c>
      <c r="N181" s="47">
        <f ca="1">IFERROR(__xludf.DUMMYFUNCTION("IMPORTRANGE(""https://docs.google.com/spreadsheets/d/1-uDff_7J0KD5mKrp0Vvzr7lt3OU09vwQwhkpOPPYv2Y/edit?usp=sharing"",""งบพรบ!CS78"")"),0)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IFERROR(__xludf.DUMMYFUNCTION("IMPORTRANGE(""https://docs.google.com/spreadsheets/d/1eHaY18a8A9IcSdp1K8H6x8fbOy06t2VsZHhMHf-1x7Y/edit?usp=sharing"",""แผน!AA78"")"),14)</f>
        <v>14</v>
      </c>
      <c r="J183" s="167">
        <v>7</v>
      </c>
      <c r="K183" s="47">
        <f ca="1">IF(I183&gt;0,J183*100/I183,0)</f>
        <v>50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110</v>
      </c>
      <c r="J185" s="214">
        <f>J230+J231</f>
        <v>43</v>
      </c>
      <c r="K185" s="215">
        <f ca="1">IF(I185&gt;0,J185*100/I185,0)</f>
        <v>39.090909090909093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9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456100</v>
      </c>
      <c r="M186" s="132">
        <f ca="1">M187+M188</f>
        <v>468000</v>
      </c>
      <c r="N186" s="132">
        <f ca="1">N187+N188</f>
        <v>194769.41</v>
      </c>
      <c r="O186" s="132">
        <f ca="1">IF(L186&gt;0,N186*100/L186,0)</f>
        <v>42.703225169918881</v>
      </c>
      <c r="P186" s="132">
        <f ca="1">IF(M186&gt;0,N186*100/M186,0)</f>
        <v>41.617395299145301</v>
      </c>
      <c r="Q186" s="132">
        <f ca="1">Q187+Q188</f>
        <v>141400</v>
      </c>
      <c r="R186" s="132">
        <f ca="1">R187+R188</f>
        <v>141400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456100</v>
      </c>
      <c r="M188" s="47">
        <f ca="1">M191+M194</f>
        <v>468000</v>
      </c>
      <c r="N188" s="47">
        <f ca="1">N191+N194</f>
        <v>194769.41</v>
      </c>
      <c r="O188" s="47">
        <f ca="1">IF(L188&gt;0,N188*100/L188,0)</f>
        <v>42.703225169918881</v>
      </c>
      <c r="P188" s="47">
        <f ca="1">IF(M188&gt;0,N188*100/M188,0)</f>
        <v>41.617395299145301</v>
      </c>
      <c r="Q188" s="47">
        <f ca="1">Q191+Q194</f>
        <v>141400</v>
      </c>
      <c r="R188" s="47">
        <f ca="1">R191+R194</f>
        <v>141400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456100</v>
      </c>
      <c r="M189" s="47">
        <f ca="1">M190+M191</f>
        <v>468000</v>
      </c>
      <c r="N189" s="47">
        <f ca="1">N190+N191</f>
        <v>194769.41</v>
      </c>
      <c r="O189" s="47">
        <f ca="1">IF(L189&gt;0,N189*100/L189,0)</f>
        <v>42.703225169918881</v>
      </c>
      <c r="P189" s="47">
        <f ca="1">IF(M189&gt;0,N189*100/M189,0)</f>
        <v>41.617395299145301</v>
      </c>
      <c r="Q189" s="47">
        <f ca="1">Q190+Q191</f>
        <v>141400</v>
      </c>
      <c r="R189" s="47">
        <f ca="1">R190+R191</f>
        <v>141400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IFERROR(__xludf.DUMMYFUNCTION("IMPORTRANGE(""https://docs.google.com/spreadsheets/d/1-uDff_7J0KD5mKrp0Vvzr7lt3OU09vwQwhkpOPPYv2Y/edit?usp=sharing"",""งบพรบ!CU78"")"),456100)</f>
        <v>456100</v>
      </c>
      <c r="M191" s="47">
        <f ca="1">IFERROR(__xludf.DUMMYFUNCTION("IMPORTRANGE(""https://docs.google.com/spreadsheets/d/1-uDff_7J0KD5mKrp0Vvzr7lt3OU09vwQwhkpOPPYv2Y/edit?usp=sharing"",""งบพรบ!CZ78"")"),468000)</f>
        <v>468000</v>
      </c>
      <c r="N191" s="47">
        <f ca="1">IFERROR(__xludf.DUMMYFUNCTION("IMPORTRANGE(""https://docs.google.com/spreadsheets/d/1-uDff_7J0KD5mKrp0Vvzr7lt3OU09vwQwhkpOPPYv2Y/edit?usp=sharing"",""งบพรบ!DB78"")"),194769.41)</f>
        <v>194769.41</v>
      </c>
      <c r="O191" s="47">
        <f ca="1">IF(L191&gt;0,N191*100/L191,0)</f>
        <v>42.703225169918881</v>
      </c>
      <c r="P191" s="47">
        <f ca="1">IF(M191&gt;0,N191*100/M191,0)</f>
        <v>41.617395299145301</v>
      </c>
      <c r="Q191" s="47">
        <f ca="1">IFERROR(__xludf.DUMMYFUNCTION("IMPORTRANGE(""https://docs.google.com/spreadsheets/d/1ItG2mGa2ceCfYo0BwxsXqNm01IGEUdYcSSLTEv9YCik/edit?usp=sharing"",""เบิกจ่ายกองทุน!BQ78"")"),141400)</f>
        <v>141400</v>
      </c>
      <c r="R191" s="47">
        <f ca="1">IFERROR(__xludf.DUMMYFUNCTION("IMPORTRANGE(""https://docs.google.com/spreadsheets/d/1ItG2mGa2ceCfYo0BwxsXqNm01IGEUdYcSSLTEv9YCik/edit?usp=sharing"",""เบิกจ่ายกองทุน!BR78"")"),141400)</f>
        <v>141400</v>
      </c>
      <c r="S191" s="47">
        <f ca="1">IFERROR(__xludf.DUMMYFUNCTION("IMPORTRANGE(""https://docs.google.com/spreadsheets/d/1ItG2mGa2ceCfYo0BwxsXqNm01IGEUdYcSSLTEv9YCik/edit?usp=sharing"",""เบิกจ่ายกองทุน!BS78"")"),0)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IFERROR(__xludf.DUMMYFUNCTION("IMPORTRANGE(""https://docs.google.com/spreadsheets/d/1-uDff_7J0KD5mKrp0Vvzr7lt3OU09vwQwhkpOPPYv2Y/edit?usp=sharing"",""งบพรบ!CX78"")"),0)</f>
        <v>0</v>
      </c>
      <c r="M194" s="47">
        <f ca="1">IFERROR(__xludf.DUMMYFUNCTION("IMPORTRANGE(""https://docs.google.com/spreadsheets/d/1-uDff_7J0KD5mKrp0Vvzr7lt3OU09vwQwhkpOPPYv2Y/edit?usp=sharing"",""งบพรบ!DA78"")"),0)</f>
        <v>0</v>
      </c>
      <c r="N194" s="47">
        <f ca="1">IFERROR(__xludf.DUMMYFUNCTION("IMPORTRANGE(""https://docs.google.com/spreadsheets/d/1-uDff_7J0KD5mKrp0Vvzr7lt3OU09vwQwhkpOPPYv2Y/edit?usp=sharing"",""งบพรบ!DC78"")"),0)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IFERROR(__xludf.DUMMYFUNCTION("IMPORTRANGE(""https://docs.google.com/spreadsheets/d/1ItG2mGa2ceCfYo0BwxsXqNm01IGEUdYcSSLTEv9YCik/edit?usp=sharing"",""เบิกจ่ายกองทุน!BT78"")"),0)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IFERROR(__xludf.DUMMYFUNCTION("IMPORTRANGE(""https://docs.google.com/spreadsheets/d/1ItG2mGa2ceCfYo0BwxsXqNm01IGEUdYcSSLTEv9YCik/edit?usp=sharing"",""เบิกจ่ายกองทุน!BU78"")"),0)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IFERROR(__xludf.DUMMYFUNCTION("IMPORTRANGE(""https://docs.google.com/spreadsheets/d/1ItG2mGa2ceCfYo0BwxsXqNm01IGEUdYcSSLTEv9YCik/edit?usp=sharing"",""เบิกจ่ายกองทุน!BV78"")"),0)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7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IFERROR(__xludf.DUMMYFUNCTION("IMPORTRANGE(""https://docs.google.com/spreadsheets/d/1eHaY18a8A9IcSdp1K8H6x8fbOy06t2VsZHhMHf-1x7Y/edit?usp=sharing"",""แผน!AB78"")"),6000)</f>
        <v>6000</v>
      </c>
      <c r="M196" s="46"/>
      <c r="N196" s="769">
        <f>940+1000</f>
        <v>1940</v>
      </c>
      <c r="O196" s="132">
        <f ca="1">IF(L196&gt;0,N196*100/L196,0)</f>
        <v>32.333333333333336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IFERROR(__xludf.DUMMYFUNCTION("IMPORTRANGE(""https://docs.google.com/spreadsheets/d/1eHaY18a8A9IcSdp1K8H6x8fbOy06t2VsZHhMHf-1x7Y/edit?usp=sharing"",""แผน!AE78"")"),4)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134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f>50+48+36</f>
        <v>134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3</v>
      </c>
      <c r="J202" s="228">
        <f>J209</f>
        <v>0</v>
      </c>
      <c r="K202" s="229">
        <f ca="1">IF(I202&gt;0,J202*100/I202,0)</f>
        <v>0</v>
      </c>
      <c r="L202" s="687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 t="e">
        <f ca="1">L204+L205+L206+L207</f>
        <v>#VALUE!</v>
      </c>
      <c r="M203" s="46"/>
      <c r="N203" s="132">
        <f>N204+N205+N206+N207</f>
        <v>0</v>
      </c>
      <c r="O203" s="132" t="e">
        <f ca="1">IF(L203&gt;0,N203*100/L203,0)</f>
        <v>#VALUE!</v>
      </c>
      <c r="P203" s="132">
        <f>IF(M203&gt;0,N203*100/M203,0)</f>
        <v>0</v>
      </c>
      <c r="Q203" s="768">
        <f ca="1">Q204+Q205+Q206+Q207</f>
        <v>42000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IFERROR(__xludf.DUMMYFUNCTION("IMPORTRANGE(""https://docs.google.com/spreadsheets/d/1eHaY18a8A9IcSdp1K8H6x8fbOy06t2VsZHhMHf-1x7Y/edit?usp=sharing"",""แผน!AG78"")"),3000)</f>
        <v>3000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IFERROR(__xludf.DUMMYFUNCTION("IMPORTRANGE(""https://docs.google.com/spreadsheets/d/1eHaY18a8A9IcSdp1K8H6x8fbOy06t2VsZHhMHf-1x7Y/edit?usp=sharing"",""แผน!AH78"")"),0)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 t="str">
        <f ca="1">IFERROR(__xludf.DUMMYFUNCTION("IMPORTRANGE(""https://docs.google.com/spreadsheets/d/1eHaY18a8A9IcSdp1K8H6x8fbOy06t2VsZHhMHf-1x7Y/edit?usp=sharing"",""แผน!AI78"")"),"")</f>
        <v/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IFERROR(__xludf.DUMMYFUNCTION("IMPORTRANGE(""https://docs.google.com/spreadsheets/d/1eHaY18a8A9IcSdp1K8H6x8fbOy06t2VsZHhMHf-1x7Y/edit?usp=sharing"",""แผน!LV78"")"),42000)</f>
        <v>42000</v>
      </c>
      <c r="R206" s="46"/>
      <c r="S206" s="743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IFERROR(__xludf.DUMMYFUNCTION("IMPORTRANGE(""https://docs.google.com/spreadsheets/d/1eHaY18a8A9IcSdp1K8H6x8fbOy06t2VsZHhMHf-1x7Y/edit?usp=sharing"",""แผน!AJ78"")"),17000)</f>
        <v>17000</v>
      </c>
      <c r="M207" s="46"/>
      <c r="N207" s="743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IFERROR(__xludf.DUMMYFUNCTION("IMPORTRANGE(""https://docs.google.com/spreadsheets/d/1eHaY18a8A9IcSdp1K8H6x8fbOy06t2VsZHhMHf-1x7Y/edit?usp=sharing"",""แผน!AK78"")"),3)</f>
        <v>3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IFERROR(__xludf.DUMMYFUNCTION("IMPORTRANGE(""https://docs.google.com/spreadsheets/d/1eHaY18a8A9IcSdp1K8H6x8fbOy06t2VsZHhMHf-1x7Y/edit?usp=sharing"",""แผน!JX78"")"),2)</f>
        <v>2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IFERROR(__xludf.DUMMYFUNCTION("IMPORTRANGE(""https://docs.google.com/spreadsheets/d/1eHaY18a8A9IcSdp1K8H6x8fbOy06t2VsZHhMHf-1x7Y/edit?usp=sharing"",""แผน!JY78"")"),1)</f>
        <v>1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2</v>
      </c>
      <c r="J213" s="228">
        <f>J220</f>
        <v>0</v>
      </c>
      <c r="K213" s="229">
        <f ca="1">IF(I213&gt;0,J213*100/I213,0)</f>
        <v>0</v>
      </c>
      <c r="L213" s="687"/>
      <c r="M213" s="230"/>
      <c r="N213" s="230"/>
      <c r="O213" s="230"/>
      <c r="P213" s="230"/>
      <c r="Q213" s="687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12000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99400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IFERROR(__xludf.DUMMYFUNCTION("IMPORTRANGE(""https://docs.google.com/spreadsheets/d/1eHaY18a8A9IcSdp1K8H6x8fbOy06t2VsZHhMHf-1x7Y/edit?usp=sharing"",""แผน!AM78"")"),2000)</f>
        <v>2000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IFERROR(__xludf.DUMMYFUNCTION("IMPORTRANGE(""https://docs.google.com/spreadsheets/d/1eHaY18a8A9IcSdp1K8H6x8fbOy06t2VsZHhMHf-1x7Y/edit?usp=sharing"",""แผน!AN78"")"),10000)</f>
        <v>10000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IFERROR(__xludf.DUMMYFUNCTION("IMPORTRANGE(""https://docs.google.com/spreadsheets/d/1eHaY18a8A9IcSdp1K8H6x8fbOy06t2VsZHhMHf-1x7Y/edit?usp=sharing"",""แผน!AO78"")"),0)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IFERROR(__xludf.DUMMYFUNCTION("IMPORTRANGE(""https://docs.google.com/spreadsheets/d/1eHaY18a8A9IcSdp1K8H6x8fbOy06t2VsZHhMHf-1x7Y/edit?usp=sharing"",""แผน!LY78"")"),99400)</f>
        <v>99400</v>
      </c>
      <c r="R217" s="46"/>
      <c r="S217" s="743">
        <v>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IFERROR(__xludf.DUMMYFUNCTION("IMPORTRANGE(""https://docs.google.com/spreadsheets/d/1eHaY18a8A9IcSdp1K8H6x8fbOy06t2VsZHhMHf-1x7Y/edit?usp=sharing"",""แผน!AP78"")"),2)</f>
        <v>2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IFERROR(__xludf.DUMMYFUNCTION("IMPORTRANGE(""https://docs.google.com/spreadsheets/d/1eHaY18a8A9IcSdp1K8H6x8fbOy06t2VsZHhMHf-1x7Y/edit?usp=sharing"",""แผน!AP78"")"),2)</f>
        <v>2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50000</v>
      </c>
      <c r="J221" s="228">
        <f>J229</f>
        <v>0</v>
      </c>
      <c r="K221" s="229">
        <f ca="1">IF(I221&gt;0,J221*100/I221,0)</f>
        <v>0</v>
      </c>
      <c r="L221" s="687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8500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IFERROR(__xludf.DUMMYFUNCTION("IMPORTRANGE(""https://docs.google.com/spreadsheets/d/1eHaY18a8A9IcSdp1K8H6x8fbOy06t2VsZHhMHf-1x7Y/edit?usp=sharing"",""แผน!AR78"")"),7000)</f>
        <v>7000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IFERROR(__xludf.DUMMYFUNCTION("IMPORTRANGE(""https://docs.google.com/spreadsheets/d/1eHaY18a8A9IcSdp1K8H6x8fbOy06t2VsZHhMHf-1x7Y/edit?usp=sharing"",""แผน!AS78"")"),1500)</f>
        <v>1500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IFERROR(__xludf.DUMMYFUNCTION("IMPORTRANGE(""https://docs.google.com/spreadsheets/d/1eHaY18a8A9IcSdp1K8H6x8fbOy06t2VsZHhMHf-1x7Y/edit?usp=sharing"",""แผน!AT78"")"),0)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IFERROR(__xludf.DUMMYFUNCTION("IMPORTRANGE(""https://docs.google.com/spreadsheets/d/1eHaY18a8A9IcSdp1K8H6x8fbOy06t2VsZHhMHf-1x7Y/edit?usp=sharing"",""แผน!AV78"")"),50000)</f>
        <v>50000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IFERROR(__xludf.DUMMYFUNCTION("IMPORTRANGE(""https://docs.google.com/spreadsheets/d/1eHaY18a8A9IcSdp1K8H6x8fbOy06t2VsZHhMHf-1x7Y/edit?usp=sharing"",""แผน!AV78"")"),50000)</f>
        <v>50000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IFERROR(__xludf.DUMMYFUNCTION("IMPORTRANGE(""https://docs.google.com/spreadsheets/d/1eHaY18a8A9IcSdp1K8H6x8fbOy06t2VsZHhMHf-1x7Y/edit?usp=sharing"",""แผน!AU78"")"),0)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110</v>
      </c>
      <c r="J231" s="747">
        <f>J242+J253</f>
        <v>43</v>
      </c>
      <c r="K231" s="746">
        <f ca="1">IF(I231&gt;0,J231*100/I231,0)</f>
        <v>39.090909090909093</v>
      </c>
      <c r="L231" s="687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409600</v>
      </c>
      <c r="M232" s="46"/>
      <c r="N232" s="760">
        <f>N243+N254</f>
        <v>170699.40999999997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343" t="s">
        <v>312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167000</v>
      </c>
      <c r="M233" s="46"/>
      <c r="N233" s="49">
        <f>N244+N255</f>
        <v>12138.4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345" t="s">
        <v>87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10000</v>
      </c>
      <c r="M234" s="46"/>
      <c r="N234" s="49">
        <f>N245+N256</f>
        <v>76700.009999999995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345" t="s">
        <v>88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92600</v>
      </c>
      <c r="M235" s="46"/>
      <c r="N235" s="49">
        <f>N246+N257</f>
        <v>39166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89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140000</v>
      </c>
      <c r="M236" s="46"/>
      <c r="N236" s="49">
        <f>N247+N258</f>
        <v>42695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1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110</v>
      </c>
      <c r="J238" s="495">
        <f>J249+J260</f>
        <v>43</v>
      </c>
      <c r="K238" s="49">
        <f ca="1">IF(I238&gt;0,J238*100/I238,0)</f>
        <v>39.090909090909093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 ca="1">I251+I262</f>
        <v>40</v>
      </c>
      <c r="J240" s="495">
        <f>J251+J262</f>
        <v>23</v>
      </c>
      <c r="K240" s="49">
        <f ca="1">IF(I240&gt;0,J240*100/I240,0)</f>
        <v>57.5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 ca="1">I252+I263</f>
        <v>6</v>
      </c>
      <c r="J241" s="495">
        <f>J252+J263</f>
        <v>6</v>
      </c>
      <c r="K241" s="49">
        <f ca="1">IF(I241&gt;0,J241*100/I241,0)</f>
        <v>100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x14ac:dyDescent="0.3">
      <c r="A242" s="863"/>
      <c r="B242" s="862"/>
      <c r="C242" s="861" t="s">
        <v>316</v>
      </c>
      <c r="D242" s="860"/>
      <c r="E242" s="860"/>
      <c r="F242" s="860"/>
      <c r="G242" s="859"/>
      <c r="H242" s="858" t="s">
        <v>35</v>
      </c>
      <c r="I242" s="857">
        <f ca="1">I249</f>
        <v>110</v>
      </c>
      <c r="J242" s="857">
        <f>J249</f>
        <v>43</v>
      </c>
      <c r="K242" s="856">
        <f ca="1">IF(I242&gt;0,J242*100/I242,0)</f>
        <v>39.090909090909093</v>
      </c>
      <c r="L242" s="687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x14ac:dyDescent="0.3">
      <c r="A243" s="416"/>
      <c r="B243" s="424"/>
      <c r="C243" s="618" t="s">
        <v>18</v>
      </c>
      <c r="D243" s="418" t="s">
        <v>19</v>
      </c>
      <c r="E243" s="424"/>
      <c r="F243" s="424"/>
      <c r="G243" s="425"/>
      <c r="H243" s="419" t="s">
        <v>14</v>
      </c>
      <c r="I243" s="428"/>
      <c r="J243" s="428"/>
      <c r="K243" s="429"/>
      <c r="L243" s="550">
        <f ca="1">L244+L245+L246+L247</f>
        <v>409600</v>
      </c>
      <c r="M243" s="46"/>
      <c r="N243" s="132">
        <f>N244+N245+N246+N247</f>
        <v>170699.40999999997</v>
      </c>
      <c r="O243" s="132">
        <f ca="1">IF(L243&gt;0,N243*100/L243,0)</f>
        <v>41.674660644531244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x14ac:dyDescent="0.25">
      <c r="A244" s="416"/>
      <c r="B244" s="326"/>
      <c r="C244" s="424"/>
      <c r="D244" s="852" t="s">
        <v>312</v>
      </c>
      <c r="E244" s="424"/>
      <c r="F244" s="424"/>
      <c r="G244" s="425"/>
      <c r="H244" s="426" t="s">
        <v>14</v>
      </c>
      <c r="I244" s="428"/>
      <c r="J244" s="428"/>
      <c r="K244" s="429"/>
      <c r="L244" s="548">
        <f ca="1">IFERROR(__xludf.DUMMYFUNCTION("IMPORTRANGE(""https://docs.google.com/spreadsheets/d/1eHaY18a8A9IcSdp1K8H6x8fbOy06t2VsZHhMHf-1x7Y/edit?usp=sharing"",""แผน!AX78"")"),167000)</f>
        <v>167000</v>
      </c>
      <c r="M244" s="46"/>
      <c r="N244" s="743">
        <f>360+1740+1240+1360+1240+3338.4+1120+1740</f>
        <v>12138.4</v>
      </c>
      <c r="O244" s="46"/>
      <c r="P244" s="46"/>
      <c r="Q244" s="46"/>
      <c r="R244" s="46"/>
      <c r="S244" s="46"/>
      <c r="T244" s="46"/>
      <c r="U244" s="46"/>
    </row>
    <row r="245" spans="1:21" ht="18.75" x14ac:dyDescent="0.25">
      <c r="A245" s="616"/>
      <c r="B245" s="326"/>
      <c r="C245" s="326"/>
      <c r="D245" s="218" t="s">
        <v>310</v>
      </c>
      <c r="E245" s="424"/>
      <c r="F245" s="424"/>
      <c r="G245" s="425"/>
      <c r="H245" s="426" t="s">
        <v>14</v>
      </c>
      <c r="I245" s="420"/>
      <c r="J245" s="420"/>
      <c r="K245" s="332"/>
      <c r="L245" s="548">
        <f ca="1">IFERROR(__xludf.DUMMYFUNCTION("IMPORTRANGE(""https://docs.google.com/spreadsheets/d/1eHaY18a8A9IcSdp1K8H6x8fbOy06t2VsZHhMHf-1x7Y/edit?usp=sharing"",""แผน!AY78"")"),10000)</f>
        <v>10000</v>
      </c>
      <c r="M245" s="46"/>
      <c r="N245" s="743">
        <f>13000+12133.34+13000+13000+13000+12566.67</f>
        <v>76700.009999999995</v>
      </c>
      <c r="O245" s="46"/>
      <c r="P245" s="46"/>
      <c r="Q245" s="46"/>
      <c r="R245" s="46"/>
      <c r="S245" s="46"/>
      <c r="T245" s="46"/>
      <c r="U245" s="46"/>
    </row>
    <row r="246" spans="1:21" ht="18.75" x14ac:dyDescent="0.25">
      <c r="A246" s="616"/>
      <c r="B246" s="326"/>
      <c r="C246" s="326"/>
      <c r="D246" s="218" t="s">
        <v>88</v>
      </c>
      <c r="E246" s="424"/>
      <c r="F246" s="424"/>
      <c r="G246" s="425"/>
      <c r="H246" s="426" t="s">
        <v>14</v>
      </c>
      <c r="I246" s="420"/>
      <c r="J246" s="420"/>
      <c r="K246" s="332"/>
      <c r="L246" s="548">
        <f ca="1">IFERROR(__xludf.DUMMYFUNCTION("IMPORTRANGE(""https://docs.google.com/spreadsheets/d/1eHaY18a8A9IcSdp1K8H6x8fbOy06t2VsZHhMHf-1x7Y/edit?usp=sharing"",""แผน!AZ78"")"),92600)</f>
        <v>92600</v>
      </c>
      <c r="M246" s="46"/>
      <c r="N246" s="743">
        <v>39166</v>
      </c>
      <c r="O246" s="46"/>
      <c r="P246" s="46"/>
      <c r="Q246" s="46"/>
      <c r="R246" s="46"/>
      <c r="S246" s="46"/>
      <c r="T246" s="46"/>
      <c r="U246" s="46"/>
    </row>
    <row r="247" spans="1:21" ht="18.75" x14ac:dyDescent="0.25">
      <c r="A247" s="616"/>
      <c r="B247" s="326"/>
      <c r="C247" s="326"/>
      <c r="D247" s="48" t="s">
        <v>89</v>
      </c>
      <c r="E247" s="424"/>
      <c r="F247" s="424"/>
      <c r="G247" s="425"/>
      <c r="H247" s="426" t="s">
        <v>14</v>
      </c>
      <c r="I247" s="420"/>
      <c r="J247" s="420"/>
      <c r="K247" s="332"/>
      <c r="L247" s="548">
        <f ca="1">IFERROR(__xludf.DUMMYFUNCTION("IMPORTRANGE(""https://docs.google.com/spreadsheets/d/1eHaY18a8A9IcSdp1K8H6x8fbOy06t2VsZHhMHf-1x7Y/edit?usp=sharing"",""แผน!BA78"")"),140000)</f>
        <v>140000</v>
      </c>
      <c r="M247" s="46"/>
      <c r="N247" s="743">
        <f>4875+19170+11650+7000</f>
        <v>42695</v>
      </c>
      <c r="O247" s="46"/>
      <c r="P247" s="46"/>
      <c r="Q247" s="46"/>
      <c r="R247" s="46"/>
      <c r="S247" s="46"/>
      <c r="T247" s="46"/>
      <c r="U247" s="46"/>
    </row>
    <row r="248" spans="1:21" ht="19.5" x14ac:dyDescent="0.3">
      <c r="A248" s="432"/>
      <c r="B248" s="433"/>
      <c r="C248" s="855" t="s">
        <v>18</v>
      </c>
      <c r="D248" s="617" t="s">
        <v>38</v>
      </c>
      <c r="E248" s="435"/>
      <c r="F248" s="435"/>
      <c r="G248" s="436"/>
      <c r="H248" s="439"/>
      <c r="I248" s="428"/>
      <c r="J248" s="420"/>
      <c r="K248" s="332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x14ac:dyDescent="0.25">
      <c r="A249" s="432"/>
      <c r="B249" s="433"/>
      <c r="C249" s="433"/>
      <c r="D249" s="555" t="s">
        <v>108</v>
      </c>
      <c r="E249" s="422"/>
      <c r="F249" s="422"/>
      <c r="G249" s="439"/>
      <c r="H249" s="853" t="s">
        <v>35</v>
      </c>
      <c r="I249" s="330">
        <f ca="1">IFERROR(__xludf.DUMMYFUNCTION("IMPORTRANGE(""https://docs.google.com/spreadsheets/d/1eHaY18a8A9IcSdp1K8H6x8fbOy06t2VsZHhMHf-1x7Y/edit?usp=sharing"",""แผน!BG78"")"),110)</f>
        <v>110</v>
      </c>
      <c r="J249" s="554">
        <v>43</v>
      </c>
      <c r="K249" s="331">
        <f ca="1">IF(I249&gt;0,J249*100/I249,0)</f>
        <v>39.090909090909093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x14ac:dyDescent="0.25">
      <c r="A250" s="432"/>
      <c r="B250" s="433"/>
      <c r="C250" s="433"/>
      <c r="D250" s="854" t="s">
        <v>43</v>
      </c>
      <c r="E250" s="422"/>
      <c r="F250" s="422"/>
      <c r="G250" s="439"/>
      <c r="H250" s="439"/>
      <c r="I250" s="420"/>
      <c r="J250" s="420"/>
      <c r="K250" s="332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x14ac:dyDescent="0.25">
      <c r="A251" s="432"/>
      <c r="B251" s="433"/>
      <c r="C251" s="433"/>
      <c r="D251" s="433"/>
      <c r="E251" s="320" t="s">
        <v>109</v>
      </c>
      <c r="F251" s="422"/>
      <c r="G251" s="439"/>
      <c r="H251" s="853" t="s">
        <v>35</v>
      </c>
      <c r="I251" s="330">
        <f ca="1">IFERROR(__xludf.DUMMYFUNCTION("IMPORTRANGE(""https://docs.google.com/spreadsheets/d/1eHaY18a8A9IcSdp1K8H6x8fbOy06t2VsZHhMHf-1x7Y/edit?usp=sharing"",""แผน!KR78"")"),40)</f>
        <v>40</v>
      </c>
      <c r="J251" s="554">
        <v>23</v>
      </c>
      <c r="K251" s="331">
        <f ca="1">IF(I251&gt;0,J251*100/I251,0)</f>
        <v>57.5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x14ac:dyDescent="0.25">
      <c r="A252" s="432"/>
      <c r="B252" s="433"/>
      <c r="C252" s="433"/>
      <c r="D252" s="433"/>
      <c r="E252" s="320" t="s">
        <v>110</v>
      </c>
      <c r="F252" s="422"/>
      <c r="G252" s="439"/>
      <c r="H252" s="853" t="s">
        <v>61</v>
      </c>
      <c r="I252" s="330">
        <f ca="1">IFERROR(__xludf.DUMMYFUNCTION("IMPORTRANGE(""https://docs.google.com/spreadsheets/d/1eHaY18a8A9IcSdp1K8H6x8fbOy06t2VsZHhMHf-1x7Y/edit?usp=sharing"",""แผน!KS78"")"),6)</f>
        <v>6</v>
      </c>
      <c r="J252" s="554">
        <v>6</v>
      </c>
      <c r="K252" s="331">
        <f ca="1">IF(I252&gt;0,J252*100/I252,0)</f>
        <v>100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7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852" t="s">
        <v>312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IFERROR(__xludf.DUMMYFUNCTION("IMPORTRANGE(""https://docs.google.com/spreadsheets/d/1eHaY18a8A9IcSdp1K8H6x8fbOy06t2VsZHhMHf-1x7Y/edit?usp=sharing"",""แผน!BB78"")"),0)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218" t="s">
        <v>87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IFERROR(__xludf.DUMMYFUNCTION("IMPORTRANGE(""https://docs.google.com/spreadsheets/d/1eHaY18a8A9IcSdp1K8H6x8fbOy06t2VsZHhMHf-1x7Y/edit?usp=sharing"",""แผน!BC78"")"),0)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218" t="s">
        <v>88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IFERROR(__xludf.DUMMYFUNCTION("IMPORTRANGE(""https://docs.google.com/spreadsheets/d/1eHaY18a8A9IcSdp1K8H6x8fbOy06t2VsZHhMHf-1x7Y/edit?usp=sharing"",""แผน!BD78"")"),0)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48" t="s">
        <v>89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IFERROR(__xludf.DUMMYFUNCTION("IMPORTRANGE(""https://docs.google.com/spreadsheets/d/1eHaY18a8A9IcSdp1K8H6x8fbOy06t2VsZHhMHf-1x7Y/edit?usp=sharing"",""แผน!BE78"")"),0)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1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IFERROR(__xludf.DUMMYFUNCTION("IMPORTRANGE(""https://docs.google.com/spreadsheets/d/1eHaY18a8A9IcSdp1K8H6x8fbOy06t2VsZHhMHf-1x7Y/edit?usp=sharing"",""แผน!BH78"")"),0)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24</v>
      </c>
      <c r="J265" s="726">
        <f>J276</f>
        <v>0</v>
      </c>
      <c r="K265" s="725">
        <f ca="1">IF(I265&gt;0,J265*100/I265,0)</f>
        <v>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618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0</v>
      </c>
      <c r="O266" s="421">
        <f ca="1">IF(L266&gt;0,N266*100/L266,0)</f>
        <v>0</v>
      </c>
      <c r="P266" s="421">
        <f ca="1">IF(M266&gt;0,N266*100/M266,0)</f>
        <v>0</v>
      </c>
      <c r="Q266" s="421">
        <f ca="1">Q267+Q268</f>
        <v>53440</v>
      </c>
      <c r="R266" s="421">
        <f ca="1">R267+R268</f>
        <v>53440</v>
      </c>
      <c r="S266" s="421">
        <f ca="1">S267+S268</f>
        <v>44528</v>
      </c>
      <c r="T266" s="421">
        <f ca="1">IF(Q266&gt;0,S266*100/Q266,0)</f>
        <v>83.323353293413177</v>
      </c>
      <c r="U266" s="421">
        <f ca="1">IF(R266&gt;0,S266*100/R266,0)</f>
        <v>83.323353293413177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0</v>
      </c>
      <c r="O268" s="331">
        <f ca="1">IF(L268&gt;0,N268*100/L268,0)</f>
        <v>0</v>
      </c>
      <c r="P268" s="331">
        <f ca="1">IF(M268&gt;0,N268*100/M268,0)</f>
        <v>0</v>
      </c>
      <c r="Q268" s="331">
        <f ca="1">Q271+Q274</f>
        <v>53440</v>
      </c>
      <c r="R268" s="331">
        <f ca="1">R271+R274</f>
        <v>53440</v>
      </c>
      <c r="S268" s="331">
        <f ca="1">S271+S274</f>
        <v>44528</v>
      </c>
      <c r="T268" s="331">
        <f ca="1">IF(Q268&gt;0,S268*100/Q268,0)</f>
        <v>83.323353293413177</v>
      </c>
      <c r="U268" s="331">
        <f ca="1">IF(R268&gt;0,S268*100/R268,0)</f>
        <v>83.323353293413177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0</v>
      </c>
      <c r="O269" s="331">
        <f ca="1">IF(L269&gt;0,N269*100/L269,0)</f>
        <v>0</v>
      </c>
      <c r="P269" s="331">
        <f ca="1">IF(M269&gt;0,N269*100/M269,0)</f>
        <v>0</v>
      </c>
      <c r="Q269" s="331">
        <f ca="1">Q270+Q271</f>
        <v>53440</v>
      </c>
      <c r="R269" s="331">
        <f ca="1">R270+R271</f>
        <v>53440</v>
      </c>
      <c r="S269" s="331">
        <f ca="1">S270+S271</f>
        <v>44528</v>
      </c>
      <c r="T269" s="331">
        <f ca="1">IF(Q269&gt;0,S269*100/Q269,0)</f>
        <v>83.323353293413177</v>
      </c>
      <c r="U269" s="331">
        <f ca="1">IF(R269&gt;0,S269*100/R269,0)</f>
        <v>83.323353293413177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IFERROR(__xludf.DUMMYFUNCTION("IMPORTRANGE(""https://docs.google.com/spreadsheets/d/1-uDff_7J0KD5mKrp0Vvzr7lt3OU09vwQwhkpOPPYv2Y/edit?usp=sharing"",""งบพรบ!DE78"")"),5000)</f>
        <v>5000</v>
      </c>
      <c r="M271" s="331">
        <f ca="1">IFERROR(__xludf.DUMMYFUNCTION("IMPORTRANGE(""https://docs.google.com/spreadsheets/d/1-uDff_7J0KD5mKrp0Vvzr7lt3OU09vwQwhkpOPPYv2Y/edit?usp=sharing"",""งบพรบ!DJ78"")"),5000)</f>
        <v>5000</v>
      </c>
      <c r="N271" s="331">
        <f ca="1">IFERROR(__xludf.DUMMYFUNCTION("IMPORTRANGE(""https://docs.google.com/spreadsheets/d/1-uDff_7J0KD5mKrp0Vvzr7lt3OU09vwQwhkpOPPYv2Y/edit?usp=sharing"",""งบพรบ!DL78"")"),0)</f>
        <v>0</v>
      </c>
      <c r="O271" s="331">
        <f ca="1">IF(L271&gt;0,N271*100/L271,0)</f>
        <v>0</v>
      </c>
      <c r="P271" s="331">
        <f ca="1">IF(M271&gt;0,N271*100/M271,0)</f>
        <v>0</v>
      </c>
      <c r="Q271" s="331">
        <f ca="1">IFERROR(__xludf.DUMMYFUNCTION("IMPORTRANGE(""https://docs.google.com/spreadsheets/d/1ItG2mGa2ceCfYo0BwxsXqNm01IGEUdYcSSLTEv9YCik/edit?usp=sharing"",""เบิกจ่ายกองทุน!AP78"")"),53440)</f>
        <v>53440</v>
      </c>
      <c r="R271" s="331">
        <f ca="1">IFERROR(__xludf.DUMMYFUNCTION("IMPORTRANGE(""https://docs.google.com/spreadsheets/d/1ItG2mGa2ceCfYo0BwxsXqNm01IGEUdYcSSLTEv9YCik/edit?usp=sharing"",""เบิกจ่ายกองทุน!AQ78"")"),53440)</f>
        <v>53440</v>
      </c>
      <c r="S271" s="331">
        <f ca="1">IFERROR(__xludf.DUMMYFUNCTION("IMPORTRANGE(""https://docs.google.com/spreadsheets/d/1ItG2mGa2ceCfYo0BwxsXqNm01IGEUdYcSSLTEv9YCik/edit?usp=sharing"",""เบิกจ่ายกองทุน!AR78"")"),44528)</f>
        <v>44528</v>
      </c>
      <c r="T271" s="331">
        <f ca="1">IF(Q271&gt;0,S271*100/Q271,0)</f>
        <v>83.323353293413177</v>
      </c>
      <c r="U271" s="331">
        <f ca="1">IF(R271&gt;0,S271*100/R271,0)</f>
        <v>83.323353293413177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IFERROR(__xludf.DUMMYFUNCTION("IMPORTRANGE(""https://docs.google.com/spreadsheets/d/1-uDff_7J0KD5mKrp0Vvzr7lt3OU09vwQwhkpOPPYv2Y/edit?usp=sharing"",""งบพรบ!DH78"")"),0)</f>
        <v>0</v>
      </c>
      <c r="M274" s="331">
        <f ca="1">IFERROR(__xludf.DUMMYFUNCTION("IMPORTRANGE(""https://docs.google.com/spreadsheets/d/1-uDff_7J0KD5mKrp0Vvzr7lt3OU09vwQwhkpOPPYv2Y/edit?usp=sharing"",""งบพรบ!DK78"")"),0)</f>
        <v>0</v>
      </c>
      <c r="N274" s="331">
        <f ca="1">IFERROR(__xludf.DUMMYFUNCTION("IMPORTRANGE(""https://docs.google.com/spreadsheets/d/1-uDff_7J0KD5mKrp0Vvzr7lt3OU09vwQwhkpOPPYv2Y/edit?usp=sharing"",""งบพรบ!DM78"")"),0)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423" t="s">
        <v>18</v>
      </c>
      <c r="D275" s="617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IFERROR(__xludf.DUMMYFUNCTION("IMPORTRANGE(""https://docs.google.com/spreadsheets/d/1eHaY18a8A9IcSdp1K8H6x8fbOy06t2VsZHhMHf-1x7Y/edit?usp=sharing"",""แผน!EC78"")"),24)</f>
        <v>24</v>
      </c>
      <c r="J276" s="175">
        <v>0</v>
      </c>
      <c r="K276" s="176">
        <f ca="1">IF(I276&gt;0,J276*100/I276,0)</f>
        <v>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IFERROR(__xludf.DUMMYFUNCTION("IMPORTRANGE(""https://docs.google.com/spreadsheets/d/1-uDff_7J0KD5mKrp0Vvzr7lt3OU09vwQwhkpOPPYv2Y/edit?usp=sharing"",""งบพรบ!DO78"")"),0)</f>
        <v>0</v>
      </c>
      <c r="M287" s="47">
        <f ca="1">IFERROR(__xludf.DUMMYFUNCTION("IMPORTRANGE(""https://docs.google.com/spreadsheets/d/1-uDff_7J0KD5mKrp0Vvzr7lt3OU09vwQwhkpOPPYv2Y/edit?usp=sharing"",""งบพรบ!DT78"")"),0)</f>
        <v>0</v>
      </c>
      <c r="N287" s="47">
        <f ca="1">IFERROR(__xludf.DUMMYFUNCTION("IMPORTRANGE(""https://docs.google.com/spreadsheets/d/1-uDff_7J0KD5mKrp0Vvzr7lt3OU09vwQwhkpOPPYv2Y/edit?usp=sharing"",""งบพรบ!DV78"")"),0)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IFERROR(__xludf.DUMMYFUNCTION("IMPORTRANGE(""https://docs.google.com/spreadsheets/d/1-uDff_7J0KD5mKrp0Vvzr7lt3OU09vwQwhkpOPPYv2Y/edit?usp=sharing"",""งบพรบ!DR78"")"),0)</f>
        <v>0</v>
      </c>
      <c r="M290" s="47">
        <f ca="1">IFERROR(__xludf.DUMMYFUNCTION("IMPORTRANGE(""https://docs.google.com/spreadsheets/d/1-uDff_7J0KD5mKrp0Vvzr7lt3OU09vwQwhkpOPPYv2Y/edit?usp=sharing"",""งบพรบ!DU78"")"),0)</f>
        <v>0</v>
      </c>
      <c r="N290" s="47">
        <f ca="1">IFERROR(__xludf.DUMMYFUNCTION("IMPORTRANGE(""https://docs.google.com/spreadsheets/d/1-uDff_7J0KD5mKrp0Vvzr7lt3OU09vwQwhkpOPPYv2Y/edit?usp=sharing"",""งบพรบ!DW78"")"),0)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IFERROR(__xludf.DUMMYFUNCTION("IMPORTRANGE(""https://docs.google.com/spreadsheets/d/1eHaY18a8A9IcSdp1K8H6x8fbOy06t2VsZHhMHf-1x7Y/edit?usp=sharing"",""แผน!EE78"")"),0)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IFERROR(__xludf.DUMMYFUNCTION("IMPORTRANGE(""https://docs.google.com/spreadsheets/d/1eHaY18a8A9IcSdp1K8H6x8fbOy06t2VsZHhMHf-1x7Y/edit?usp=sharing"",""แผน!ED78"")"),0)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IFERROR(__xludf.DUMMYFUNCTION("IMPORTRANGE(""https://docs.google.com/spreadsheets/d/1eHaY18a8A9IcSdp1K8H6x8fbOy06t2VsZHhMHf-1x7Y/edit?usp=sharing"",""แผน!ED78"")"),0)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IFERROR(__xludf.DUMMYFUNCTION("IMPORTRANGE(""https://docs.google.com/spreadsheets/d/1eHaY18a8A9IcSdp1K8H6x8fbOy06t2VsZHhMHf-1x7Y/edit?usp=sharing"",""แผน!ED78"")"),0)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1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1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700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30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9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260958.39</v>
      </c>
      <c r="R303" s="132">
        <f ca="1">R304+R305</f>
        <v>260958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260958.39</v>
      </c>
      <c r="R305" s="47">
        <f ca="1">R308+R311</f>
        <v>260958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260958.39</v>
      </c>
      <c r="R306" s="47">
        <f ca="1">R307+R308</f>
        <v>260958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IFERROR(__xludf.DUMMYFUNCTION("IMPORTRANGE(""https://docs.google.com/spreadsheets/d/1-uDff_7J0KD5mKrp0Vvzr7lt3OU09vwQwhkpOPPYv2Y/edit?usp=sharing"",""งบพรบ!DY78"")"),0)</f>
        <v>0</v>
      </c>
      <c r="M308" s="47">
        <f ca="1">IFERROR(__xludf.DUMMYFUNCTION("IMPORTRANGE(""https://docs.google.com/spreadsheets/d/1-uDff_7J0KD5mKrp0Vvzr7lt3OU09vwQwhkpOPPYv2Y/edit?usp=sharing"",""งบพรบ!ED78"")"),0)</f>
        <v>0</v>
      </c>
      <c r="N308" s="47">
        <f ca="1">IFERROR(__xludf.DUMMYFUNCTION("IMPORTRANGE(""https://docs.google.com/spreadsheets/d/1-uDff_7J0KD5mKrp0Vvzr7lt3OU09vwQwhkpOPPYv2Y/edit?usp=sharing"",""งบพรบ!EF78"")"),0)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IFERROR(__xludf.DUMMYFUNCTION("IMPORTRANGE(""https://docs.google.com/spreadsheets/d/1ItG2mGa2ceCfYo0BwxsXqNm01IGEUdYcSSLTEv9YCik/edit?usp=sharing"",""เบิกจ่ายกองทุน!BB78"")"),260958.39)</f>
        <v>260958.39</v>
      </c>
      <c r="R308" s="47">
        <f ca="1">IFERROR(__xludf.DUMMYFUNCTION("IMPORTRANGE(""https://docs.google.com/spreadsheets/d/1ItG2mGa2ceCfYo0BwxsXqNm01IGEUdYcSSLTEv9YCik/edit?usp=sharing"",""เบิกจ่ายกองทุน!BC78"")"),260958)</f>
        <v>260958</v>
      </c>
      <c r="S308" s="47">
        <f ca="1">IFERROR(__xludf.DUMMYFUNCTION("IMPORTRANGE(""https://docs.google.com/spreadsheets/d/1ItG2mGa2ceCfYo0BwxsXqNm01IGEUdYcSSLTEv9YCik/edit?usp=sharing"",""เบิกจ่ายกองทุน!BD78"")"),0)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IFERROR(__xludf.DUMMYFUNCTION("IMPORTRANGE(""https://docs.google.com/spreadsheets/d/1-uDff_7J0KD5mKrp0Vvzr7lt3OU09vwQwhkpOPPYv2Y/edit?usp=sharing"",""งบพรบ!EB78"")"),0)</f>
        <v>0</v>
      </c>
      <c r="M311" s="47">
        <f ca="1">IFERROR(__xludf.DUMMYFUNCTION("IMPORTRANGE(""https://docs.google.com/spreadsheets/d/1-uDff_7J0KD5mKrp0Vvzr7lt3OU09vwQwhkpOPPYv2Y/edit?usp=sharing"",""งบพรบ!EE78"")"),0)</f>
        <v>0</v>
      </c>
      <c r="N311" s="47">
        <f ca="1">IFERROR(__xludf.DUMMYFUNCTION("IMPORTRANGE(""https://docs.google.com/spreadsheets/d/1-uDff_7J0KD5mKrp0Vvzr7lt3OU09vwQwhkpOPPYv2Y/edit?usp=sharing"",""งบพรบ!EG78"")"),0)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9"/>
      <c r="E313" s="19"/>
      <c r="F313" s="19"/>
      <c r="G313" s="20"/>
      <c r="H313" s="20"/>
      <c r="I313" s="21"/>
      <c r="J313" s="707"/>
      <c r="K313" s="22"/>
      <c r="L313" s="701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IFERROR(__xludf.DUMMYFUNCTION("IMPORTRANGE(""https://docs.google.com/spreadsheets/d/1eHaY18a8A9IcSdp1K8H6x8fbOy06t2VsZHhMHf-1x7Y/edit?usp=sharing"",""แผน!EF78"")"),30)</f>
        <v>30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9"/>
      <c r="E315" s="19"/>
      <c r="F315" s="19"/>
      <c r="G315" s="20"/>
      <c r="H315" s="708"/>
      <c r="I315" s="707"/>
      <c r="J315" s="707"/>
      <c r="K315" s="706"/>
      <c r="L315" s="701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9"/>
      <c r="E316" s="19"/>
      <c r="F316" s="19"/>
      <c r="G316" s="20"/>
      <c r="H316" s="708"/>
      <c r="I316" s="707"/>
      <c r="J316" s="707"/>
      <c r="K316" s="706"/>
      <c r="L316" s="701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5"/>
      <c r="E317" s="19"/>
      <c r="F317" s="19"/>
      <c r="G317" s="20"/>
      <c r="H317" s="704"/>
      <c r="I317" s="703"/>
      <c r="J317" s="703"/>
      <c r="K317" s="702"/>
      <c r="L317" s="701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700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IFERROR(__xludf.DUMMYFUNCTION("IMPORTRANGE(""https://docs.google.com/spreadsheets/d/1-uDff_7J0KD5mKrp0Vvzr7lt3OU09vwQwhkpOPPYv2Y/edit?usp=sharing"",""งบพรบ!EI78"")"),0)</f>
        <v>0</v>
      </c>
      <c r="M325" s="47">
        <f ca="1">IFERROR(__xludf.DUMMYFUNCTION("IMPORTRANGE(""https://docs.google.com/spreadsheets/d/1-uDff_7J0KD5mKrp0Vvzr7lt3OU09vwQwhkpOPPYv2Y/edit?usp=sharing"",""งบพรบ!EN78"")"),0)</f>
        <v>0</v>
      </c>
      <c r="N325" s="47">
        <f ca="1">IFERROR(__xludf.DUMMYFUNCTION("IMPORTRANGE(""https://docs.google.com/spreadsheets/d/1-uDff_7J0KD5mKrp0Vvzr7lt3OU09vwQwhkpOPPYv2Y/edit?usp=sharing"",""งบพรบ!EP78"")"),0)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IFERROR(__xludf.DUMMYFUNCTION("IMPORTRANGE(""https://docs.google.com/spreadsheets/d/1-uDff_7J0KD5mKrp0Vvzr7lt3OU09vwQwhkpOPPYv2Y/edit?usp=sharing"",""งบพรบ!EL78"")"),0)</f>
        <v>0</v>
      </c>
      <c r="M328" s="47">
        <f ca="1">IFERROR(__xludf.DUMMYFUNCTION("IMPORTRANGE(""https://docs.google.com/spreadsheets/d/1-uDff_7J0KD5mKrp0Vvzr7lt3OU09vwQwhkpOPPYv2Y/edit?usp=sharing"",""งบพรบ!EO78"")"),0)</f>
        <v>0</v>
      </c>
      <c r="N328" s="47">
        <f ca="1">IFERROR(__xludf.DUMMYFUNCTION("IMPORTRANGE(""https://docs.google.com/spreadsheets/d/1-uDff_7J0KD5mKrp0Vvzr7lt3OU09vwQwhkpOPPYv2Y/edit?usp=sharing"",""งบพรบ!EQ78"")"),0)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IFERROR(__xludf.DUMMYFUNCTION("IMPORTRANGE(""https://docs.google.com/spreadsheets/d/1eHaY18a8A9IcSdp1K8H6x8fbOy06t2VsZHhMHf-1x7Y/edit?usp=sharing"",""แผน!EJ78"")"),0)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700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9">
        <f ca="1">I344</f>
        <v>1060</v>
      </c>
      <c r="J332" s="698">
        <f ca="1">J344+J347+J348+J349+J353</f>
        <v>7150</v>
      </c>
      <c r="K332" s="697">
        <f ca="1">IF(I332&gt;0,J332*100/I332,0)</f>
        <v>674.52830188679241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9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189000</v>
      </c>
      <c r="M333" s="132">
        <f ca="1">M334+M335</f>
        <v>240175</v>
      </c>
      <c r="N333" s="132">
        <f ca="1">N334+N335</f>
        <v>153309.78</v>
      </c>
      <c r="O333" s="132">
        <f ca="1">IF(L333&gt;0,N333*100/L333,0)</f>
        <v>81.116285714285709</v>
      </c>
      <c r="P333" s="132">
        <f ca="1">IF(M333&gt;0,N333*100/M333,0)</f>
        <v>63.832530446549391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189000</v>
      </c>
      <c r="M335" s="47">
        <f ca="1">M338+M341</f>
        <v>240175</v>
      </c>
      <c r="N335" s="47">
        <f ca="1">N338+N341</f>
        <v>153309.78</v>
      </c>
      <c r="O335" s="47">
        <f ca="1">IF(L335&gt;0,N335*100/L335,0)</f>
        <v>81.116285714285709</v>
      </c>
      <c r="P335" s="47">
        <f ca="1">IF(M335&gt;0,N335*100/M335,0)</f>
        <v>63.832530446549391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189000</v>
      </c>
      <c r="M336" s="47">
        <f ca="1">M337+M338</f>
        <v>240175</v>
      </c>
      <c r="N336" s="47">
        <f ca="1">N337+N338</f>
        <v>153309.78</v>
      </c>
      <c r="O336" s="47">
        <f ca="1">IF(L336&gt;0,N336*100/L336,0)</f>
        <v>81.116285714285709</v>
      </c>
      <c r="P336" s="47">
        <f ca="1">IF(M336&gt;0,N336*100/M336,0)</f>
        <v>63.832530446549391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IFERROR(__xludf.DUMMYFUNCTION("IMPORTRANGE(""https://docs.google.com/spreadsheets/d/1-uDff_7J0KD5mKrp0Vvzr7lt3OU09vwQwhkpOPPYv2Y/edit?usp=sharing"",""งบพรบ!ES78"")"),189000)</f>
        <v>189000</v>
      </c>
      <c r="M338" s="47">
        <f ca="1">IFERROR(__xludf.DUMMYFUNCTION("IMPORTRANGE(""https://docs.google.com/spreadsheets/d/1-uDff_7J0KD5mKrp0Vvzr7lt3OU09vwQwhkpOPPYv2Y/edit?usp=sharing"",""งบพรบ!EX78"")"),240175)</f>
        <v>240175</v>
      </c>
      <c r="N338" s="47">
        <f ca="1">IFERROR(__xludf.DUMMYFUNCTION("IMPORTRANGE(""https://docs.google.com/spreadsheets/d/1-uDff_7J0KD5mKrp0Vvzr7lt3OU09vwQwhkpOPPYv2Y/edit?usp=sharing"",""งบพรบ!EZ78"")"),153309.78)</f>
        <v>153309.78</v>
      </c>
      <c r="O338" s="47">
        <f ca="1">IF(L338&gt;0,N338*100/L338,0)</f>
        <v>81.116285714285709</v>
      </c>
      <c r="P338" s="47">
        <f ca="1">IF(M338&gt;0,N338*100/M338,0)</f>
        <v>63.832530446549391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IFERROR(__xludf.DUMMYFUNCTION("IMPORTRANGE(""https://docs.google.com/spreadsheets/d/1-uDff_7J0KD5mKrp0Vvzr7lt3OU09vwQwhkpOPPYv2Y/edit?usp=sharing"",""งบพรบ!EV78"")"),0)</f>
        <v>0</v>
      </c>
      <c r="M341" s="47">
        <f ca="1">IFERROR(__xludf.DUMMYFUNCTION("IMPORTRANGE(""https://docs.google.com/spreadsheets/d/1-uDff_7J0KD5mKrp0Vvzr7lt3OU09vwQwhkpOPPYv2Y/edit?usp=sharing"",""งบพรบ!EY78"")"),0)</f>
        <v>0</v>
      </c>
      <c r="N341" s="47">
        <f ca="1">IFERROR(__xludf.DUMMYFUNCTION("IMPORTRANGE(""https://docs.google.com/spreadsheets/d/1-uDff_7J0KD5mKrp0Vvzr7lt3OU09vwQwhkpOPPYv2Y/edit?usp=sharing"",""งบพรบ!FA78"")"),0)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6"/>
      <c r="B343" s="693"/>
      <c r="C343" s="695"/>
      <c r="D343" s="693"/>
      <c r="E343" s="694" t="s">
        <v>137</v>
      </c>
      <c r="F343" s="693"/>
      <c r="G343" s="692"/>
      <c r="H343" s="691" t="s">
        <v>35</v>
      </c>
      <c r="I343" s="690">
        <v>0</v>
      </c>
      <c r="J343" s="690">
        <f ca="1">J344+J347+J348+J349</f>
        <v>2103</v>
      </c>
      <c r="K343" s="689">
        <v>0</v>
      </c>
      <c r="L343" s="687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IFERROR(__xludf.DUMMYFUNCTION("IMPORTRANGE(""https://docs.google.com/spreadsheets/d/1eHaY18a8A9IcSdp1K8H6x8fbOy06t2VsZHhMHf-1x7Y/edit?usp=sharing"",""แผน!EK78"")"),1060)</f>
        <v>1060</v>
      </c>
      <c r="J344" s="152">
        <f ca="1">IFERROR(__xludf.DUMMYFUNCTION("IMPORTRANGE(""https://docs.google.com/spreadsheets/d/1awYsYK3VOup2i3Pq_Yjnu8DRu_mYwSBnCR2QPthd0rU/edit?usp=sharing"",""ศูนย์ยกเว้นโฉนด!D78"")"),2101)</f>
        <v>2101</v>
      </c>
      <c r="K344" s="47">
        <f ca="1">IF(I344&gt;0,J344*100/I344,0)</f>
        <v>198.20754716981133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IFERROR(__xludf.DUMMYFUNCTION("IMPORTRANGE(""https://docs.google.com/spreadsheets/d/1eHaY18a8A9IcSdp1K8H6x8fbOy06t2VsZHhMHf-1x7Y/edit?usp=sharing"",""แผน!EL78"")"),5)</f>
        <v>5</v>
      </c>
      <c r="J346" s="152">
        <f ca="1">IFERROR(__xludf.DUMMYFUNCTION("IMPORTRANGE(""https://docs.google.com/spreadsheets/d/1awYsYK3VOup2i3Pq_Yjnu8DRu_mYwSBnCR2QPthd0rU/edit?usp=sharing"",""ศูนย์รวม!E78"")"),7)</f>
        <v>7</v>
      </c>
      <c r="K346" s="47">
        <f ca="1">IF(I346&gt;0,J346*100/I346,0)</f>
        <v>140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IFERROR(__xludf.DUMMYFUNCTION("IMPORTRANGE(""https://docs.google.com/spreadsheets/d/1awYsYK3VOup2i3Pq_Yjnu8DRu_mYwSBnCR2QPthd0rU/edit?usp=sharing"",""ศูนย์ยกเว้นโฉนด!F78"")"),2)</f>
        <v>2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IFERROR(__xludf.DUMMYFUNCTION("IMPORTRANGE(""https://docs.google.com/spreadsheets/d/1awYsYK3VOup2i3Pq_Yjnu8DRu_mYwSBnCR2QPthd0rU/edit?usp=sharing"",""ศูนย์ยกเว้นโฉนด!G78"")"),0)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IFERROR(__xludf.DUMMYFUNCTION("IMPORTRANGE(""https://docs.google.com/spreadsheets/d/1awYsYK3VOup2i3Pq_Yjnu8DRu_mYwSBnCR2QPthd0rU/edit?usp=sharing"",""ศูนย์ยกเว้นโฉนด!H78"")"),0)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8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7120</v>
      </c>
      <c r="K351" s="229">
        <v>0</v>
      </c>
      <c r="L351" s="687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IFERROR(__xludf.DUMMYFUNCTION("IMPORTRANGE(""https://docs.google.com/spreadsheets/d/1awYsYK3VOup2i3Pq_Yjnu8DRu_mYwSBnCR2QPthd0rU/edit?usp=sharing"",""โฉนดM3!G78"")"),2073)</f>
        <v>2073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IFERROR(__xludf.DUMMYFUNCTION("IMPORTRANGE(""https://docs.google.com/spreadsheets/d/1awYsYK3VOup2i3Pq_Yjnu8DRu_mYwSBnCR2QPthd0rU/edit?usp=sharing"",""โฉนดM3!H78"")"),5047)</f>
        <v>5047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9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745130</v>
      </c>
      <c r="M356" s="132">
        <f ca="1">M357+M358</f>
        <v>728730</v>
      </c>
      <c r="N356" s="132">
        <f ca="1">N357+N358</f>
        <v>570051.39</v>
      </c>
      <c r="O356" s="132">
        <f ca="1">IF(L356&gt;0,N356*100/L356,0)</f>
        <v>76.503615476494033</v>
      </c>
      <c r="P356" s="132">
        <f ca="1">IF(M356&gt;0,N356*100/M356,0)</f>
        <v>78.225322135770455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745130</v>
      </c>
      <c r="M358" s="47">
        <f ca="1">M361+M364</f>
        <v>728730</v>
      </c>
      <c r="N358" s="47">
        <f ca="1">N361+N364</f>
        <v>570051.39</v>
      </c>
      <c r="O358" s="47">
        <f ca="1">IF(L358&gt;0,N358*100/L358,0)</f>
        <v>76.503615476494033</v>
      </c>
      <c r="P358" s="47">
        <f ca="1">IF(M358&gt;0,N358*100/M358,0)</f>
        <v>78.225322135770455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745130</v>
      </c>
      <c r="M359" s="47">
        <f ca="1">M360+M361</f>
        <v>728730</v>
      </c>
      <c r="N359" s="47">
        <f ca="1">N360+N361</f>
        <v>570051.39</v>
      </c>
      <c r="O359" s="47">
        <f ca="1">IF(L359&gt;0,N359*100/L359,0)</f>
        <v>76.503615476494033</v>
      </c>
      <c r="P359" s="47">
        <f ca="1">IF(M359&gt;0,N359*100/M359,0)</f>
        <v>78.225322135770455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IFERROR(__xludf.DUMMYFUNCTION("IMPORTRANGE(""https://docs.google.com/spreadsheets/d/1-uDff_7J0KD5mKrp0Vvzr7lt3OU09vwQwhkpOPPYv2Y/edit?usp=sharing"",""งบพรบ!FC78"")"),745130)</f>
        <v>745130</v>
      </c>
      <c r="M361" s="47">
        <f ca="1">IFERROR(__xludf.DUMMYFUNCTION("IMPORTRANGE(""https://docs.google.com/spreadsheets/d/1-uDff_7J0KD5mKrp0Vvzr7lt3OU09vwQwhkpOPPYv2Y/edit?usp=sharing"",""งบพรบ!FH78"")"),728730)</f>
        <v>728730</v>
      </c>
      <c r="N361" s="47">
        <f ca="1">IFERROR(__xludf.DUMMYFUNCTION("IMPORTRANGE(""https://docs.google.com/spreadsheets/d/1-uDff_7J0KD5mKrp0Vvzr7lt3OU09vwQwhkpOPPYv2Y/edit?usp=sharing"",""งบพรบ!FJ78"")"),570051.39)</f>
        <v>570051.39</v>
      </c>
      <c r="O361" s="47">
        <f ca="1">IF(L361&gt;0,N361*100/L361,0)</f>
        <v>76.503615476494033</v>
      </c>
      <c r="P361" s="47">
        <f ca="1">IF(M361&gt;0,N361*100/M361,0)</f>
        <v>78.225322135770455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IFERROR(__xludf.DUMMYFUNCTION("IMPORTRANGE(""https://docs.google.com/spreadsheets/d/1-uDff_7J0KD5mKrp0Vvzr7lt3OU09vwQwhkpOPPYv2Y/edit?usp=sharing"",""งบพรบ!FF78"")"),0)</f>
        <v>0</v>
      </c>
      <c r="M364" s="47">
        <f ca="1">IFERROR(__xludf.DUMMYFUNCTION("IMPORTRANGE(""https://docs.google.com/spreadsheets/d/1-uDff_7J0KD5mKrp0Vvzr7lt3OU09vwQwhkpOPPYv2Y/edit?usp=sharing"",""งบพรบ!FI78"")"),0)</f>
        <v>0</v>
      </c>
      <c r="N364" s="47">
        <f ca="1">IFERROR(__xludf.DUMMYFUNCTION("IMPORTRANGE(""https://docs.google.com/spreadsheets/d/1-uDff_7J0KD5mKrp0Vvzr7lt3OU09vwQwhkpOPPYv2Y/edit?usp=sharing"",""งบพรบ!FK78"")"),0)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8" t="s">
        <v>149</v>
      </c>
      <c r="E365" s="225"/>
      <c r="F365" s="225"/>
      <c r="G365" s="226"/>
      <c r="H365" s="234" t="s">
        <v>35</v>
      </c>
      <c r="I365" s="228">
        <f ca="1">I371</f>
        <v>827</v>
      </c>
      <c r="J365" s="228">
        <f ca="1">J371</f>
        <v>244</v>
      </c>
      <c r="K365" s="229">
        <f ca="1">IF(I365&gt;0,J365*100/I365,0)</f>
        <v>29.504232164449817</v>
      </c>
      <c r="L365" s="687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IFERROR(__xludf.DUMMYFUNCTION("IMPORTRANGE(""https://docs.google.com/spreadsheets/d/1tdoBKaGub7dwA3U6UFTqxio9LNnvDCQjHKmttSEBsFQ/edit?usp=sharing"",""จัดที่ดิน!AB78"")"),331)</f>
        <v>331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IFERROR(__xludf.DUMMYFUNCTION("IMPORTRANGE(""https://docs.google.com/spreadsheets/d/1eHaY18a8A9IcSdp1K8H6x8fbOy06t2VsZHhMHf-1x7Y/edit?usp=sharing"",""แผน!EW78"")"),1890)</f>
        <v>1890</v>
      </c>
      <c r="J368" s="686">
        <f ca="1">IFERROR(__xludf.DUMMYFUNCTION("IMPORTRANGE(""https://docs.google.com/spreadsheets/d/1tdoBKaGub7dwA3U6UFTqxio9LNnvDCQjHKmttSEBsFQ/edit?usp=sharing"",""จัดที่ดิน!AC78"")"),2277.91)</f>
        <v>2277.91</v>
      </c>
      <c r="K368" s="47">
        <f ca="1">IF(I368&gt;0,J368*100/I368,0)</f>
        <v>120.52433862433863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IFERROR(__xludf.DUMMYFUNCTION("IMPORTRANGE(""https://docs.google.com/spreadsheets/d/1eHaY18a8A9IcSdp1K8H6x8fbOy06t2VsZHhMHf-1x7Y/edit?usp=sharing"",""แผน!EX78"")"),827)</f>
        <v>827</v>
      </c>
      <c r="J369" s="152">
        <f ca="1">IFERROR(__xludf.DUMMYFUNCTION("IMPORTRANGE(""https://docs.google.com/spreadsheets/d/1tdoBKaGub7dwA3U6UFTqxio9LNnvDCQjHKmttSEBsFQ/edit?usp=sharing"",""จัดที่ดิน!AD78"")"),584)</f>
        <v>584</v>
      </c>
      <c r="K369" s="47">
        <f ca="1">IF(I369&gt;0,J369*100/I369,0)</f>
        <v>70.616686819830718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6">
        <f ca="1">IFERROR(__xludf.DUMMYFUNCTION("IMPORTRANGE(""https://docs.google.com/spreadsheets/d/1tdoBKaGub7dwA3U6UFTqxio9LNnvDCQjHKmttSEBsFQ/edit?usp=sharing"",""จัดที่ดิน!AE78"")"),4994.99)</f>
        <v>4994.99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IFERROR(__xludf.DUMMYFUNCTION("IMPORTRANGE(""https://docs.google.com/spreadsheets/d/1eHaY18a8A9IcSdp1K8H6x8fbOy06t2VsZHhMHf-1x7Y/edit?usp=sharing"",""แผน!EY78"")"),827)</f>
        <v>827</v>
      </c>
      <c r="J371" s="152">
        <f ca="1">IFERROR(__xludf.DUMMYFUNCTION("IMPORTRANGE(""https://docs.google.com/spreadsheets/d/1tdoBKaGub7dwA3U6UFTqxio9LNnvDCQjHKmttSEBsFQ/edit?usp=sharing"",""จัดที่ดิน!AF78"")"),244)</f>
        <v>244</v>
      </c>
      <c r="K371" s="47">
        <f ca="1">IF(I371&gt;0,J371*100/I371,0)</f>
        <v>29.504232164449817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6">
        <f ca="1">IFERROR(__xludf.DUMMYFUNCTION("IMPORTRANGE(""https://docs.google.com/spreadsheets/d/1tdoBKaGub7dwA3U6UFTqxio9LNnvDCQjHKmttSEBsFQ/edit?usp=sharing"",""จัดที่ดิน!AG78"")"),2485.19)</f>
        <v>2485.19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5"/>
      <c r="B374" s="684" t="s">
        <v>153</v>
      </c>
      <c r="C374" s="683"/>
      <c r="D374" s="682"/>
      <c r="E374" s="681"/>
      <c r="F374" s="681"/>
      <c r="G374" s="680"/>
      <c r="H374" s="679" t="s">
        <v>46</v>
      </c>
      <c r="I374" s="678">
        <f ca="1">I386+I388</f>
        <v>1000</v>
      </c>
      <c r="J374" s="678">
        <f ca="1">J386+J388</f>
        <v>0</v>
      </c>
      <c r="K374" s="677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56250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56250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56250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IFERROR(__xludf.DUMMYFUNCTION("IMPORTRANGE(""https://docs.google.com/spreadsheets/d/1-uDff_7J0KD5mKrp0Vvzr7lt3OU09vwQwhkpOPPYv2Y/edit?usp=sharing"",""งบพรบ!IE78"")"),0)</f>
        <v>0</v>
      </c>
      <c r="M380" s="47">
        <f ca="1">IFERROR(__xludf.DUMMYFUNCTION("IMPORTRANGE(""https://docs.google.com/spreadsheets/d/1-uDff_7J0KD5mKrp0Vvzr7lt3OU09vwQwhkpOPPYv2Y/edit?usp=sharing"",""งบพรบ!IJ78"")"),0)</f>
        <v>0</v>
      </c>
      <c r="N380" s="47">
        <f ca="1">IFERROR(__xludf.DUMMYFUNCTION("IMPORTRANGE(""https://docs.google.com/spreadsheets/d/1-uDff_7J0KD5mKrp0Vvzr7lt3OU09vwQwhkpOPPYv2Y/edit?usp=sharing"",""งบพรบ!IL78"")"),0)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IFERROR(__xludf.DUMMYFUNCTION("IMPORTRANGE(""https://docs.google.com/spreadsheets/d/1ItG2mGa2ceCfYo0BwxsXqNm01IGEUdYcSSLTEv9YCik/edit?usp=sharing"",""เบิกจ่ายกองทุน!BW78"")"),62500)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IFERROR(__xludf.DUMMYFUNCTION("IMPORTRANGE(""https://docs.google.com/spreadsheets/d/1ItG2mGa2ceCfYo0BwxsXqNm01IGEUdYcSSLTEv9YCik/edit?usp=sharing"",""เบิกจ่ายกองทุน!BX78"")"),56250)</f>
        <v>56250</v>
      </c>
      <c r="S380" s="47">
        <f ca="1">IFERROR(__xludf.DUMMYFUNCTION("IMPORTRANGE(""https://docs.google.com/spreadsheets/d/1ItG2mGa2ceCfYo0BwxsXqNm01IGEUdYcSSLTEv9YCik/edit?usp=sharing"",""เบิกจ่ายกองทุน!BY78"")"),0)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IFERROR(__xludf.DUMMYFUNCTION("IMPORTRANGE(""https://docs.google.com/spreadsheets/d/1-uDff_7J0KD5mKrp0Vvzr7lt3OU09vwQwhkpOPPYv2Y/edit?usp=sharing"",""งบพรบ!IH78"")"),0)</f>
        <v>0</v>
      </c>
      <c r="M383" s="47">
        <f ca="1">IFERROR(__xludf.DUMMYFUNCTION("IMPORTRANGE(""https://docs.google.com/spreadsheets/d/1-uDff_7J0KD5mKrp0Vvzr7lt3OU09vwQwhkpOPPYv2Y/edit?usp=sharing"",""งบพรบ!IK78"")"),0)</f>
        <v>0</v>
      </c>
      <c r="N383" s="47">
        <f ca="1">IFERROR(__xludf.DUMMYFUNCTION("IMPORTRANGE(""https://docs.google.com/spreadsheets/d/1-uDff_7J0KD5mKrp0Vvzr7lt3OU09vwQwhkpOPPYv2Y/edit?usp=sharing"",""งบพรบ!IM78"")"),0)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IFERROR(__xludf.DUMMYFUNCTION("IMPORTRANGE(""https://docs.google.com/spreadsheets/d/1w5rwWK1o49a35cNtocGL0gxDwhFSTZUQu90BiH9_zqM/edit?usp=sharing"",""RTK!H78"")"),0)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IFERROR(__xludf.DUMMYFUNCTION("IMPORTRANGE(""https://docs.google.com/spreadsheets/d/1w5rwWK1o49a35cNtocGL0gxDwhFSTZUQu90BiH9_zqM/edit?usp=sharing"",""RTK!G78"")"),1000)</f>
        <v>1000</v>
      </c>
      <c r="J386" s="152">
        <f ca="1">IFERROR(__xludf.DUMMYFUNCTION("IMPORTRANGE(""https://docs.google.com/spreadsheets/d/1w5rwWK1o49a35cNtocGL0gxDwhFSTZUQu90BiH9_zqM/edit?usp=sharing"",""RTK!I78"")"),0)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326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IFERROR(__xludf.DUMMYFUNCTION("IMPORTRANGE(""https://docs.google.com/spreadsheets/d/1w5rwWK1o49a35cNtocGL0gxDwhFSTZUQu90BiH9_zqM/edit?usp=sharing"",""RTK!L78"")"),0)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326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IFERROR(__xludf.DUMMYFUNCTION("IMPORTRANGE(""https://docs.google.com/spreadsheets/d/1w5rwWK1o49a35cNtocGL0gxDwhFSTZUQu90BiH9_zqM/edit?usp=sharing"",""RTK!K78"")"),0)</f>
        <v>0</v>
      </c>
      <c r="J388" s="330">
        <f ca="1">IFERROR(__xludf.DUMMYFUNCTION("IMPORTRANGE(""https://docs.google.com/spreadsheets/d/1w5rwWK1o49a35cNtocGL0gxDwhFSTZUQu90BiH9_zqM/edit?usp=sharing"",""RTK!M78"")"),0)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89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33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IFERROR(__xludf.DUMMYFUNCTION("IMPORTRANGE(""https://docs.google.com/spreadsheets/d/1ItG2mGa2ceCfYo0BwxsXqNm01IGEUdYcSSLTEv9YCik/edit?usp=sharing"",""เบิกจ่ายกองทุน!CL78"")"),0)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IFERROR(__xludf.DUMMYFUNCTION("IMPORTRANGE(""https://docs.google.com/spreadsheets/d/1ItG2mGa2ceCfYo0BwxsXqNm01IGEUdYcSSLTEv9YCik/edit?usp=sharing"",""เบิกจ่ายกองทุน!CM78"")"),0)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IFERROR(__xludf.DUMMYFUNCTION("IMPORTRANGE(""https://docs.google.com/spreadsheets/d/1ItG2mGa2ceCfYo0BwxsXqNm01IGEUdYcSSLTEv9YCik/edit?usp=sharing"",""เบิกจ่ายกองทุน!CN78"")"),0)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89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89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89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89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89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89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89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89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89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33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24960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40" t="s">
        <v>18</v>
      </c>
      <c r="D413" s="676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309640</v>
      </c>
      <c r="M413" s="132">
        <f ca="1">M414+M415</f>
        <v>309640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67200</v>
      </c>
      <c r="R413" s="132">
        <f ca="1">R414+R415</f>
        <v>67200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309640</v>
      </c>
      <c r="M415" s="47">
        <f ca="1">M418+M421</f>
        <v>309640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67200</v>
      </c>
      <c r="R415" s="47">
        <f ca="1">R418+R421</f>
        <v>67200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309640</v>
      </c>
      <c r="M416" s="47">
        <f ca="1">M417+M418</f>
        <v>309640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67200</v>
      </c>
      <c r="R416" s="47">
        <f ca="1">R417+R418</f>
        <v>67200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IFERROR(__xludf.DUMMYFUNCTION("IMPORTRANGE(""https://docs.google.com/spreadsheets/d/1-uDff_7J0KD5mKrp0Vvzr7lt3OU09vwQwhkpOPPYv2Y/edit?usp=sharing"",""งบพรบ!IO78"")"),309640)</f>
        <v>309640</v>
      </c>
      <c r="M418" s="47">
        <f ca="1">IFERROR(__xludf.DUMMYFUNCTION("IMPORTRANGE(""https://docs.google.com/spreadsheets/d/1-uDff_7J0KD5mKrp0Vvzr7lt3OU09vwQwhkpOPPYv2Y/edit?usp=sharing"",""งบพรบ!IT78"")"),309640)</f>
        <v>309640</v>
      </c>
      <c r="N418" s="47">
        <f ca="1">IFERROR(__xludf.DUMMYFUNCTION("IMPORTRANGE(""https://docs.google.com/spreadsheets/d/1-uDff_7J0KD5mKrp0Vvzr7lt3OU09vwQwhkpOPPYv2Y/edit?usp=sharing"",""งบพรบ!IV78"")"),0)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IFERROR(__xludf.DUMMYFUNCTION("IMPORTRANGE(""https://docs.google.com/spreadsheets/d/1ItG2mGa2ceCfYo0BwxsXqNm01IGEUdYcSSLTEv9YCik/edit?usp=sharing"",""เบิกจ่ายกองทุน!BZ78"")"),67200)</f>
        <v>67200</v>
      </c>
      <c r="R418" s="47">
        <f ca="1">IFERROR(__xludf.DUMMYFUNCTION("IMPORTRANGE(""https://docs.google.com/spreadsheets/d/1ItG2mGa2ceCfYo0BwxsXqNm01IGEUdYcSSLTEv9YCik/edit?usp=sharing"",""เบิกจ่ายกองทุน!CA78"")"),67200)</f>
        <v>67200</v>
      </c>
      <c r="S418" s="47">
        <f ca="1">IFERROR(__xludf.DUMMYFUNCTION("IMPORTRANGE(""https://docs.google.com/spreadsheets/d/1ItG2mGa2ceCfYo0BwxsXqNm01IGEUdYcSSLTEv9YCik/edit?usp=sharing"",""เบิกจ่ายกองทุน!CB78"")"),0)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IFERROR(__xludf.DUMMYFUNCTION("IMPORTRANGE(""https://docs.google.com/spreadsheets/d/1-uDff_7J0KD5mKrp0Vvzr7lt3OU09vwQwhkpOPPYv2Y/edit?usp=sharing"",""งบพรบ!IR78"")"),0)</f>
        <v>0</v>
      </c>
      <c r="M421" s="47">
        <f ca="1">IFERROR(__xludf.DUMMYFUNCTION("IMPORTRANGE(""https://docs.google.com/spreadsheets/d/1-uDff_7J0KD5mKrp0Vvzr7lt3OU09vwQwhkpOPPYv2Y/edit?usp=sharing"",""งบพรบ!IU78"")"),0)</f>
        <v>0</v>
      </c>
      <c r="N421" s="47">
        <f ca="1">IFERROR(__xludf.DUMMYFUNCTION("IMPORTRANGE(""https://docs.google.com/spreadsheets/d/1-uDff_7J0KD5mKrp0Vvzr7lt3OU09vwQwhkpOPPYv2Y/edit?usp=sharing"",""งบพรบ!IW78"")"),0)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40" t="s">
        <v>18</v>
      </c>
      <c r="D422" s="674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669"/>
      <c r="B423" s="464" t="s">
        <v>160</v>
      </c>
      <c r="C423" s="463"/>
      <c r="D423" s="463"/>
      <c r="E423" s="463"/>
      <c r="F423" s="463"/>
      <c r="G423" s="474"/>
      <c r="H423" s="671" t="s">
        <v>46</v>
      </c>
      <c r="I423" s="468">
        <f ca="1">I440</f>
        <v>24960</v>
      </c>
      <c r="J423" s="673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IFERROR(__xludf.DUMMYFUNCTION("IMPORTRANGE(""https://docs.google.com/spreadsheets/d/1eHaY18a8A9IcSdp1K8H6x8fbOy06t2VsZHhMHf-1x7Y/edit?usp=sharing"",""แผน!HJ78"")"),24960)</f>
        <v>24960</v>
      </c>
      <c r="J424" s="670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IFERROR(__xludf.DUMMYFUNCTION("IMPORTRANGE(""https://docs.google.com/spreadsheets/d/1eHaY18a8A9IcSdp1K8H6x8fbOy06t2VsZHhMHf-1x7Y/edit?usp=sharing"",""แผน!HK78"")"),2753)</f>
        <v>2753</v>
      </c>
      <c r="J425" s="670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IFERROR(__xludf.DUMMYFUNCTION("IMPORTRANGE(""https://docs.google.com/spreadsheets/d/1eHaY18a8A9IcSdp1K8H6x8fbOy06t2VsZHhMHf-1x7Y/edit?usp=sharing"",""แผน!HJ78"")"),24960)</f>
        <v>24960</v>
      </c>
      <c r="J432" s="670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IFERROR(__xludf.DUMMYFUNCTION("IMPORTRANGE(""https://docs.google.com/spreadsheets/d/1eHaY18a8A9IcSdp1K8H6x8fbOy06t2VsZHhMHf-1x7Y/edit?usp=sharing"",""แผน!HK78"")"),2753)</f>
        <v>2753</v>
      </c>
      <c r="J433" s="670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IFERROR(__xludf.DUMMYFUNCTION("IMPORTRANGE(""https://docs.google.com/spreadsheets/d/1eHaY18a8A9IcSdp1K8H6x8fbOy06t2VsZHhMHf-1x7Y/edit?usp=sharing"",""แผน!HJ78"")"),24960)</f>
        <v>24960</v>
      </c>
      <c r="J440" s="670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IFERROR(__xludf.DUMMYFUNCTION("IMPORTRANGE(""https://docs.google.com/spreadsheets/d/1eHaY18a8A9IcSdp1K8H6x8fbOy06t2VsZHhMHf-1x7Y/edit?usp=sharing"",""แผน!HK78"")"),2753)</f>
        <v>2753</v>
      </c>
      <c r="J441" s="670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70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70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2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669"/>
      <c r="B456" s="464" t="s">
        <v>177</v>
      </c>
      <c r="C456" s="463"/>
      <c r="D456" s="463"/>
      <c r="E456" s="463"/>
      <c r="F456" s="463"/>
      <c r="G456" s="474"/>
      <c r="H456" s="671" t="s">
        <v>46</v>
      </c>
      <c r="I456" s="468">
        <f ca="1">I457</f>
        <v>192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IFERROR(__xludf.DUMMYFUNCTION("IMPORTRANGE(""https://docs.google.com/spreadsheets/d/1eHaY18a8A9IcSdp1K8H6x8fbOy06t2VsZHhMHf-1x7Y/edit?usp=sharing"",""แผน!HL78"")"),192)</f>
        <v>192</v>
      </c>
      <c r="J457" s="670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IFERROR(__xludf.DUMMYFUNCTION("IMPORTRANGE(""https://docs.google.com/spreadsheets/d/1eHaY18a8A9IcSdp1K8H6x8fbOy06t2VsZHhMHf-1x7Y/edit?usp=sharing"",""แผน!HM78"")"),0)</f>
        <v>0</v>
      </c>
      <c r="J458" s="670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669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650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IFERROR(__xludf.DUMMYFUNCTION("IMPORTRANGE(""https://docs.google.com/spreadsheets/d/1-uDff_7J0KD5mKrp0Vvzr7lt3OU09vwQwhkpOPPYv2Y/edit?usp=sharing"",""งบพรบ!HU78"")"),0)</f>
        <v>0</v>
      </c>
      <c r="M498" s="47">
        <f ca="1">IFERROR(__xludf.DUMMYFUNCTION("IMPORTRANGE(""https://docs.google.com/spreadsheets/d/1-uDff_7J0KD5mKrp0Vvzr7lt3OU09vwQwhkpOPPYv2Y/edit?usp=sharing"",""งบพรบ!HZ78"")"),0)</f>
        <v>0</v>
      </c>
      <c r="N498" s="47">
        <f ca="1">IFERROR(__xludf.DUMMYFUNCTION("IMPORTRANGE(""https://docs.google.com/spreadsheets/d/1-uDff_7J0KD5mKrp0Vvzr7lt3OU09vwQwhkpOPPYv2Y/edit?usp=sharing"",""งบพรบ!IB78"")"),0)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IFERROR(__xludf.DUMMYFUNCTION("IMPORTRANGE(""https://docs.google.com/spreadsheets/d/1ItG2mGa2ceCfYo0BwxsXqNm01IGEUdYcSSLTEv9YCik/edit?usp=sharing"",""เบิกจ่ายกองทุน!AD78"")"),0)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IFERROR(__xludf.DUMMYFUNCTION("IMPORTRANGE(""https://docs.google.com/spreadsheets/d/1ItG2mGa2ceCfYo0BwxsXqNm01IGEUdYcSSLTEv9YCik/edit?usp=sharing"",""เบิกจ่ายกองทุน!AE78"")"),0)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IFERROR(__xludf.DUMMYFUNCTION("IMPORTRANGE(""https://docs.google.com/spreadsheets/d/1ItG2mGa2ceCfYo0BwxsXqNm01IGEUdYcSSLTEv9YCik/edit?usp=sharing"",""เบิกจ่ายกองทุน!AF78"")"),0)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IFERROR(__xludf.DUMMYFUNCTION("IMPORTRANGE(""https://docs.google.com/spreadsheets/d/1-uDff_7J0KD5mKrp0Vvzr7lt3OU09vwQwhkpOPPYv2Y/edit?usp=sharing"",""งบพรบ!HX78"")"),0)</f>
        <v>0</v>
      </c>
      <c r="M501" s="47">
        <f ca="1">IFERROR(__xludf.DUMMYFUNCTION("IMPORTRANGE(""https://docs.google.com/spreadsheets/d/1-uDff_7J0KD5mKrp0Vvzr7lt3OU09vwQwhkpOPPYv2Y/edit?usp=sharing"",""งบพรบ!IA78"")"),0)</f>
        <v>0</v>
      </c>
      <c r="N501" s="47">
        <f ca="1">IFERROR(__xludf.DUMMYFUNCTION("IMPORTRANGE(""https://docs.google.com/spreadsheets/d/1-uDff_7J0KD5mKrp0Vvzr7lt3OU09vwQwhkpOPPYv2Y/edit?usp=sharing"",""งบพรบ!IC78"")"),0)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IFERROR(__xludf.DUMMYFUNCTION("IMPORTRANGE(""https://docs.google.com/spreadsheets/d/1eHaY18a8A9IcSdp1K8H6x8fbOy06t2VsZHhMHf-1x7Y/edit?usp=sharing"",""แผน!GX78"")"),0)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IFERROR(__xludf.DUMMYFUNCTION("IMPORTRANGE(""https://docs.google.com/spreadsheets/d/1eHaY18a8A9IcSdp1K8H6x8fbOy06t2VsZHhMHf-1x7Y/edit?usp=sharing"",""แผน!GY78"")"),0)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IFERROR(__xludf.DUMMYFUNCTION("IMPORTRANGE(""https://docs.google.com/spreadsheets/d/1eHaY18a8A9IcSdp1K8H6x8fbOy06t2VsZHhMHf-1x7Y/edit?usp=sharing"",""แผน!GZ78"")"),0)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IFERROR(__xludf.DUMMYFUNCTION("IMPORTRANGE(""https://docs.google.com/spreadsheets/d/1eHaY18a8A9IcSdp1K8H6x8fbOy06t2VsZHhMHf-1x7Y/edit?usp=sharing"",""แผน!HA78"")"),0)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IFERROR(__xludf.DUMMYFUNCTION("IMPORTRANGE(""https://docs.google.com/spreadsheets/d/1eHaY18a8A9IcSdp1K8H6x8fbOy06t2VsZHhMHf-1x7Y/edit?usp=sharing"",""แผน!HB78"")"),0)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IFERROR(__xludf.DUMMYFUNCTION("IMPORTRANGE(""https://docs.google.com/spreadsheets/d/1eHaY18a8A9IcSdp1K8H6x8fbOy06t2VsZHhMHf-1x7Y/edit?usp=sharing"",""แผน!HC78"")"),0)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828"/>
      <c r="M510" s="827"/>
      <c r="N510" s="827"/>
      <c r="O510" s="827"/>
      <c r="P510" s="827"/>
      <c r="Q510" s="827"/>
      <c r="R510" s="827"/>
      <c r="S510" s="827"/>
      <c r="T510" s="827"/>
      <c r="U510" s="827"/>
    </row>
    <row r="511" spans="1:21" ht="19.5" hidden="1" x14ac:dyDescent="0.3">
      <c r="A511" s="826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25" t="s">
        <v>207</v>
      </c>
      <c r="C512" s="372"/>
      <c r="D512" s="373"/>
      <c r="E512" s="373"/>
      <c r="F512" s="373"/>
      <c r="G512" s="374"/>
      <c r="H512" s="824" t="s">
        <v>61</v>
      </c>
      <c r="I512" s="823">
        <f>I524</f>
        <v>0</v>
      </c>
      <c r="J512" s="823">
        <f>J524</f>
        <v>0</v>
      </c>
      <c r="K512" s="822">
        <f>IF(I512&gt;0,J512*100/I512,0)</f>
        <v>0</v>
      </c>
      <c r="L512" s="591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21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0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IFERROR(__xludf.DUMMYFUNCTION("IMPORTRANGE(""https://docs.google.com/spreadsheets/d/1-uDff_7J0KD5mKrp0Vvzr7lt3OU09vwQwhkpOPPYv2Y/edit?usp=sharing"",""งบพรบ!FM78"")"),0)</f>
        <v>0</v>
      </c>
      <c r="M518" s="47">
        <f ca="1">IFERROR(__xludf.DUMMYFUNCTION("IMPORTRANGE(""https://docs.google.com/spreadsheets/d/1-uDff_7J0KD5mKrp0Vvzr7lt3OU09vwQwhkpOPPYv2Y/edit?usp=sharing"",""งบพรบ!FR78"")"),0)</f>
        <v>0</v>
      </c>
      <c r="N518" s="47">
        <f ca="1">IFERROR(__xludf.DUMMYFUNCTION("IMPORTRANGE(""https://docs.google.com/spreadsheets/d/1-uDff_7J0KD5mKrp0Vvzr7lt3OU09vwQwhkpOPPYv2Y/edit?usp=sharing"",""งบพรบ!FT78"")"),0)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0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IFERROR(__xludf.DUMMYFUNCTION("IMPORTRANGE(""https://docs.google.com/spreadsheets/d/1-uDff_7J0KD5mKrp0Vvzr7lt3OU09vwQwhkpOPPYv2Y/edit?usp=sharing"",""งบพรบ!FP78"")"),0)</f>
        <v>0</v>
      </c>
      <c r="M521" s="47">
        <f ca="1">IFERROR(__xludf.DUMMYFUNCTION("IMPORTRANGE(""https://docs.google.com/spreadsheets/d/1-uDff_7J0KD5mKrp0Vvzr7lt3OU09vwQwhkpOPPYv2Y/edit?usp=sharing"",""งบพรบ!FS78"")"),0)</f>
        <v>0</v>
      </c>
      <c r="N521" s="47">
        <f ca="1">IFERROR(__xludf.DUMMYFUNCTION("IMPORTRANGE(""https://docs.google.com/spreadsheets/d/1-uDff_7J0KD5mKrp0Vvzr7lt3OU09vwQwhkpOPPYv2Y/edit?usp=sharing"",""งบพรบ!FU78"")"),0)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1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19" t="s">
        <v>209</v>
      </c>
      <c r="E524" s="264"/>
      <c r="F524" s="1"/>
      <c r="G524" s="53"/>
      <c r="H524" s="818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4"/>
      <c r="B525" s="613"/>
      <c r="C525" s="613"/>
      <c r="D525" s="612"/>
      <c r="E525" s="612"/>
      <c r="F525" s="612"/>
      <c r="G525" s="611"/>
      <c r="H525" s="610"/>
      <c r="I525" s="609"/>
      <c r="J525" s="609"/>
      <c r="K525" s="608"/>
      <c r="L525" s="589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89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89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89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89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89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89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2">
        <f>I545</f>
        <v>0</v>
      </c>
      <c r="J533" s="592">
        <f>J545</f>
        <v>0</v>
      </c>
      <c r="K533" s="377">
        <f>IF(I533&gt;0,J533*100/I533,0)</f>
        <v>0</v>
      </c>
      <c r="L533" s="591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IFERROR(__xludf.DUMMYFUNCTION("IMPORTRANGE(""https://docs.google.com/spreadsheets/d/1-uDff_7J0KD5mKrp0Vvzr7lt3OU09vwQwhkpOPPYv2Y/edit?usp=sharing"",""งบพรบ!FW78"")"),0)</f>
        <v>0</v>
      </c>
      <c r="M539" s="47">
        <f ca="1">IFERROR(__xludf.DUMMYFUNCTION("IMPORTRANGE(""https://docs.google.com/spreadsheets/d/1-uDff_7J0KD5mKrp0Vvzr7lt3OU09vwQwhkpOPPYv2Y/edit?usp=sharing"",""งบพรบ!GB78"")"),0)</f>
        <v>0</v>
      </c>
      <c r="N539" s="47">
        <f ca="1">IFERROR(__xludf.DUMMYFUNCTION("IMPORTRANGE(""https://docs.google.com/spreadsheets/d/1-uDff_7J0KD5mKrp0Vvzr7lt3OU09vwQwhkpOPPYv2Y/edit?usp=sharing"",""งบพรบ!GD78"")"),0)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IFERROR(__xludf.DUMMYFUNCTION("IMPORTRANGE(""https://docs.google.com/spreadsheets/d/1-uDff_7J0KD5mKrp0Vvzr7lt3OU09vwQwhkpOPPYv2Y/edit?usp=sharing"",""งบพรบ!FZ78"")"),0)</f>
        <v>0</v>
      </c>
      <c r="M542" s="47">
        <f ca="1">IFERROR(__xludf.DUMMYFUNCTION("IMPORTRANGE(""https://docs.google.com/spreadsheets/d/1-uDff_7J0KD5mKrp0Vvzr7lt3OU09vwQwhkpOPPYv2Y/edit?usp=sharing"",""งบพรบ!GC78"")"),0)</f>
        <v>0</v>
      </c>
      <c r="N542" s="47">
        <f ca="1">IFERROR(__xludf.DUMMYFUNCTION("IMPORTRANGE(""https://docs.google.com/spreadsheets/d/1-uDff_7J0KD5mKrp0Vvzr7lt3OU09vwQwhkpOPPYv2Y/edit?usp=sharing"",""งบพรบ!GE78"")"),0)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89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89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89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89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89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89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89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89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89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2">
        <f>I566</f>
        <v>0</v>
      </c>
      <c r="J554" s="592">
        <f>J566</f>
        <v>0</v>
      </c>
      <c r="K554" s="377">
        <f>IF(I554&gt;0,J554*100/I554,0)</f>
        <v>0</v>
      </c>
      <c r="L554" s="591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IFERROR(__xludf.DUMMYFUNCTION("IMPORTRANGE(""https://docs.google.com/spreadsheets/d/1-uDff_7J0KD5mKrp0Vvzr7lt3OU09vwQwhkpOPPYv2Y/edit?usp=sharing"",""งบพรบ!GG78"")"),0)</f>
        <v>0</v>
      </c>
      <c r="M560" s="47">
        <f ca="1">IFERROR(__xludf.DUMMYFUNCTION("IMPORTRANGE(""https://docs.google.com/spreadsheets/d/1-uDff_7J0KD5mKrp0Vvzr7lt3OU09vwQwhkpOPPYv2Y/edit?usp=sharing"",""งบพรบ!GL78"")"),0)</f>
        <v>0</v>
      </c>
      <c r="N560" s="47">
        <f ca="1">IFERROR(__xludf.DUMMYFUNCTION("IMPORTRANGE(""https://docs.google.com/spreadsheets/d/1-uDff_7J0KD5mKrp0Vvzr7lt3OU09vwQwhkpOPPYv2Y/edit?usp=sharing"",""งบพรบ!GN78"")"),0)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IFERROR(__xludf.DUMMYFUNCTION("IMPORTRANGE(""https://docs.google.com/spreadsheets/d/1-uDff_7J0KD5mKrp0Vvzr7lt3OU09vwQwhkpOPPYv2Y/edit?usp=sharing"",""งบพรบ!GJ78"")"),0)</f>
        <v>0</v>
      </c>
      <c r="M563" s="47">
        <f ca="1">IFERROR(__xludf.DUMMYFUNCTION("IMPORTRANGE(""https://docs.google.com/spreadsheets/d/1-uDff_7J0KD5mKrp0Vvzr7lt3OU09vwQwhkpOPPYv2Y/edit?usp=sharing"",""งบพรบ!GM78"")"),0)</f>
        <v>0</v>
      </c>
      <c r="N563" s="47">
        <f ca="1">IFERROR(__xludf.DUMMYFUNCTION("IMPORTRANGE(""https://docs.google.com/spreadsheets/d/1-uDff_7J0KD5mKrp0Vvzr7lt3OU09vwQwhkpOPPYv2Y/edit?usp=sharing"",""งบพรบ!GO78"")"),0)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89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89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89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89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89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89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89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89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89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>I587</f>
        <v>16</v>
      </c>
      <c r="J575" s="385">
        <f>J587</f>
        <v>0</v>
      </c>
      <c r="K575" s="377">
        <f>IF(I575&gt;0,J575*100/I575,0)</f>
        <v>0</v>
      </c>
      <c r="L575" s="591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129" t="s">
        <v>18</v>
      </c>
      <c r="D576" s="59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796469</v>
      </c>
      <c r="M576" s="132">
        <f ca="1">M577+M578</f>
        <v>796469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796469</v>
      </c>
      <c r="M578" s="47">
        <f ca="1">M581+M584</f>
        <v>796469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796469</v>
      </c>
      <c r="M579" s="47">
        <f ca="1">M580+M581</f>
        <v>796469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IFERROR(__xludf.DUMMYFUNCTION("IMPORTRANGE(""https://docs.google.com/spreadsheets/d/1-uDff_7J0KD5mKrp0Vvzr7lt3OU09vwQwhkpOPPYv2Y/edit?usp=sharing"",""งบพรบ!GQ78"")"),796469)</f>
        <v>796469</v>
      </c>
      <c r="M581" s="47">
        <f ca="1">IFERROR(__xludf.DUMMYFUNCTION("IMPORTRANGE(""https://docs.google.com/spreadsheets/d/1-uDff_7J0KD5mKrp0Vvzr7lt3OU09vwQwhkpOPPYv2Y/edit?usp=sharing"",""งบพรบ!GV78"")"),796469)</f>
        <v>796469</v>
      </c>
      <c r="N581" s="47">
        <f ca="1">IFERROR(__xludf.DUMMYFUNCTION("IMPORTRANGE(""https://docs.google.com/spreadsheets/d/1-uDff_7J0KD5mKrp0Vvzr7lt3OU09vwQwhkpOPPYv2Y/edit?usp=sharing"",""งบพรบ!GX78"")"),0)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IFERROR(__xludf.DUMMYFUNCTION("IMPORTRANGE(""https://docs.google.com/spreadsheets/d/1-uDff_7J0KD5mKrp0Vvzr7lt3OU09vwQwhkpOPPYv2Y/edit?usp=sharing"",""งบพรบ!GT78"")"),0)</f>
        <v>0</v>
      </c>
      <c r="M584" s="47">
        <f ca="1">IFERROR(__xludf.DUMMYFUNCTION("IMPORTRANGE(""https://docs.google.com/spreadsheets/d/1-uDff_7J0KD5mKrp0Vvzr7lt3OU09vwQwhkpOPPYv2Y/edit?usp=sharing"",""งบพรบ!GW78"")"),0)</f>
        <v>0</v>
      </c>
      <c r="N584" s="47">
        <f ca="1">IFERROR(__xludf.DUMMYFUNCTION("IMPORTRANGE(""https://docs.google.com/spreadsheets/d/1-uDff_7J0KD5mKrp0Vvzr7lt3OU09vwQwhkpOPPYv2Y/edit?usp=sharing"",""งบพรบ!GY78"")"),0)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v>2</v>
      </c>
      <c r="J586" s="175">
        <v>0</v>
      </c>
      <c r="K586" s="176">
        <f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v>16</v>
      </c>
      <c r="J587" s="167">
        <v>0</v>
      </c>
      <c r="K587" s="47">
        <f>IF(I587&gt;0,J587*100/I587,0)</f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851"/>
      <c r="B588" s="850"/>
      <c r="C588" s="850"/>
      <c r="D588" s="849"/>
      <c r="E588" s="849"/>
      <c r="F588" s="849"/>
      <c r="G588" s="848"/>
      <c r="H588" s="847"/>
      <c r="I588" s="846"/>
      <c r="J588" s="846"/>
      <c r="K588" s="844"/>
      <c r="L588" s="845"/>
      <c r="M588" s="844"/>
      <c r="N588" s="844"/>
      <c r="O588" s="844"/>
      <c r="P588" s="844"/>
      <c r="Q588" s="844"/>
      <c r="R588" s="844"/>
      <c r="S588" s="844"/>
      <c r="T588" s="844"/>
      <c r="U588" s="844"/>
    </row>
    <row r="589" spans="1:21" ht="12.75" hidden="1" x14ac:dyDescent="0.2">
      <c r="A589" s="851"/>
      <c r="B589" s="850"/>
      <c r="C589" s="850"/>
      <c r="D589" s="849"/>
      <c r="E589" s="849"/>
      <c r="F589" s="849"/>
      <c r="G589" s="848"/>
      <c r="H589" s="847"/>
      <c r="I589" s="846"/>
      <c r="J589" s="846"/>
      <c r="K589" s="844"/>
      <c r="L589" s="845"/>
      <c r="M589" s="844"/>
      <c r="N589" s="844"/>
      <c r="O589" s="844"/>
      <c r="P589" s="844"/>
      <c r="Q589" s="844"/>
      <c r="R589" s="844"/>
      <c r="S589" s="844"/>
      <c r="T589" s="844"/>
      <c r="U589" s="844"/>
    </row>
    <row r="590" spans="1:21" ht="12.75" hidden="1" x14ac:dyDescent="0.2">
      <c r="A590" s="851"/>
      <c r="B590" s="850"/>
      <c r="C590" s="850"/>
      <c r="D590" s="849"/>
      <c r="E590" s="849"/>
      <c r="F590" s="849"/>
      <c r="G590" s="848"/>
      <c r="H590" s="847"/>
      <c r="I590" s="846"/>
      <c r="J590" s="846"/>
      <c r="K590" s="844"/>
      <c r="L590" s="845"/>
      <c r="M590" s="844"/>
      <c r="N590" s="844"/>
      <c r="O590" s="844"/>
      <c r="P590" s="844"/>
      <c r="Q590" s="844"/>
      <c r="R590" s="844"/>
      <c r="S590" s="844"/>
      <c r="T590" s="844"/>
      <c r="U590" s="844"/>
    </row>
    <row r="591" spans="1:21" ht="12.75" hidden="1" x14ac:dyDescent="0.2">
      <c r="A591" s="851"/>
      <c r="B591" s="850"/>
      <c r="C591" s="850"/>
      <c r="D591" s="849"/>
      <c r="E591" s="849"/>
      <c r="F591" s="849"/>
      <c r="G591" s="848"/>
      <c r="H591" s="847"/>
      <c r="I591" s="846"/>
      <c r="J591" s="846"/>
      <c r="K591" s="844"/>
      <c r="L591" s="845"/>
      <c r="M591" s="844"/>
      <c r="N591" s="844"/>
      <c r="O591" s="844"/>
      <c r="P591" s="844"/>
      <c r="Q591" s="844"/>
      <c r="R591" s="844"/>
      <c r="S591" s="844"/>
      <c r="T591" s="844"/>
      <c r="U591" s="844"/>
    </row>
    <row r="592" spans="1:21" ht="12.75" hidden="1" x14ac:dyDescent="0.2">
      <c r="A592" s="851"/>
      <c r="B592" s="850"/>
      <c r="C592" s="850"/>
      <c r="D592" s="849"/>
      <c r="E592" s="849"/>
      <c r="F592" s="849"/>
      <c r="G592" s="848"/>
      <c r="H592" s="847"/>
      <c r="I592" s="846"/>
      <c r="J592" s="846"/>
      <c r="K592" s="844"/>
      <c r="L592" s="845"/>
      <c r="M592" s="844"/>
      <c r="N592" s="844"/>
      <c r="O592" s="844"/>
      <c r="P592" s="844"/>
      <c r="Q592" s="844"/>
      <c r="R592" s="844"/>
      <c r="S592" s="844"/>
      <c r="T592" s="844"/>
      <c r="U592" s="844"/>
    </row>
    <row r="593" spans="1:21" ht="12.75" hidden="1" x14ac:dyDescent="0.2">
      <c r="A593" s="851"/>
      <c r="B593" s="850"/>
      <c r="C593" s="850"/>
      <c r="D593" s="849"/>
      <c r="E593" s="849"/>
      <c r="F593" s="849"/>
      <c r="G593" s="848"/>
      <c r="H593" s="847"/>
      <c r="I593" s="846"/>
      <c r="J593" s="846"/>
      <c r="K593" s="844"/>
      <c r="L593" s="845"/>
      <c r="M593" s="844"/>
      <c r="N593" s="844"/>
      <c r="O593" s="844"/>
      <c r="P593" s="844"/>
      <c r="Q593" s="844"/>
      <c r="R593" s="844"/>
      <c r="S593" s="844"/>
      <c r="T593" s="844"/>
      <c r="U593" s="844"/>
    </row>
    <row r="594" spans="1:21" ht="12.75" hidden="1" x14ac:dyDescent="0.2">
      <c r="A594" s="851"/>
      <c r="B594" s="850"/>
      <c r="C594" s="850"/>
      <c r="D594" s="849"/>
      <c r="E594" s="849"/>
      <c r="F594" s="849"/>
      <c r="G594" s="848"/>
      <c r="H594" s="847"/>
      <c r="I594" s="846"/>
      <c r="J594" s="846"/>
      <c r="K594" s="844"/>
      <c r="L594" s="845"/>
      <c r="M594" s="844"/>
      <c r="N594" s="844"/>
      <c r="O594" s="844"/>
      <c r="P594" s="844"/>
      <c r="Q594" s="844"/>
      <c r="R594" s="844"/>
      <c r="S594" s="844"/>
      <c r="T594" s="844"/>
      <c r="U594" s="844"/>
    </row>
    <row r="595" spans="1:21" ht="12.75" hidden="1" x14ac:dyDescent="0.2">
      <c r="A595" s="843"/>
      <c r="B595" s="842"/>
      <c r="C595" s="842"/>
      <c r="D595" s="841"/>
      <c r="E595" s="841"/>
      <c r="F595" s="841"/>
      <c r="G595" s="840"/>
      <c r="H595" s="839"/>
      <c r="I595" s="838"/>
      <c r="J595" s="838"/>
      <c r="K595" s="836"/>
      <c r="L595" s="837"/>
      <c r="M595" s="836"/>
      <c r="N595" s="836"/>
      <c r="O595" s="836"/>
      <c r="P595" s="836"/>
      <c r="Q595" s="836"/>
      <c r="R595" s="836"/>
      <c r="S595" s="836"/>
      <c r="T595" s="836"/>
      <c r="U595" s="83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35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35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417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2">
        <f ca="1">L600+L601</f>
        <v>13068</v>
      </c>
      <c r="M599" s="421">
        <f ca="1">M600+M601</f>
        <v>13068</v>
      </c>
      <c r="N599" s="421">
        <f ca="1">N600+N601</f>
        <v>0</v>
      </c>
      <c r="O599" s="421">
        <f ca="1">IF(L599&gt;0,N599*100/L599,0)</f>
        <v>0</v>
      </c>
      <c r="P599" s="421">
        <f ca="1">IF(M599&gt;0,N599*100/M599,0)</f>
        <v>0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1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1">
        <f ca="1">L604+L607</f>
        <v>13068</v>
      </c>
      <c r="M601" s="331">
        <f ca="1">M604+M607</f>
        <v>13068</v>
      </c>
      <c r="N601" s="331">
        <f ca="1">N604+N607</f>
        <v>0</v>
      </c>
      <c r="O601" s="331">
        <f ca="1">IF(L601&gt;0,N601*100/L601,0)</f>
        <v>0</v>
      </c>
      <c r="P601" s="331">
        <f ca="1">IF(M601&gt;0,N601*100/M601,0)</f>
        <v>0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9.5" x14ac:dyDescent="0.3">
      <c r="A602" s="416"/>
      <c r="B602" s="326"/>
      <c r="C602" s="326"/>
      <c r="D602" s="418" t="s">
        <v>22</v>
      </c>
      <c r="E602" s="424"/>
      <c r="F602" s="424"/>
      <c r="G602" s="425"/>
      <c r="H602" s="419" t="s">
        <v>14</v>
      </c>
      <c r="I602" s="428"/>
      <c r="J602" s="428"/>
      <c r="K602" s="429"/>
      <c r="L602" s="721">
        <f ca="1">L603+L604</f>
        <v>13068</v>
      </c>
      <c r="M602" s="331">
        <f ca="1">M603+M604</f>
        <v>13068</v>
      </c>
      <c r="N602" s="331">
        <f ca="1">N603+N604</f>
        <v>0</v>
      </c>
      <c r="O602" s="331">
        <f ca="1">IF(L602&gt;0,N602*100/L602,0)</f>
        <v>0</v>
      </c>
      <c r="P602" s="331">
        <f ca="1">IF(M602&gt;0,N602*100/M602,0)</f>
        <v>0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1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1">
        <f ca="1">IFERROR(__xludf.DUMMYFUNCTION("IMPORTRANGE(""https://docs.google.com/spreadsheets/d/1-uDff_7J0KD5mKrp0Vvzr7lt3OU09vwQwhkpOPPYv2Y/edit?usp=sharing"",""งบพรบ!HK78"")"),13068)</f>
        <v>13068</v>
      </c>
      <c r="M604" s="331">
        <f ca="1">IFERROR(__xludf.DUMMYFUNCTION("IMPORTRANGE(""https://docs.google.com/spreadsheets/d/1-uDff_7J0KD5mKrp0Vvzr7lt3OU09vwQwhkpOPPYv2Y/edit?usp=sharing"",""งบพรบ!HP78"")"),13068)</f>
        <v>13068</v>
      </c>
      <c r="N604" s="331">
        <f ca="1">IFERROR(__xludf.DUMMYFUNCTION("IMPORTRANGE(""https://docs.google.com/spreadsheets/d/1-uDff_7J0KD5mKrp0Vvzr7lt3OU09vwQwhkpOPPYv2Y/edit?usp=sharing"",""งบพรบ!HR78"")"),0)</f>
        <v>0</v>
      </c>
      <c r="O604" s="331">
        <f ca="1">IF(L604&gt;0,N604*100/L604,0)</f>
        <v>0</v>
      </c>
      <c r="P604" s="331">
        <f ca="1">IF(M604&gt;0,N604*100/M604,0)</f>
        <v>0</v>
      </c>
      <c r="Q604" s="331">
        <f ca="1">IFERROR(__xludf.DUMMYFUNCTION("IMPORTRANGE(""https://docs.google.com/spreadsheets/d/1ItG2mGa2ceCfYo0BwxsXqNm01IGEUdYcSSLTEv9YCik/edit?usp=sharing"",""เบิกจ่ายกองทุน!AV78"")"),0)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IFERROR(__xludf.DUMMYFUNCTION("IMPORTRANGE(""https://docs.google.com/spreadsheets/d/1ItG2mGa2ceCfYo0BwxsXqNm01IGEUdYcSSLTEv9YCik/edit?usp=sharing"",""เบิกจ่ายกองทุน!AW78"")"),0)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IFERROR(__xludf.DUMMYFUNCTION("IMPORTRANGE(""https://docs.google.com/spreadsheets/d/1ItG2mGa2ceCfYo0BwxsXqNm01IGEUdYcSSLTEv9YCik/edit?usp=sharing"",""เบิกจ่ายกองทุน!AX78"")"),0)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9.5" x14ac:dyDescent="0.3">
      <c r="A605" s="416"/>
      <c r="B605" s="326"/>
      <c r="C605" s="326"/>
      <c r="D605" s="418" t="s">
        <v>23</v>
      </c>
      <c r="E605" s="326"/>
      <c r="F605" s="424"/>
      <c r="G605" s="425"/>
      <c r="H605" s="430" t="s">
        <v>14</v>
      </c>
      <c r="I605" s="428"/>
      <c r="J605" s="428"/>
      <c r="K605" s="429"/>
      <c r="L605" s="721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721">
        <v>0</v>
      </c>
      <c r="M606" s="331">
        <v>0</v>
      </c>
      <c r="N606" s="331">
        <v>0</v>
      </c>
      <c r="O606" s="331">
        <f>IF(L606&gt;0,N606*100/L606,0)</f>
        <v>0</v>
      </c>
      <c r="P606" s="331">
        <f>IF(M606&gt;0,N606*100/M606,0)</f>
        <v>0</v>
      </c>
      <c r="Q606" s="331">
        <v>0</v>
      </c>
      <c r="R606" s="331">
        <v>0</v>
      </c>
      <c r="S606" s="331">
        <v>0</v>
      </c>
      <c r="T606" s="331">
        <f>IF(Q606&gt;0,S606*100/Q606,0)</f>
        <v>0</v>
      </c>
      <c r="U606" s="331">
        <f>IF(R606&gt;0,S606*100/R606,0)</f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721">
        <f ca="1">IFERROR(__xludf.DUMMYFUNCTION("IMPORTRANGE(""https://docs.google.com/spreadsheets/d/1-uDff_7J0KD5mKrp0Vvzr7lt3OU09vwQwhkpOPPYv2Y/edit?usp=sharing"",""งบพรบ!HN78"")"),0)</f>
        <v>0</v>
      </c>
      <c r="M607" s="331">
        <f ca="1">IFERROR(__xludf.DUMMYFUNCTION("IMPORTRANGE(""https://docs.google.com/spreadsheets/d/1-uDff_7J0KD5mKrp0Vvzr7lt3OU09vwQwhkpOPPYv2Y/edit?usp=sharing"",""งบพรบ!HQ78"")"),0)</f>
        <v>0</v>
      </c>
      <c r="N607" s="331">
        <f ca="1">IFERROR(__xludf.DUMMYFUNCTION("IMPORTRANGE(""https://docs.google.com/spreadsheets/d/1-uDff_7J0KD5mKrp0Vvzr7lt3OU09vwQwhkpOPPYv2Y/edit?usp=sharing"",""งบพรบ!HS78"")"),0)</f>
        <v>0</v>
      </c>
      <c r="O607" s="331">
        <f ca="1">IF(L607&gt;0,N607*100/L607,0)</f>
        <v>0</v>
      </c>
      <c r="P607" s="331">
        <f ca="1">IF(M607&gt;0,N607*100/M607,0)</f>
        <v>0</v>
      </c>
      <c r="Q607" s="331">
        <f ca="1">IFERROR(__xludf.DUMMYFUNCTION("IMPORTRANGE(""https://docs.google.com/spreadsheets/d/1ItG2mGa2ceCfYo0BwxsXqNm01IGEUdYcSSLTEv9YCik/edit?usp=sharing"",""เบิกจ่ายกองทุน!AY78"")"),0)</f>
        <v>0</v>
      </c>
      <c r="R607" s="331">
        <f ca="1">IFERROR(__xludf.DUMMYFUNCTION("IMPORTRANGE(""https://docs.google.com/spreadsheets/d/1ItG2mGa2ceCfYo0BwxsXqNm01IGEUdYcSSLTEv9YCik/edit?usp=sharing"",""เบิกจ่ายกองทุน!AZ78"")"),0)</f>
        <v>0</v>
      </c>
      <c r="S607" s="331">
        <f ca="1">IFERROR(__xludf.DUMMYFUNCTION("IMPORTRANGE(""https://docs.google.com/spreadsheets/d/1ItG2mGa2ceCfYo0BwxsXqNm01IGEUdYcSSLTEv9YCik/edit?usp=sharing"",""เบิกจ่ายกองทุน!BA78"")"),0)</f>
        <v>0</v>
      </c>
      <c r="T607" s="331">
        <f ca="1">IF(Q607&gt;0,S607*100/Q607,0)</f>
        <v>0</v>
      </c>
      <c r="U607" s="331">
        <f ca="1">IF(R607&gt;0,S607*100/R607,0)</f>
        <v>0</v>
      </c>
    </row>
    <row r="608" spans="1:21" ht="19.5" hidden="1" x14ac:dyDescent="0.3">
      <c r="A608" s="432"/>
      <c r="B608" s="433"/>
      <c r="C608" s="417" t="s">
        <v>18</v>
      </c>
      <c r="D608" s="617" t="s">
        <v>38</v>
      </c>
      <c r="E608" s="435"/>
      <c r="F608" s="435"/>
      <c r="G608" s="436"/>
      <c r="H608" s="437"/>
      <c r="I608" s="428"/>
      <c r="J608" s="428"/>
      <c r="K608" s="429"/>
      <c r="L608" s="553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hidden="1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553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hidden="1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553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hidden="1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553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9.5" hidden="1" thickBot="1" x14ac:dyDescent="0.3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834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0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56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463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100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188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12675</v>
      </c>
      <c r="R616" s="132">
        <f ca="1">R617+R618</f>
        <v>12675</v>
      </c>
      <c r="S616" s="132">
        <f ca="1">S617+S618</f>
        <v>1619</v>
      </c>
      <c r="T616" s="132">
        <f ca="1">IF(Q616&gt;0,S616*100/Q616,0)</f>
        <v>12.773175542406312</v>
      </c>
      <c r="U616" s="132">
        <f ca="1">IF(R616&gt;0,S616*100/R616,0)</f>
        <v>12.773175542406312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12675</v>
      </c>
      <c r="R618" s="47">
        <f ca="1">R621+R624</f>
        <v>12675</v>
      </c>
      <c r="S618" s="47">
        <f ca="1">S621+S624</f>
        <v>1619</v>
      </c>
      <c r="T618" s="47">
        <f ca="1">IF(Q618&gt;0,S618*100/Q618,0)</f>
        <v>12.773175542406312</v>
      </c>
      <c r="U618" s="47">
        <f ca="1">IF(R618&gt;0,S618*100/R618,0)</f>
        <v>12.773175542406312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12675</v>
      </c>
      <c r="R619" s="47">
        <f ca="1">R620+R621</f>
        <v>12675</v>
      </c>
      <c r="S619" s="47">
        <f ca="1">S620+S621</f>
        <v>1619</v>
      </c>
      <c r="T619" s="47">
        <f ca="1">IF(Q619&gt;0,S619*100/Q619,0)</f>
        <v>12.773175542406312</v>
      </c>
      <c r="U619" s="47">
        <f ca="1">IF(R619&gt;0,S619*100/R619,0)</f>
        <v>12.773175542406312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IFERROR(__xludf.DUMMYFUNCTION("IMPORTRANGE(""https://docs.google.com/spreadsheets/d/1ItG2mGa2ceCfYo0BwxsXqNm01IGEUdYcSSLTEv9YCik/edit?usp=sharing"",""เบิกจ่ายกองทุน!F78"")"),12675)</f>
        <v>12675</v>
      </c>
      <c r="R621" s="47">
        <f ca="1">IFERROR(__xludf.DUMMYFUNCTION("IMPORTRANGE(""https://docs.google.com/spreadsheets/d/1ItG2mGa2ceCfYo0BwxsXqNm01IGEUdYcSSLTEv9YCik/edit?usp=sharing"",""เบิกจ่ายกองทุน!G78"")"),12675)</f>
        <v>12675</v>
      </c>
      <c r="S621" s="47">
        <f ca="1">IFERROR(__xludf.DUMMYFUNCTION("IMPORTRANGE(""https://docs.google.com/spreadsheets/d/1ItG2mGa2ceCfYo0BwxsXqNm01IGEUdYcSSLTEv9YCik/edit?usp=sharing"",""เบิกจ่ายกองทุน!H78"")"),1619)</f>
        <v>1619</v>
      </c>
      <c r="T621" s="47">
        <f ca="1">IF(Q621&gt;0,S621*100/Q621,0)</f>
        <v>12.773175542406312</v>
      </c>
      <c r="U621" s="47">
        <f ca="1">IF(R621&gt;0,S621*100/R621,0)</f>
        <v>12.773175542406312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IFERROR(__xludf.DUMMYFUNCTION("IMPORTRANGE(""https://docs.google.com/spreadsheets/d/1eHaY18a8A9IcSdp1K8H6x8fbOy06t2VsZHhMHf-1x7Y/edit?usp=sharing"",""แผน!ID78"")"),100)</f>
        <v>100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IFERROR(__xludf.DUMMYFUNCTION("IMPORTRANGE(""https://docs.google.com/spreadsheets/d/1eHaY18a8A9IcSdp1K8H6x8fbOy06t2VsZHhMHf-1x7Y/edit?usp=sharing"",""แผน!IC78"")"),1)</f>
        <v>1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IFERROR(__xludf.DUMMYFUNCTION("IMPORTRANGE(""https://docs.google.com/spreadsheets/d/1eHaY18a8A9IcSdp1K8H6x8fbOy06t2VsZHhMHf-1x7Y/edit?usp=sharing"",""แผน!IC78"")"),1)</f>
        <v>1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IFERROR(__xludf.DUMMYFUNCTION("IMPORTRANGE(""https://docs.google.com/spreadsheets/d/1eHaY18a8A9IcSdp1K8H6x8fbOy06t2VsZHhMHf-1x7Y/edit?usp=sharing"",""แผน!IE78"")"),0)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63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IFERROR(__xludf.DUMMYFUNCTION("IMPORTRANGE(""https://docs.google.com/spreadsheets/d/1ItG2mGa2ceCfYo0BwxsXqNm01IGEUdYcSSLTEv9YCik/edit?usp=sharing"",""เบิกจ่ายกองทุน!I78"")"),0)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IFERROR(__xludf.DUMMYFUNCTION("IMPORTRANGE(""https://docs.google.com/spreadsheets/d/1ItG2mGa2ceCfYo0BwxsXqNm01IGEUdYcSSLTEv9YCik/edit?usp=sharing"",""เบิกจ่ายกองทุน!J78"")"),0)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IFERROR(__xludf.DUMMYFUNCTION("IMPORTRANGE(""https://docs.google.com/spreadsheets/d/1ItG2mGa2ceCfYo0BwxsXqNm01IGEUdYcSSLTEv9YCik/edit?usp=sharing"",""เบิกจ่ายกองทุน!K78"")"),0)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IFERROR(__xludf.DUMMYFUNCTION("IMPORTRANGE(""https://docs.google.com/spreadsheets/d/1eHaY18a8A9IcSdp1K8H6x8fbOy06t2VsZHhMHf-1x7Y/edit?usp=sharing"",""แผน!IF78"")"),0)</f>
        <v>0</v>
      </c>
      <c r="J652" s="152">
        <f ca="1">IFERROR(__xludf.DUMMYFUNCTION("IMPORTRANGE(""https://docs.google.com/spreadsheets/d/1tdoBKaGub7dwA3U6UFTqxio9LNnvDCQjHKmttSEBsFQ/edit?usp=sharing"",""จัดที่ดิน!AU78"")"),0)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IFERROR(__xludf.DUMMYFUNCTION("IMPORTRANGE(""https://docs.google.com/spreadsheets/d/1eHaY18a8A9IcSdp1K8H6x8fbOy06t2VsZHhMHf-1x7Y/edit?usp=sharing"",""แผน!IG78"")"),0)</f>
        <v>0</v>
      </c>
      <c r="J653" s="152">
        <f ca="1">IFERROR(__xludf.DUMMYFUNCTION("IMPORTRANGE(""https://docs.google.com/spreadsheets/d/1tdoBKaGub7dwA3U6UFTqxio9LNnvDCQjHKmttSEBsFQ/edit?usp=sharing"",""จัดที่ดิน!AW78"")"),0)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IFERROR(__xludf.DUMMYFUNCTION("IMPORTRANGE(""https://docs.google.com/spreadsheets/d/1eHaY18a8A9IcSdp1K8H6x8fbOy06t2VsZHhMHf-1x7Y/edit?usp=sharing"",""แผน!IH78"")"),0)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IFERROR(__xludf.DUMMYFUNCTION("IMPORTRANGE(""https://docs.google.com/spreadsheets/d/1eHaY18a8A9IcSdp1K8H6x8fbOy06t2VsZHhMHf-1x7Y/edit?usp=sharing"",""แผน!II78"")"),0)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IFERROR(__xludf.DUMMYFUNCTION("IMPORTRANGE(""https://docs.google.com/spreadsheets/d/1eHaY18a8A9IcSdp1K8H6x8fbOy06t2VsZHhMHf-1x7Y/edit?usp=sharing"",""แผน!IJ78"")"),0)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IFERROR(__xludf.DUMMYFUNCTION("IMPORTRANGE(""https://docs.google.com/spreadsheets/d/1eHaY18a8A9IcSdp1K8H6x8fbOy06t2VsZHhMHf-1x7Y/edit?usp=sharing"",""แผน!IK78"")"),0)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IFERROR(__xludf.DUMMYFUNCTION("IMPORTRANGE(""https://docs.google.com/spreadsheets/d/1tdoBKaGub7dwA3U6UFTqxio9LNnvDCQjHKmttSEBsFQ/edit?usp=sharing"",""จัดที่ดิน!AY78"")"),0)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IFERROR(__xludf.DUMMYFUNCTION("IMPORTRANGE(""https://docs.google.com/spreadsheets/d/1tdoBKaGub7dwA3U6UFTqxio9LNnvDCQjHKmttSEBsFQ/edit?usp=sharing"",""จัดที่ดิน!AZ78"")"),0)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IFERROR(__xludf.DUMMYFUNCTION("IMPORTRANGE(""https://docs.google.com/spreadsheets/d/1eHaY18a8A9IcSdp1K8H6x8fbOy06t2VsZHhMHf-1x7Y/edit?usp=sharing"",""แผน!IL78"")"),0)</f>
        <v>0</v>
      </c>
      <c r="J673" s="152">
        <f ca="1">IFERROR(__xludf.DUMMYFUNCTION("IMPORTRANGE(""https://docs.google.com/spreadsheets/d/1tdoBKaGub7dwA3U6UFTqxio9LNnvDCQjHKmttSEBsFQ/edit?usp=sharing"",""จัดที่ดิน!BA78"")"),0)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IFERROR(__xludf.DUMMYFUNCTION("IMPORTRANGE(""https://docs.google.com/spreadsheets/d/1eHaY18a8A9IcSdp1K8H6x8fbOy06t2VsZHhMHf-1x7Y/edit?usp=sharing"",""แผน!IM78"")"),0)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IFERROR(__xludf.DUMMYFUNCTION("IMPORTRANGE(""https://docs.google.com/spreadsheets/d/1eHaY18a8A9IcSdp1K8H6x8fbOy06t2VsZHhMHf-1x7Y/edit?usp=sharing"",""แผน!IN78"")"),0)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IFERROR(__xludf.DUMMYFUNCTION("IMPORTRANGE(""https://docs.google.com/spreadsheets/d/1eHaY18a8A9IcSdp1K8H6x8fbOy06t2VsZHhMHf-1x7Y/edit?usp=sharing"",""แผน!IO78"")"),0)</f>
        <v>0</v>
      </c>
      <c r="J676" s="152">
        <f ca="1">IFERROR(__xludf.DUMMYFUNCTION("IMPORTRANGE(""https://docs.google.com/spreadsheets/d/1tdoBKaGub7dwA3U6UFTqxio9LNnvDCQjHKmttSEBsFQ/edit?usp=sharing"",""จัดที่ดิน!BF78"")"),0)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IFERROR(__xludf.DUMMYFUNCTION("IMPORTRANGE(""https://docs.google.com/spreadsheets/d/1tdoBKaGub7dwA3U6UFTqxio9LNnvDCQjHKmttSEBsFQ/edit?usp=sharing"",""จัดที่ดิน!BG78"")"),0)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IFERROR(__xludf.DUMMYFUNCTION("IMPORTRANGE(""https://docs.google.com/spreadsheets/d/1eHaY18a8A9IcSdp1K8H6x8fbOy06t2VsZHhMHf-1x7Y/edit?usp=sharing"",""แผน!IP78"")"),0)</f>
        <v>0</v>
      </c>
      <c r="J678" s="152">
        <f ca="1">IFERROR(__xludf.DUMMYFUNCTION("IMPORTRANGE(""https://docs.google.com/spreadsheets/d/1tdoBKaGub7dwA3U6UFTqxio9LNnvDCQjHKmttSEBsFQ/edit?usp=sharing"",""จัดที่ดิน!BH78"")"),0)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IFERROR(__xludf.DUMMYFUNCTION("IMPORTRANGE(""https://docs.google.com/spreadsheets/d/1eHaY18a8A9IcSdp1K8H6x8fbOy06t2VsZHhMHf-1x7Y/edit?usp=sharing"",""แผน!IQ78"")"),0)</f>
        <v>0</v>
      </c>
      <c r="J679" s="152">
        <f ca="1">IFERROR(__xludf.DUMMYFUNCTION("IMPORTRANGE(""https://docs.google.com/spreadsheets/d/1tdoBKaGub7dwA3U6UFTqxio9LNnvDCQjHKmttSEBsFQ/edit?usp=sharing"",""จัดที่ดิน!BK78"")"),0)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IFERROR(__xludf.DUMMYFUNCTION("IMPORTRANGE(""https://docs.google.com/spreadsheets/d/1tdoBKaGub7dwA3U6UFTqxio9LNnvDCQjHKmttSEBsFQ/edit?usp=sharing"",""จัดที่ดิน!BL78"")"),0)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IFERROR(__xludf.DUMMYFUNCTION("IMPORTRANGE(""https://docs.google.com/spreadsheets/d/1eHaY18a8A9IcSdp1K8H6x8fbOy06t2VsZHhMHf-1x7Y/edit?usp=sharing"",""แผน!IR78"")"),0)</f>
        <v>0</v>
      </c>
      <c r="J681" s="152">
        <f ca="1">IFERROR(__xludf.DUMMYFUNCTION("IMPORTRANGE(""https://docs.google.com/spreadsheets/d/1tdoBKaGub7dwA3U6UFTqxio9LNnvDCQjHKmttSEBsFQ/edit?usp=sharing"",""จัดที่ดิน!BM78"")"),0)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IFERROR(__xludf.DUMMYFUNCTION("IMPORTRANGE(""https://docs.google.com/spreadsheets/d/1eHaY18a8A9IcSdp1K8H6x8fbOy06t2VsZHhMHf-1x7Y/edit?usp=sharing"",""แผน!IS78"")"),0)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56"/>
      <c r="B689" s="457" t="s">
        <v>258</v>
      </c>
      <c r="C689" s="456"/>
      <c r="D689" s="458"/>
      <c r="E689" s="458"/>
      <c r="F689" s="458"/>
      <c r="G689" s="459"/>
      <c r="H689" s="482" t="s">
        <v>35</v>
      </c>
      <c r="I689" s="483">
        <f ca="1">I707</f>
        <v>45</v>
      </c>
      <c r="J689" s="483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178410</v>
      </c>
      <c r="R690" s="132">
        <f ca="1">R691+R692</f>
        <v>178410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178410</v>
      </c>
      <c r="R692" s="47">
        <f ca="1">R695+R698</f>
        <v>178410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178410</v>
      </c>
      <c r="R693" s="47">
        <f ca="1">R694+R695</f>
        <v>178410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IFERROR(__xludf.DUMMYFUNCTION("IMPORTRANGE(""https://docs.google.com/spreadsheets/d/1ItG2mGa2ceCfYo0BwxsXqNm01IGEUdYcSSLTEv9YCik/edit?usp=sharing"",""เบิกจ่ายกองทุน!L78"")"),178410)</f>
        <v>178410</v>
      </c>
      <c r="R695" s="47">
        <f ca="1">IFERROR(__xludf.DUMMYFUNCTION("IMPORTRANGE(""https://docs.google.com/spreadsheets/d/1ItG2mGa2ceCfYo0BwxsXqNm01IGEUdYcSSLTEv9YCik/edit?usp=sharing"",""เบิกจ่ายกองทุน!M78"")"),178410)</f>
        <v>178410</v>
      </c>
      <c r="S695" s="47">
        <f ca="1">IFERROR(__xludf.DUMMYFUNCTION("IMPORTRANGE(""https://docs.google.com/spreadsheets/d/1ItG2mGa2ceCfYo0BwxsXqNm01IGEUdYcSSLTEv9YCik/edit?usp=sharing"",""เบิกจ่ายกองทุน!N78"")"),0)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IFERROR(__xludf.DUMMYFUNCTION("IMPORTRANGE(""https://docs.google.com/spreadsheets/d/1eHaY18a8A9IcSdp1K8H6x8fbOy06t2VsZHhMHf-1x7Y/edit?usp=sharing"",""แผน!LC78"")"),0)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49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IFERROR(__xludf.DUMMYFUNCTION("IMPORTRANGE(""https://docs.google.com/spreadsheets/d/1eHaY18a8A9IcSdp1K8H6x8fbOy06t2VsZHhMHf-1x7Y/edit?usp=sharing"",""แผน!LJ78"")"),45)</f>
        <v>45</v>
      </c>
      <c r="J703" s="152">
        <f ca="1">IFERROR(__xludf.DUMMYFUNCTION("IMPORTRANGE(""https://docs.google.com/spreadsheets/d/1tdoBKaGub7dwA3U6UFTqxio9LNnvDCQjHKmttSEBsFQ/edit?usp=sharing"",""จัดที่ดิน!AP78"")"),0)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IFERROR(__xludf.DUMMYFUNCTION("IMPORTRANGE(""https://docs.google.com/spreadsheets/d/1tdoBKaGub7dwA3U6UFTqxio9LNnvDCQjHKmttSEBsFQ/edit?usp=sharing"",""จัดที่ดิน!AQ78"")"),0)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IFERROR(__xludf.DUMMYFUNCTION("IMPORTRANGE(""https://docs.google.com/spreadsheets/d/1eHaY18a8A9IcSdp1K8H6x8fbOy06t2VsZHhMHf-1x7Y/edit?usp=sharing"",""แผน!LK78"")"),4)</f>
        <v>4</v>
      </c>
      <c r="J705" s="152">
        <f ca="1">IFERROR(__xludf.DUMMYFUNCTION("IMPORTRANGE(""https://docs.google.com/spreadsheets/d/1tdoBKaGub7dwA3U6UFTqxio9LNnvDCQjHKmttSEBsFQ/edit?usp=sharing"",""จัดที่ดิน!AR78"")"),0)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IFERROR(__xludf.DUMMYFUNCTION("IMPORTRANGE(""https://docs.google.com/spreadsheets/d/1tdoBKaGub7dwA3U6UFTqxio9LNnvDCQjHKmttSEBsFQ/edit?usp=sharing"",""จัดที่ดิน!AS78"")"),0)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IFERROR(__xludf.DUMMYFUNCTION("IMPORTRANGE(""https://docs.google.com/spreadsheets/d/1eHaY18a8A9IcSdp1K8H6x8fbOy06t2VsZHhMHf-1x7Y/edit?usp=sharing"",""แผน!LJ78"")"),45)</f>
        <v>45</v>
      </c>
      <c r="J707" s="152">
        <f ca="1">IFERROR(__xludf.DUMMYFUNCTION("IMPORTRANGE(""https://docs.google.com/spreadsheets/d/1tdoBKaGub7dwA3U6UFTqxio9LNnvDCQjHKmttSEBsFQ/edit?usp=sharing"",""จัดที่ดิน!BN78"")"),0)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IFERROR(__xludf.DUMMYFUNCTION("IMPORTRANGE(""https://docs.google.com/spreadsheets/d/1tdoBKaGub7dwA3U6UFTqxio9LNnvDCQjHKmttSEBsFQ/edit?usp=sharing"",""จัดที่ดิน!BO78"")"),0)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IFERROR(__xludf.DUMMYFUNCTION("IMPORTRANGE(""https://docs.google.com/spreadsheets/d/1eHaY18a8A9IcSdp1K8H6x8fbOy06t2VsZHhMHf-1x7Y/edit?usp=sharing"",""แผน!LK78"")"),4)</f>
        <v>4</v>
      </c>
      <c r="J709" s="152">
        <f ca="1">IFERROR(__xludf.DUMMYFUNCTION("IMPORTRANGE(""https://docs.google.com/spreadsheets/d/1tdoBKaGub7dwA3U6UFTqxio9LNnvDCQjHKmttSEBsFQ/edit?usp=sharing"",""จัดที่ดิน!BP78"")"),3)</f>
        <v>3</v>
      </c>
      <c r="K709" s="47">
        <f ca="1">IF(I709&gt;0,J709*100/I709,0)</f>
        <v>75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IFERROR(__xludf.DUMMYFUNCTION("IMPORTRANGE(""https://docs.google.com/spreadsheets/d/1tdoBKaGub7dwA3U6UFTqxio9LNnvDCQjHKmttSEBsFQ/edit?usp=sharing"",""จัดที่ดิน!BQ78"")"),0)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56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56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56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IFERROR(__xludf.DUMMYFUNCTION("IMPORTRANGE(""https://docs.google.com/spreadsheets/d/1eHaY18a8A9IcSdp1K8H6x8fbOy06t2VsZHhMHf-1x7Y/edit?usp=sharing"",""แผน!GA78"")"),21)</f>
        <v>21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IFERROR(__xludf.DUMMYFUNCTION("IMPORTRANGE(""https://docs.google.com/spreadsheets/d/1eHaY18a8A9IcSdp1K8H6x8fbOy06t2VsZHhMHf-1x7Y/edit?usp=sharing"",""แผน!FZ78"")"),200)</f>
        <v>200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188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175994</v>
      </c>
      <c r="R728" s="132">
        <f ca="1">R729+R730</f>
        <v>175994</v>
      </c>
      <c r="S728" s="132">
        <f ca="1">S729+S730</f>
        <v>19670</v>
      </c>
      <c r="T728" s="132">
        <f ca="1">IF(Q728&gt;0,S728*100/Q728,0)</f>
        <v>11.176517381274362</v>
      </c>
      <c r="U728" s="132">
        <f ca="1">IF(R728&gt;0,S728*100/R728,0)</f>
        <v>11.176517381274362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175994</v>
      </c>
      <c r="R730" s="47">
        <f ca="1">R733+R736</f>
        <v>175994</v>
      </c>
      <c r="S730" s="47">
        <f ca="1">S733+S736</f>
        <v>19670</v>
      </c>
      <c r="T730" s="47">
        <f ca="1">IF(Q730&gt;0,S730*100/Q730,0)</f>
        <v>11.176517381274362</v>
      </c>
      <c r="U730" s="47">
        <f ca="1">IF(R730&gt;0,S730*100/R730,0)</f>
        <v>11.176517381274362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175994</v>
      </c>
      <c r="R731" s="47">
        <f ca="1">R732+R733</f>
        <v>175994</v>
      </c>
      <c r="S731" s="47">
        <f ca="1">S732+S733</f>
        <v>19670</v>
      </c>
      <c r="T731" s="47">
        <f ca="1">IF(Q731&gt;0,S731*100/Q731,0)</f>
        <v>11.176517381274362</v>
      </c>
      <c r="U731" s="47">
        <f ca="1">IF(R731&gt;0,S731*100/R731,0)</f>
        <v>11.176517381274362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IFERROR(__xludf.DUMMYFUNCTION("IMPORTRANGE(""https://docs.google.com/spreadsheets/d/1ItG2mGa2ceCfYo0BwxsXqNm01IGEUdYcSSLTEv9YCik/edit?usp=sharing"",""เบิกจ่ายกองทุน!O78"")"),175994)</f>
        <v>175994</v>
      </c>
      <c r="R733" s="47">
        <f ca="1">IFERROR(__xludf.DUMMYFUNCTION("IMPORTRANGE(""https://docs.google.com/spreadsheets/d/1ItG2mGa2ceCfYo0BwxsXqNm01IGEUdYcSSLTEv9YCik/edit?usp=sharing"",""เบิกจ่ายกองทุน!P78"")"),175994)</f>
        <v>175994</v>
      </c>
      <c r="S733" s="47">
        <f ca="1">IFERROR(__xludf.DUMMYFUNCTION("IMPORTRANGE(""https://docs.google.com/spreadsheets/d/1ItG2mGa2ceCfYo0BwxsXqNm01IGEUdYcSSLTEv9YCik/edit?usp=sharing"",""เบิกจ่ายกองทุน!Q78"")"),19670)</f>
        <v>19670</v>
      </c>
      <c r="T733" s="47">
        <f ca="1">IF(Q733&gt;0,S733*100/Q733,0)</f>
        <v>11.176517381274362</v>
      </c>
      <c r="U733" s="47">
        <f ca="1">IF(R733&gt;0,S733*100/R733,0)</f>
        <v>11.176517381274362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IFERROR(__xludf.DUMMYFUNCTION("IMPORTRANGE(""https://docs.google.com/spreadsheets/d/1eHaY18a8A9IcSdp1K8H6x8fbOy06t2VsZHhMHf-1x7Y/edit?usp=sharing"",""แผน!GB78"")"),160)</f>
        <v>160</v>
      </c>
      <c r="J740" s="554">
        <v>0</v>
      </c>
      <c r="K740" s="331">
        <f ca="1">IF(I740&gt;0,J740*100/I740,0)</f>
        <v>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IFERROR(__xludf.DUMMYFUNCTION("IMPORTRANGE(""https://docs.google.com/spreadsheets/d/1eHaY18a8A9IcSdp1K8H6x8fbOy06t2VsZHhMHf-1x7Y/edit?usp=sharing"",""แผน!GC78"")"),16)</f>
        <v>16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IFERROR(__xludf.DUMMYFUNCTION("IMPORTRANGE(""https://docs.google.com/spreadsheets/d/1eHaY18a8A9IcSdp1K8H6x8fbOy06t2VsZHhMHf-1x7Y/edit?usp=sharing"",""แผน!GD78"")"),40)</f>
        <v>40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IFERROR(__xludf.DUMMYFUNCTION("IMPORTRANGE(""https://docs.google.com/spreadsheets/d/1eHaY18a8A9IcSdp1K8H6x8fbOy06t2VsZHhMHf-1x7Y/edit?usp=sharing"",""แผน!GE78"")"),4)</f>
        <v>4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IFERROR(__xludf.DUMMYFUNCTION("IMPORTRANGE(""https://docs.google.com/spreadsheets/d/1eHaY18a8A9IcSdp1K8H6x8fbOy06t2VsZHhMHf-1x7Y/edit?usp=sharing"",""แผน!GF78"")"),1)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IFERROR(__xludf.DUMMYFUNCTION("IMPORTRANGE(""https://docs.google.com/spreadsheets/d/1eHaY18a8A9IcSdp1K8H6x8fbOy06t2VsZHhMHf-1x7Y/edit?usp=sharing"",""แผน!GB78"")"),160)</f>
        <v>160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IFERROR(__xludf.DUMMYFUNCTION("IMPORTRANGE(""https://docs.google.com/spreadsheets/d/1eHaY18a8A9IcSdp1K8H6x8fbOy06t2VsZHhMHf-1x7Y/edit?usp=sharing"",""แผน!GD78"")"),40)</f>
        <v>40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9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hidden="1" x14ac:dyDescent="0.3">
      <c r="A758" s="456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hidden="1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hidden="1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IFERROR(__xludf.DUMMYFUNCTION("IMPORTRANGE(""https://docs.google.com/spreadsheets/d/1ItG2mGa2ceCfYo0BwxsXqNm01IGEUdYcSSLTEv9YCik/edit?usp=sharing"",""เบิกจ่ายกองทุน!AA78"")"),0)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IFERROR(__xludf.DUMMYFUNCTION("IMPORTRANGE(""https://docs.google.com/spreadsheets/d/1ItG2mGa2ceCfYo0BwxsXqNm01IGEUdYcSSLTEv9YCik/edit?usp=sharing"",""เบิกจ่ายกองทุน!AB78"")"),0)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IFERROR(__xludf.DUMMYFUNCTION("IMPORTRANGE(""https://docs.google.com/spreadsheets/d/1ItG2mGa2ceCfYo0BwxsXqNm01IGEUdYcSSLTEv9YCik/edit?usp=sharing"",""เบิกจ่ายกองทุน!AC78"")"),0)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hidden="1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IFERROR(__xludf.DUMMYFUNCTION("IMPORTRANGE(""https://docs.google.com/spreadsheets/d/1eHaY18a8A9IcSdp1K8H6x8fbOy06t2VsZHhMHf-1x7Y/edit?usp=sharing"",""แผน!FI78"")"),0)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IFERROR(__xludf.DUMMYFUNCTION("IMPORTRANGE(""https://docs.google.com/spreadsheets/d/1eHaY18a8A9IcSdp1K8H6x8fbOy06t2VsZHhMHf-1x7Y/edit?usp=sharing"",""แผน!FQ78"")"),0)</f>
        <v>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IFERROR(__xludf.DUMMYFUNCTION("IMPORTRANGE(""https://docs.google.com/spreadsheets/d/1eHaY18a8A9IcSdp1K8H6x8fbOy06t2VsZHhMHf-1x7Y/edit?usp=sharing"",""แผน!FR78"")"),0)</f>
        <v>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IFERROR(__xludf.DUMMYFUNCTION("IMPORTRANGE(""https://docs.google.com/spreadsheets/d/1eHaY18a8A9IcSdp1K8H6x8fbOy06t2VsZHhMHf-1x7Y/edit?usp=sharing"",""แผน!FS78"")"),0)</f>
        <v>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IFERROR(__xludf.DUMMYFUNCTION("IMPORTRANGE(""https://docs.google.com/spreadsheets/d/1eHaY18a8A9IcSdp1K8H6x8fbOy06t2VsZHhMHf-1x7Y/edit?usp=sharing"",""แผน!FT78"")"),0)</f>
        <v>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IFERROR(__xludf.DUMMYFUNCTION("IMPORTRANGE(""https://docs.google.com/spreadsheets/d/10OvvATaaLtwErnr3qtWFcTmtbfpFEt5Bsqel9sXx0uE/edit?usp=sharing"",""งานกองทุน!D78"")"),2182922.15)</f>
        <v>2182922.15</v>
      </c>
      <c r="J778" s="152">
        <f ca="1">IFERROR(__xludf.DUMMYFUNCTION("IMPORTRANGE(""https://docs.google.com/spreadsheets/d/10OvvATaaLtwErnr3qtWFcTmtbfpFEt5Bsqel9sXx0uE/edit?usp=sharing"",""งานกองทุน!F78"")"),1341265.28)</f>
        <v>1341265.28</v>
      </c>
      <c r="K778" s="47">
        <f ca="1">IF(I778&gt;0,J778*100/I778,0)</f>
        <v>61.443569116745643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IFERROR(__xludf.DUMMYFUNCTION("IMPORTRANGE(""https://docs.google.com/spreadsheets/d/10OvvATaaLtwErnr3qtWFcTmtbfpFEt5Bsqel9sXx0uE/edit?usp=sharing"",""งานกองทุน!C78"")"),123)</f>
        <v>123</v>
      </c>
      <c r="J779" s="152">
        <f ca="1">IFERROR(__xludf.DUMMYFUNCTION("IMPORTRANGE(""https://docs.google.com/spreadsheets/d/10OvvATaaLtwErnr3qtWFcTmtbfpFEt5Bsqel9sXx0uE/edit?usp=sharing"",""งานกองทุน!E78"")"),83)</f>
        <v>83</v>
      </c>
      <c r="K779" s="47">
        <f ca="1">IF(I779&gt;0,J779*100/I779,0)</f>
        <v>67.479674796747972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IFERROR(__xludf.DUMMYFUNCTION("IMPORTRANGE(""https://docs.google.com/spreadsheets/d/10OvvATaaLtwErnr3qtWFcTmtbfpFEt5Bsqel9sXx0uE/edit?usp=sharing"",""งานกองทุน!I78"")"),2311561.09)</f>
        <v>2311561.09</v>
      </c>
      <c r="J780" s="152">
        <f ca="1">IFERROR(__xludf.DUMMYFUNCTION("IMPORTRANGE(""https://docs.google.com/spreadsheets/d/10OvvATaaLtwErnr3qtWFcTmtbfpFEt5Bsqel9sXx0uE/edit?usp=sharing"",""งานกองทุน!K78"")"),331861.74)</f>
        <v>331861.74</v>
      </c>
      <c r="K780" s="47">
        <f ca="1">IF(I780&gt;0,J780*100/I780,0)</f>
        <v>14.356606945655068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IFERROR(__xludf.DUMMYFUNCTION("IMPORTRANGE(""https://docs.google.com/spreadsheets/d/10OvvATaaLtwErnr3qtWFcTmtbfpFEt5Bsqel9sXx0uE/edit?usp=sharing"",""งานกองทุน!H78"")"),99)</f>
        <v>99</v>
      </c>
      <c r="J781" s="152">
        <f ca="1">IFERROR(__xludf.DUMMYFUNCTION("IMPORTRANGE(""https://docs.google.com/spreadsheets/d/10OvvATaaLtwErnr3qtWFcTmtbfpFEt5Bsqel9sXx0uE/edit?usp=sharing"",""งานกองทุน!J78"")"),48)</f>
        <v>48</v>
      </c>
      <c r="K781" s="47">
        <f ca="1">IF(I781&gt;0,J781*100/I781,0)</f>
        <v>48.484848484848484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IFERROR(__xludf.DUMMYFUNCTION("IMPORTRANGE(""https://docs.google.com/spreadsheets/d/10OvvATaaLtwErnr3qtWFcTmtbfpFEt5Bsqel9sXx0uE/edit?usp=sharing"",""งานกองทุน!N78"")"),0)</f>
        <v>0</v>
      </c>
      <c r="J782" s="152">
        <f ca="1">IFERROR(__xludf.DUMMYFUNCTION("IMPORTRANGE(""https://docs.google.com/spreadsheets/d/10OvvATaaLtwErnr3qtWFcTmtbfpFEt5Bsqel9sXx0uE/edit?usp=sharing"",""งานกองทุน!P78"")"),0)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IFERROR(__xludf.DUMMYFUNCTION("IMPORTRANGE(""https://docs.google.com/spreadsheets/d/10OvvATaaLtwErnr3qtWFcTmtbfpFEt5Bsqel9sXx0uE/edit?usp=sharing"",""งานกองทุน!M78"")"),0)</f>
        <v>0</v>
      </c>
      <c r="J783" s="152">
        <f ca="1">IFERROR(__xludf.DUMMYFUNCTION("IMPORTRANGE(""https://docs.google.com/spreadsheets/d/10OvvATaaLtwErnr3qtWFcTmtbfpFEt5Bsqel9sXx0uE/edit?usp=sharing"",""งานกองทุน!O78"")"),0)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IFERROR(__xludf.DUMMYFUNCTION("IMPORTRANGE(""https://docs.google.com/spreadsheets/d/10OvvATaaLtwErnr3qtWFcTmtbfpFEt5Bsqel9sXx0uE/edit?usp=sharing"",""งานกองทุน!S78"")"),3500000)</f>
        <v>3500000</v>
      </c>
      <c r="J784" s="152">
        <f ca="1">IFERROR(__xludf.DUMMYFUNCTION("IMPORTRANGE(""https://docs.google.com/spreadsheets/d/10OvvATaaLtwErnr3qtWFcTmtbfpFEt5Bsqel9sXx0uE/edit?usp=sharing"",""งานกองทุน!U78"")"),3470000)</f>
        <v>3470000</v>
      </c>
      <c r="K784" s="47">
        <f ca="1">IF(I784&gt;0,J784*100/I784,0)</f>
        <v>99.142857142857139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IFERROR(__xludf.DUMMYFUNCTION("IMPORTRANGE(""https://docs.google.com/spreadsheets/d/10OvvATaaLtwErnr3qtWFcTmtbfpFEt5Bsqel9sXx0uE/edit?usp=sharing"",""งานกองทุน!R78"")"),125)</f>
        <v>125</v>
      </c>
      <c r="J785" s="197">
        <f ca="1">IFERROR(__xludf.DUMMYFUNCTION("IMPORTRANGE(""https://docs.google.com/spreadsheets/d/10OvvATaaLtwErnr3qtWFcTmtbfpFEt5Bsqel9sXx0uE/edit?usp=sharing"",""งานกองทุน!T78"")"),90)</f>
        <v>90</v>
      </c>
      <c r="K785" s="111">
        <f ca="1">IF(I785&gt;0,J785*100/I785,0)</f>
        <v>72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4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EB47D-7E97-42CF-8327-DFE166F0E6BB}">
  <sheetPr codeName="Sheet6">
    <outlinePr summaryBelow="0" summaryRight="0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710937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20" width="19.28515625" bestFit="1" customWidth="1"/>
    <col min="21" max="21" width="21.28515625" bestFit="1" customWidth="1"/>
  </cols>
  <sheetData>
    <row r="1" spans="1:21" ht="19.5" x14ac:dyDescent="0.3">
      <c r="A1" s="817" t="s">
        <v>0</v>
      </c>
      <c r="B1" s="817"/>
      <c r="C1" s="817"/>
      <c r="D1" s="817"/>
      <c r="E1" s="817"/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7"/>
      <c r="R1" s="817"/>
      <c r="S1" s="817"/>
      <c r="T1" s="817"/>
      <c r="U1" s="817"/>
    </row>
    <row r="2" spans="1:21" s="897" customFormat="1" ht="19.5" x14ac:dyDescent="0.3">
      <c r="A2" s="817" t="s">
        <v>319</v>
      </c>
      <c r="B2" s="817"/>
      <c r="C2" s="817"/>
      <c r="D2" s="817"/>
      <c r="E2" s="817"/>
      <c r="F2" s="817"/>
      <c r="G2" s="817"/>
      <c r="H2" s="817"/>
      <c r="I2" s="817"/>
      <c r="J2" s="817"/>
      <c r="K2" s="817"/>
      <c r="L2" s="817"/>
      <c r="M2" s="817"/>
      <c r="N2" s="817"/>
      <c r="O2" s="817"/>
      <c r="P2" s="817"/>
      <c r="Q2" s="817"/>
      <c r="R2" s="817"/>
      <c r="S2" s="817"/>
      <c r="T2" s="817"/>
      <c r="U2" s="817"/>
    </row>
    <row r="3" spans="1:21" ht="19.5" x14ac:dyDescent="0.3">
      <c r="A3" s="817" t="s">
        <v>332</v>
      </c>
      <c r="B3" s="817"/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  <c r="S3" s="817"/>
      <c r="T3" s="817"/>
      <c r="U3" s="817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816"/>
      <c r="L4" s="815" t="s">
        <v>2</v>
      </c>
      <c r="M4" s="518"/>
      <c r="N4" s="518"/>
      <c r="O4" s="518"/>
      <c r="P4" s="519"/>
      <c r="Q4" s="814" t="s">
        <v>3</v>
      </c>
      <c r="R4" s="518"/>
      <c r="S4" s="518"/>
      <c r="T4" s="518"/>
      <c r="U4" s="519"/>
    </row>
    <row r="5" spans="1:21" ht="19.5" x14ac:dyDescent="0.3">
      <c r="A5" s="813" t="s">
        <v>4</v>
      </c>
      <c r="B5" s="522"/>
      <c r="C5" s="522"/>
      <c r="D5" s="522"/>
      <c r="E5" s="522"/>
      <c r="F5" s="522"/>
      <c r="G5" s="535"/>
      <c r="H5" s="812" t="s">
        <v>5</v>
      </c>
      <c r="I5" s="527" t="s">
        <v>6</v>
      </c>
      <c r="J5" s="518"/>
      <c r="K5" s="519"/>
      <c r="L5" s="811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0"/>
      <c r="I6" s="7" t="s">
        <v>9</v>
      </c>
      <c r="J6" s="8" t="s">
        <v>10</v>
      </c>
      <c r="K6" s="7" t="s">
        <v>11</v>
      </c>
      <c r="L6" s="809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2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1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1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1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1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1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1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1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1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08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7">
        <f ca="1">L19+L20</f>
        <v>1713180</v>
      </c>
      <c r="M18" s="35">
        <f ca="1">M19+M20</f>
        <v>1765679</v>
      </c>
      <c r="N18" s="35">
        <f ca="1">N19+N20</f>
        <v>1266894.6100000001</v>
      </c>
      <c r="O18" s="35">
        <f ca="1">IF(L18&gt;0,N18*100/L18,0)</f>
        <v>73.949883258034774</v>
      </c>
      <c r="P18" s="35">
        <f ca="1">IF(M18&gt;0,N18*100/M18,0)</f>
        <v>71.75112860265088</v>
      </c>
      <c r="Q18" s="35">
        <f ca="1">Q19+Q20</f>
        <v>653547</v>
      </c>
      <c r="R18" s="35">
        <f ca="1">R19+R20</f>
        <v>653547</v>
      </c>
      <c r="S18" s="35">
        <f ca="1">S19+S20</f>
        <v>279757</v>
      </c>
      <c r="T18" s="35">
        <f ca="1">IF(Q18&gt;0,S18*100/Q18,0)</f>
        <v>42.805949686862611</v>
      </c>
      <c r="U18" s="35">
        <f ca="1">IF(R18&gt;0,S18*100/R18,0)</f>
        <v>42.805949686862611</v>
      </c>
    </row>
    <row r="19" spans="1:21" ht="18.75" hidden="1" x14ac:dyDescent="0.25">
      <c r="A19" s="27"/>
      <c r="B19" s="28"/>
      <c r="C19" s="28"/>
      <c r="D19" s="28"/>
      <c r="E19" s="806" t="s">
        <v>20</v>
      </c>
      <c r="F19" s="28"/>
      <c r="G19" s="31"/>
      <c r="H19" s="805" t="s">
        <v>14</v>
      </c>
      <c r="I19" s="33"/>
      <c r="J19" s="33"/>
      <c r="K19" s="34"/>
      <c r="L19" s="804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3">
        <f ca="1">L23+L26</f>
        <v>1713180</v>
      </c>
      <c r="M20" s="39">
        <f ca="1">M23+M26</f>
        <v>1765679</v>
      </c>
      <c r="N20" s="39">
        <f ca="1">N23+N26</f>
        <v>1266894.6100000001</v>
      </c>
      <c r="O20" s="39">
        <f ca="1">IF(L20&gt;0,N20*100/L20,0)</f>
        <v>73.949883258034774</v>
      </c>
      <c r="P20" s="39">
        <f ca="1">IF(M20&gt;0,N20*100/M20,0)</f>
        <v>71.75112860265088</v>
      </c>
      <c r="Q20" s="39">
        <f ca="1">Q23+Q26</f>
        <v>653547</v>
      </c>
      <c r="R20" s="39">
        <f ca="1">R23+R26</f>
        <v>653547</v>
      </c>
      <c r="S20" s="39">
        <f ca="1">S23+S26</f>
        <v>279757</v>
      </c>
      <c r="T20" s="39">
        <f ca="1">IF(Q20&gt;0,S20*100/Q20,0)</f>
        <v>42.805949686862611</v>
      </c>
      <c r="U20" s="39">
        <f ca="1">IF(R20&gt;0,S20*100/R20,0)</f>
        <v>42.805949686862611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1713180</v>
      </c>
      <c r="M21" s="47">
        <f ca="1">M22+M23</f>
        <v>1765679</v>
      </c>
      <c r="N21" s="47">
        <f ca="1">N22+N23</f>
        <v>1266894.6100000001</v>
      </c>
      <c r="O21" s="47">
        <f ca="1">IF(L21&gt;0,N21*100/L21,0)</f>
        <v>73.949883258034774</v>
      </c>
      <c r="P21" s="47">
        <f ca="1">IF(M21&gt;0,N21*100/M21,0)</f>
        <v>71.75112860265088</v>
      </c>
      <c r="Q21" s="47">
        <f ca="1">Q22+Q23</f>
        <v>653547</v>
      </c>
      <c r="R21" s="47">
        <f ca="1">R22+R23</f>
        <v>653547</v>
      </c>
      <c r="S21" s="47">
        <f ca="1">S22+S23</f>
        <v>279757</v>
      </c>
      <c r="T21" s="47">
        <f ca="1">IF(Q21&gt;0,S21*100/Q21,0)</f>
        <v>42.805949686862611</v>
      </c>
      <c r="U21" s="47">
        <f ca="1">IF(R21&gt;0,S21*100/R21,0)</f>
        <v>42.805949686862611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L49+L64+L77+L99+L130+L144+L162+L191+L178+L271+L287+L308+L325+L338+L361+L518</f>
        <v>1713180</v>
      </c>
      <c r="M23" s="47">
        <f ca="1">M49+M64+M77+M99+M130+M144+M162+M191+M178+M271+M287+M308+M325+M338+M361+M518</f>
        <v>1765679</v>
      </c>
      <c r="N23" s="47">
        <f ca="1">N49+N64+N77+N99+N130+N144+N162+N191+N178+N271+N287+N308+N325+N338+N361+N518</f>
        <v>1266894.6100000001</v>
      </c>
      <c r="O23" s="47">
        <f ca="1">IF(L23&gt;0,N23*100/L23,0)</f>
        <v>73.949883258034774</v>
      </c>
      <c r="P23" s="47">
        <f ca="1">IF(M23&gt;0,N23*100/M23,0)</f>
        <v>71.75112860265088</v>
      </c>
      <c r="Q23" s="47">
        <f ca="1">Q77+Q99+Q122+Q144+Q162+Q178+Q191+Q271+Q287+Q308+Q338+Q380+Q397+Q418+Q498+Q604+Q621+Q647+Q695+Q719+Q733+Q765</f>
        <v>653547</v>
      </c>
      <c r="R23" s="47">
        <f ca="1">R77+R99+R122+R144+R162+R178+R191+R271+R287+R308+R338+R380+R397+R418+R498+R604+R621+R647+R695+R719+R733+R765</f>
        <v>653547</v>
      </c>
      <c r="S23" s="47">
        <f ca="1">S77+S99+S122+S144+S162+S178+S191+S271+S287+S308+S338+S380+S397+S418+S498+S604+S621+S647+S695+S719+S733+S765</f>
        <v>279757</v>
      </c>
      <c r="T23" s="47">
        <f ca="1">IF(Q23&gt;0,S23*100/Q23,0)</f>
        <v>42.805949686862611</v>
      </c>
      <c r="U23" s="47">
        <f ca="1">IF(R23&gt;0,S23*100/R23,0)</f>
        <v>42.805949686862611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L52+L67+L80+L102+L133+L147+L165+L194+L181+L274+L290+L311+L328+L341+L364+L521</f>
        <v>0</v>
      </c>
      <c r="M26" s="47">
        <f ca="1">M52+M67+M80+M102+M133+M147+M165+M194+M181+M274+M290+M311+M328+M341+M364+M521</f>
        <v>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2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1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1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1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1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1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1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1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1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1">
        <f ca="1">L44+L59+L72+L94+L125+L139+L157+L173+L186+L266+L282+L303+L320+L333+L356</f>
        <v>1713180</v>
      </c>
      <c r="M40" s="800">
        <f ca="1">M44+M59+M72+M94+M125+M139+M157+M173+M186+M266+M282+M303+M320+M333+M356</f>
        <v>1765679</v>
      </c>
      <c r="N40" s="800">
        <f ca="1">N44+N59+N72+N94+N125+N139+N157+N173+N186+N266+N282+N303+N320+N333+N356</f>
        <v>1266894.6100000001</v>
      </c>
      <c r="O40" s="800">
        <f ca="1">IF(L40&gt;0,N40*100/L40,0)</f>
        <v>73.949883258034774</v>
      </c>
      <c r="P40" s="800">
        <f ca="1">IF(M40&gt;0,N40*100/M40,0)</f>
        <v>71.75112860265088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99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1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358900</v>
      </c>
      <c r="M44" s="79">
        <f ca="1">M45+M46</f>
        <v>377549</v>
      </c>
      <c r="N44" s="79">
        <f ca="1">N45+N46</f>
        <v>291200</v>
      </c>
      <c r="O44" s="79">
        <f ca="1">IF(L44&gt;0,N44*100/L44,0)</f>
        <v>81.13680691000279</v>
      </c>
      <c r="P44" s="79">
        <f ca="1">IF(M44&gt;0,N44*100/M44,0)</f>
        <v>77.12906139335557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358900</v>
      </c>
      <c r="M46" s="83">
        <f ca="1">M49+M52</f>
        <v>377549</v>
      </c>
      <c r="N46" s="83">
        <f ca="1">N49+N52</f>
        <v>291200</v>
      </c>
      <c r="O46" s="83">
        <f ca="1">IF(L46&gt;0,N46*100/L46,0)</f>
        <v>81.13680691000279</v>
      </c>
      <c r="P46" s="83">
        <f ca="1">IF(M46&gt;0,N46*100/M46,0)</f>
        <v>77.12906139335557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358900</v>
      </c>
      <c r="M47" s="47">
        <f ca="1">M48+M49</f>
        <v>377549</v>
      </c>
      <c r="N47" s="47">
        <f ca="1">N48+N49</f>
        <v>291200</v>
      </c>
      <c r="O47" s="47">
        <f ca="1">IF(L47&gt;0,N47*100/L47,0)</f>
        <v>81.13680691000279</v>
      </c>
      <c r="P47" s="47">
        <f ca="1">IF(M47&gt;0,N47*100/M47,0)</f>
        <v>77.12906139335557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IFERROR(__xludf.DUMMYFUNCTION("IMPORTRANGE(""https://docs.google.com/spreadsheets/d/1-uDff_7J0KD5mKrp0Vvzr7lt3OU09vwQwhkpOPPYv2Y/edit?usp=sharing"",""งบพรบ!P79"")"),358900)</f>
        <v>358900</v>
      </c>
      <c r="M49" s="47">
        <f ca="1">IFERROR(__xludf.DUMMYFUNCTION("IMPORTRANGE(""https://docs.google.com/spreadsheets/d/1-uDff_7J0KD5mKrp0Vvzr7lt3OU09vwQwhkpOPPYv2Y/edit?usp=sharing"",""งบพรบ!V79"")"),377549)</f>
        <v>377549</v>
      </c>
      <c r="N49" s="47">
        <f ca="1">IFERROR(__xludf.DUMMYFUNCTION("IMPORTRANGE(""https://docs.google.com/spreadsheets/d/1-uDff_7J0KD5mKrp0Vvzr7lt3OU09vwQwhkpOPPYv2Y/edit?usp=sharing"",""งบพรบ!Y79"")"),291200)</f>
        <v>291200</v>
      </c>
      <c r="O49" s="47">
        <f ca="1">IF(L49&gt;0,N49*100/L49,0)</f>
        <v>81.13680691000279</v>
      </c>
      <c r="P49" s="47">
        <f ca="1">IF(M49&gt;0,N49*100/M49,0)</f>
        <v>77.12906139335557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IFERROR(__xludf.DUMMYFUNCTION("IMPORTRANGE(""https://docs.google.com/spreadsheets/d/1-uDff_7J0KD5mKrp0Vvzr7lt3OU09vwQwhkpOPPYv2Y/edit?usp=sharing"",""งบพรบ!S79"")"),0)</f>
        <v>0</v>
      </c>
      <c r="M52" s="47">
        <f ca="1">IFERROR(__xludf.DUMMYFUNCTION("IMPORTRANGE(""https://docs.google.com/spreadsheets/d/1-uDff_7J0KD5mKrp0Vvzr7lt3OU09vwQwhkpOPPYv2Y/edit?usp=sharing"",""งบพรบ!W79"")"),0)</f>
        <v>0</v>
      </c>
      <c r="N52" s="47">
        <f ca="1">IFERROR(__xludf.DUMMYFUNCTION("IMPORTRANGE(""https://docs.google.com/spreadsheets/d/1-uDff_7J0KD5mKrp0Vvzr7lt3OU09vwQwhkpOPPYv2Y/edit?usp=sharing"",""งบพรบ!Z79"")"),0)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567100</v>
      </c>
      <c r="M59" s="106">
        <f ca="1">M60+M61</f>
        <v>567100</v>
      </c>
      <c r="N59" s="106">
        <f ca="1">N60+N61</f>
        <v>452633.04</v>
      </c>
      <c r="O59" s="106">
        <f ca="1">IF(L59&gt;0,N59*100/L59,0)</f>
        <v>79.815383530241576</v>
      </c>
      <c r="P59" s="106">
        <f ca="1">IF(M59&gt;0,N59*100/M59,0)</f>
        <v>79.815383530241576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567100</v>
      </c>
      <c r="M61" s="109">
        <f ca="1">M64+M67</f>
        <v>567100</v>
      </c>
      <c r="N61" s="109">
        <f ca="1">N64+N67</f>
        <v>452633.04</v>
      </c>
      <c r="O61" s="109">
        <f ca="1">IF(L61&gt;0,N61*100/L61,0)</f>
        <v>79.815383530241576</v>
      </c>
      <c r="P61" s="109">
        <f ca="1">IF(M61&gt;0,N61*100/M61,0)</f>
        <v>79.815383530241576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567100</v>
      </c>
      <c r="M62" s="47">
        <f ca="1">M63+M64</f>
        <v>567100</v>
      </c>
      <c r="N62" s="47">
        <f ca="1">N63+N64</f>
        <v>452633.04</v>
      </c>
      <c r="O62" s="47">
        <f ca="1">IF(L62&gt;0,N62*100/L62,0)</f>
        <v>79.815383530241576</v>
      </c>
      <c r="P62" s="47">
        <f ca="1">IF(M62&gt;0,N62*100/M62,0)</f>
        <v>79.815383530241576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IFERROR(__xludf.DUMMYFUNCTION("IMPORTRANGE(""https://docs.google.com/spreadsheets/d/1-uDff_7J0KD5mKrp0Vvzr7lt3OU09vwQwhkpOPPYv2Y/edit?usp=sharing"",""งบพรบ!AC79"")"),567100)</f>
        <v>567100</v>
      </c>
      <c r="M64" s="47">
        <f ca="1">IFERROR(__xludf.DUMMYFUNCTION("IMPORTRANGE(""https://docs.google.com/spreadsheets/d/1-uDff_7J0KD5mKrp0Vvzr7lt3OU09vwQwhkpOPPYv2Y/edit?usp=sharing"",""งบพรบ!AH79"")"),567100)</f>
        <v>567100</v>
      </c>
      <c r="N64" s="47">
        <f ca="1">IFERROR(__xludf.DUMMYFUNCTION("IMPORTRANGE(""https://docs.google.com/spreadsheets/d/1-uDff_7J0KD5mKrp0Vvzr7lt3OU09vwQwhkpOPPYv2Y/edit?usp=sharing"",""งบพรบ!AJ79"")"),452633.04)</f>
        <v>452633.04</v>
      </c>
      <c r="O64" s="47">
        <f ca="1">IF(L64&gt;0,N64*100/L64,0)</f>
        <v>79.815383530241576</v>
      </c>
      <c r="P64" s="47">
        <f ca="1">IF(M64&gt;0,N64*100/M64,0)</f>
        <v>79.815383530241576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IFERROR(__xludf.DUMMYFUNCTION("IMPORTRANGE(""https://docs.google.com/spreadsheets/d/1-uDff_7J0KD5mKrp0Vvzr7lt3OU09vwQwhkpOPPYv2Y/edit?usp=sharing"",""งบพรบ!AF79"")"),0)</f>
        <v>0</v>
      </c>
      <c r="M67" s="111">
        <f ca="1">IFERROR(__xludf.DUMMYFUNCTION("IMPORTRANGE(""https://docs.google.com/spreadsheets/d/1-uDff_7J0KD5mKrp0Vvzr7lt3OU09vwQwhkpOPPYv2Y/edit?usp=sharing"",""งบพรบ!AI79"")"),0)</f>
        <v>0</v>
      </c>
      <c r="N67" s="111">
        <f ca="1">IFERROR(__xludf.DUMMYFUNCTION("IMPORTRANGE(""https://docs.google.com/spreadsheets/d/1-uDff_7J0KD5mKrp0Vvzr7lt3OU09vwQwhkpOPPYv2Y/edit?usp=sharing"",""งบพรบ!AK79"")"),0)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0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IFERROR(__xludf.DUMMYFUNCTION("IMPORTRANGE(""https://docs.google.com/spreadsheets/d/1-uDff_7J0KD5mKrp0Vvzr7lt3OU09vwQwhkpOPPYv2Y/edit?usp=sharing"",""งบพรบ!AM79"")"),0)</f>
        <v>0</v>
      </c>
      <c r="M77" s="47">
        <f ca="1">IFERROR(__xludf.DUMMYFUNCTION("IMPORTRANGE(""https://docs.google.com/spreadsheets/d/1-uDff_7J0KD5mKrp0Vvzr7lt3OU09vwQwhkpOPPYv2Y/edit?usp=sharing"",""งบพรบ!AR79"")"),0)</f>
        <v>0</v>
      </c>
      <c r="N77" s="47">
        <f ca="1">IFERROR(__xludf.DUMMYFUNCTION("IMPORTRANGE(""https://docs.google.com/spreadsheets/d/1-uDff_7J0KD5mKrp0Vvzr7lt3OU09vwQwhkpOPPYv2Y/edit?usp=sharing"",""งบพรบ!AT79"")"),0)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IFERROR(__xludf.DUMMYFUNCTION("IMPORTRANGE(""https://docs.google.com/spreadsheets/d/1ItG2mGa2ceCfYo0BwxsXqNm01IGEUdYcSSLTEv9YCik/edit?usp=sharing"",""เบิกจ่ายกองทุน!BH79"")"),0)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IFERROR(__xludf.DUMMYFUNCTION("IMPORTRANGE(""https://docs.google.com/spreadsheets/d/1ItG2mGa2ceCfYo0BwxsXqNm01IGEUdYcSSLTEv9YCik/edit?usp=sharing"",""เบิกจ่ายกองทุน!BI79"")"),0)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IFERROR(__xludf.DUMMYFUNCTION("IMPORTRANGE(""https://docs.google.com/spreadsheets/d/1ItG2mGa2ceCfYo0BwxsXqNm01IGEUdYcSSLTEv9YCik/edit?usp=sharing"",""เบิกจ่ายกองทุน!BJ79"")"),0)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IFERROR(__xludf.DUMMYFUNCTION("IMPORTRANGE(""https://docs.google.com/spreadsheets/d/1-uDff_7J0KD5mKrp0Vvzr7lt3OU09vwQwhkpOPPYv2Y/edit?usp=sharing"",""งบพรบ!AP79"")"),0)</f>
        <v>0</v>
      </c>
      <c r="M80" s="47">
        <f ca="1">IFERROR(__xludf.DUMMYFUNCTION("IMPORTRANGE(""https://docs.google.com/spreadsheets/d/1-uDff_7J0KD5mKrp0Vvzr7lt3OU09vwQwhkpOPPYv2Y/edit?usp=sharing"",""งบพรบ!AS79"")"),0)</f>
        <v>0</v>
      </c>
      <c r="N80" s="47">
        <f ca="1">IFERROR(__xludf.DUMMYFUNCTION("IMPORTRANGE(""https://docs.google.com/spreadsheets/d/1-uDff_7J0KD5mKrp0Vvzr7lt3OU09vwQwhkpOPPYv2Y/edit?usp=sharing"",""งบพรบ!AU79"")"),0)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IFERROR(__xludf.DUMMYFUNCTION("IMPORTRANGE(""https://docs.google.com/spreadsheets/d/1ItG2mGa2ceCfYo0BwxsXqNm01IGEUdYcSSLTEv9YCik/edit?usp=sharing"",""เบิกจ่ายกองทุน!BK79"")"),0)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IFERROR(__xludf.DUMMYFUNCTION("IMPORTRANGE(""https://docs.google.com/spreadsheets/d/1ItG2mGa2ceCfYo0BwxsXqNm01IGEUdYcSSLTEv9YCik/edit?usp=sharing"",""เบิกจ่ายกองทุน!BL79"")"),0)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IFERROR(__xludf.DUMMYFUNCTION("IMPORTRANGE(""https://docs.google.com/spreadsheets/d/1ItG2mGa2ceCfYo0BwxsXqNm01IGEUdYcSSLTEv9YCik/edit?usp=sharing"",""เบิกจ่ายกองทุน!BM79"")"),0)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IFERROR(__xludf.DUMMYFUNCTION("IMPORTRANGE(""https://docs.google.com/spreadsheets/d/1eHaY18a8A9IcSdp1K8H6x8fbOy06t2VsZHhMHf-1x7Y/edit?usp=sharing"",""แผน!H79"")"),0)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IFERROR(__xludf.DUMMYFUNCTION("IMPORTRANGE(""https://docs.google.com/spreadsheets/d/1eHaY18a8A9IcSdp1K8H6x8fbOy06t2VsZHhMHf-1x7Y/edit?usp=sharing"",""แผน!I79"")"),0)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IFERROR(__xludf.DUMMYFUNCTION("IMPORTRANGE(""https://docs.google.com/spreadsheets/d/1eHaY18a8A9IcSdp1K8H6x8fbOy06t2VsZHhMHf-1x7Y/edit?usp=sharing"",""แผน!F79"")"),0)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IFERROR(__xludf.DUMMYFUNCTION("IMPORTRANGE(""https://docs.google.com/spreadsheets/d/1eHaY18a8A9IcSdp1K8H6x8fbOy06t2VsZHhMHf-1x7Y/edit?usp=sharing"",""แผน!G79"")"),0)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IFERROR(__xludf.DUMMYFUNCTION("IMPORTRANGE(""https://docs.google.com/spreadsheets/d/1eHaY18a8A9IcSdp1K8H6x8fbOy06t2VsZHhMHf-1x7Y/edit?usp=sharing"",""แผน!D79"")"),0)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IFERROR(__xludf.DUMMYFUNCTION("IMPORTRANGE(""https://docs.google.com/spreadsheets/d/1eHaY18a8A9IcSdp1K8H6x8fbOy06t2VsZHhMHf-1x7Y/edit?usp=sharing"",""แผน!E79"")"),0)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IFERROR(__xludf.DUMMYFUNCTION("IMPORTRANGE(""https://docs.google.com/spreadsheets/d/1eHaY18a8A9IcSdp1K8H6x8fbOy06t2VsZHhMHf-1x7Y/edit?usp=sharing"",""แผน!J79"")"),0)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60</v>
      </c>
      <c r="J92" s="127">
        <f>J108</f>
        <v>60</v>
      </c>
      <c r="K92" s="35">
        <f ca="1">IF(I92&gt;0,J92*100/I92,0)</f>
        <v>100</v>
      </c>
      <c r="L92" s="58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20</v>
      </c>
      <c r="J93" s="127">
        <f>J109</f>
        <v>20</v>
      </c>
      <c r="K93" s="35">
        <f ca="1">IF(I93&gt;0,J93*100/I93,0)</f>
        <v>100</v>
      </c>
      <c r="L93" s="58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590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12000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168840</v>
      </c>
      <c r="R94" s="132">
        <f ca="1">R95+R96</f>
        <v>168840</v>
      </c>
      <c r="S94" s="132">
        <f ca="1">S95+S96</f>
        <v>107850</v>
      </c>
      <c r="T94" s="132">
        <f ca="1">IF(Q94&gt;0,S94*100/Q94,0)</f>
        <v>63.877043354655292</v>
      </c>
      <c r="U94" s="132">
        <f ca="1">IF(R94&gt;0,S94*100/R94,0)</f>
        <v>63.877043354655292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12000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168840</v>
      </c>
      <c r="R96" s="47">
        <f ca="1">R99+R102</f>
        <v>168840</v>
      </c>
      <c r="S96" s="47">
        <f ca="1">S99+S102</f>
        <v>107850</v>
      </c>
      <c r="T96" s="47">
        <f ca="1">IF(Q96&gt;0,S96*100/Q96,0)</f>
        <v>63.877043354655292</v>
      </c>
      <c r="U96" s="47">
        <f ca="1">IF(R96&gt;0,S96*100/R96,0)</f>
        <v>63.877043354655292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12000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168840</v>
      </c>
      <c r="R97" s="47">
        <f ca="1">R98+R99</f>
        <v>168840</v>
      </c>
      <c r="S97" s="47">
        <f ca="1">S98+S99</f>
        <v>107850</v>
      </c>
      <c r="T97" s="47">
        <f ca="1">IF(Q97&gt;0,S97*100/Q97,0)</f>
        <v>63.877043354655292</v>
      </c>
      <c r="U97" s="47">
        <f ca="1">IF(R97&gt;0,S97*100/R97,0)</f>
        <v>63.877043354655292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IFERROR(__xludf.DUMMYFUNCTION("IMPORTRANGE(""https://docs.google.com/spreadsheets/d/1-uDff_7J0KD5mKrp0Vvzr7lt3OU09vwQwhkpOPPYv2Y/edit?usp=sharing"",""งบพรบ!AW79"")"),0)</f>
        <v>0</v>
      </c>
      <c r="M99" s="47">
        <f ca="1">IFERROR(__xludf.DUMMYFUNCTION("IMPORTRANGE(""https://docs.google.com/spreadsheets/d/1-uDff_7J0KD5mKrp0Vvzr7lt3OU09vwQwhkpOPPYv2Y/edit?usp=sharing"",""งบพรบ!BB79"")"),12000)</f>
        <v>12000</v>
      </c>
      <c r="N99" s="47">
        <f ca="1">IFERROR(__xludf.DUMMYFUNCTION("IMPORTRANGE(""https://docs.google.com/spreadsheets/d/1-uDff_7J0KD5mKrp0Vvzr7lt3OU09vwQwhkpOPPYv2Y/edit?usp=sharing"",""งบพรบ!BD79"")"),0)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IFERROR(__xludf.DUMMYFUNCTION("IMPORTRANGE(""https://docs.google.com/spreadsheets/d/1ItG2mGa2ceCfYo0BwxsXqNm01IGEUdYcSSLTEv9YCik/edit?usp=sharing"",""เบิกจ่ายกองทุน!AJ79"")"),168840)</f>
        <v>168840</v>
      </c>
      <c r="R99" s="47">
        <f ca="1">IFERROR(__xludf.DUMMYFUNCTION("IMPORTRANGE(""https://docs.google.com/spreadsheets/d/1ItG2mGa2ceCfYo0BwxsXqNm01IGEUdYcSSLTEv9YCik/edit?usp=sharing"",""เบิกจ่ายกองทุน!AK79"")"),168840)</f>
        <v>168840</v>
      </c>
      <c r="S99" s="47">
        <f ca="1">IFERROR(__xludf.DUMMYFUNCTION("IMPORTRANGE(""https://docs.google.com/spreadsheets/d/1ItG2mGa2ceCfYo0BwxsXqNm01IGEUdYcSSLTEv9YCik/edit?usp=sharing"",""เบิกจ่ายกองทุน!AL79"")"),107850)</f>
        <v>107850</v>
      </c>
      <c r="T99" s="47">
        <f ca="1">IF(Q99&gt;0,S99*100/Q99,0)</f>
        <v>63.877043354655292</v>
      </c>
      <c r="U99" s="47">
        <f ca="1">IF(R99&gt;0,S99*100/R99,0)</f>
        <v>63.877043354655292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IFERROR(__xludf.DUMMYFUNCTION("IMPORTRANGE(""https://docs.google.com/spreadsheets/d/1-uDff_7J0KD5mKrp0Vvzr7lt3OU09vwQwhkpOPPYv2Y/edit?usp=sharing"",""งบพรบ!AZ79"")"),0)</f>
        <v>0</v>
      </c>
      <c r="M102" s="47">
        <f ca="1">IFERROR(__xludf.DUMMYFUNCTION("IMPORTRANGE(""https://docs.google.com/spreadsheets/d/1-uDff_7J0KD5mKrp0Vvzr7lt3OU09vwQwhkpOPPYv2Y/edit?usp=sharing"",""งบพรบ!BC79"")"),0)</f>
        <v>0</v>
      </c>
      <c r="N102" s="47">
        <f ca="1">IFERROR(__xludf.DUMMYFUNCTION("IMPORTRANGE(""https://docs.google.com/spreadsheets/d/1-uDff_7J0KD5mKrp0Vvzr7lt3OU09vwQwhkpOPPYv2Y/edit?usp=sharing"",""งบพรบ!BE79"")"),0)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1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1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1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IFERROR(__xludf.DUMMYFUNCTION("IMPORTRANGE(""https://docs.google.com/spreadsheets/d/1eHaY18a8A9IcSdp1K8H6x8fbOy06t2VsZHhMHf-1x7Y/edit?usp=sharing"",""แผน!N79"")"),60)</f>
        <v>60</v>
      </c>
      <c r="J108" s="167">
        <v>60</v>
      </c>
      <c r="K108" s="47">
        <f ca="1">IF(I108&gt;0,J108*100/I108,0)</f>
        <v>100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IFERROR(__xludf.DUMMYFUNCTION("IMPORTRANGE(""https://docs.google.com/spreadsheets/d/1eHaY18a8A9IcSdp1K8H6x8fbOy06t2VsZHhMHf-1x7Y/edit?usp=sharing"",""แผน!O79"")"),20)</f>
        <v>20</v>
      </c>
      <c r="J109" s="167">
        <v>20</v>
      </c>
      <c r="K109" s="47">
        <f ca="1">IF(I109&gt;0,J109*100/I109,0)</f>
        <v>100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1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1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1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IFERROR(__xludf.DUMMYFUNCTION("IMPORTRANGE(""https://docs.google.com/spreadsheets/d/1eHaY18a8A9IcSdp1K8H6x8fbOy06t2VsZHhMHf-1x7Y/edit?usp=sharing"",""แผน!N79"")"),60)</f>
        <v>60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IFERROR(__xludf.DUMMYFUNCTION("IMPORTRANGE(""https://docs.google.com/spreadsheets/d/1eHaY18a8A9IcSdp1K8H6x8fbOy06t2VsZHhMHf-1x7Y/edit?usp=sharing"",""แผน!O79"")"),20)</f>
        <v>20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25</v>
      </c>
      <c r="J116" s="127">
        <f>J127</f>
        <v>15</v>
      </c>
      <c r="K116" s="35">
        <f ca="1">IF(I116&gt;0,J116*100/I116,0)</f>
        <v>60</v>
      </c>
      <c r="L116" s="58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9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229220</v>
      </c>
      <c r="R117" s="132">
        <f ca="1">R118+R119</f>
        <v>229220</v>
      </c>
      <c r="S117" s="132">
        <f ca="1">S118+S119</f>
        <v>120380</v>
      </c>
      <c r="T117" s="132">
        <f ca="1">IF(Q117&gt;0,S117*100/Q117,0)</f>
        <v>52.517232353197798</v>
      </c>
      <c r="U117" s="132">
        <f ca="1">IF(R117&gt;0,S117*100/R117,0)</f>
        <v>52.517232353197798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229220</v>
      </c>
      <c r="R119" s="47">
        <f ca="1">R122+R125</f>
        <v>229220</v>
      </c>
      <c r="S119" s="47">
        <f ca="1">S122+S125</f>
        <v>120380</v>
      </c>
      <c r="T119" s="47">
        <f ca="1">IF(Q119&gt;0,S119*100/Q119,0)</f>
        <v>52.517232353197798</v>
      </c>
      <c r="U119" s="47">
        <f ca="1">IF(R119&gt;0,S119*100/R119,0)</f>
        <v>52.517232353197798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229220</v>
      </c>
      <c r="R120" s="47">
        <f ca="1">R121+R122</f>
        <v>229220</v>
      </c>
      <c r="S120" s="47">
        <f ca="1">S121+S122</f>
        <v>120380</v>
      </c>
      <c r="T120" s="47">
        <f ca="1">IF(Q120&gt;0,S120*100/Q120,0)</f>
        <v>52.517232353197798</v>
      </c>
      <c r="U120" s="47">
        <f ca="1">IF(R120&gt;0,S120*100/R120,0)</f>
        <v>52.517232353197798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IFERROR(__xludf.DUMMYFUNCTION("IMPORTRANGE(""https://docs.google.com/spreadsheets/d/1-uDff_7J0KD5mKrp0Vvzr7lt3OU09vwQwhkpOPPYv2Y/edit?usp=sharing"",""งบพรบ!BG79"")"),0)</f>
        <v>0</v>
      </c>
      <c r="M122" s="47">
        <f ca="1">IFERROR(__xludf.DUMMYFUNCTION("IMPORTRANGE(""https://docs.google.com/spreadsheets/d/1-uDff_7J0KD5mKrp0Vvzr7lt3OU09vwQwhkpOPPYv2Y/edit?usp=sharing"",""งบพรบ!BL79"")"),0)</f>
        <v>0</v>
      </c>
      <c r="N122" s="47">
        <f ca="1">IFERROR(__xludf.DUMMYFUNCTION("IMPORTRANGE(""https://docs.google.com/spreadsheets/d/1-uDff_7J0KD5mKrp0Vvzr7lt3OU09vwQwhkpOPPYv2Y/edit?usp=sharing"",""งบพรบ!BN79"")"),0)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IFERROR(__xludf.DUMMYFUNCTION("IMPORTRANGE(""https://docs.google.com/spreadsheets/d/1ItG2mGa2ceCfYo0BwxsXqNm01IGEUdYcSSLTEv9YCik/edit?usp=sharing"",""เบิกจ่ายกองทุน!U79"")"),229220)</f>
        <v>229220</v>
      </c>
      <c r="R122" s="47">
        <f ca="1">IFERROR(__xludf.DUMMYFUNCTION("IMPORTRANGE(""https://docs.google.com/spreadsheets/d/1ItG2mGa2ceCfYo0BwxsXqNm01IGEUdYcSSLTEv9YCik/edit?usp=sharing"",""เบิกจ่ายกองทุน!V79"")"),229220)</f>
        <v>229220</v>
      </c>
      <c r="S122" s="47">
        <f ca="1">IFERROR(__xludf.DUMMYFUNCTION("IMPORTRANGE(""https://docs.google.com/spreadsheets/d/1ItG2mGa2ceCfYo0BwxsXqNm01IGEUdYcSSLTEv9YCik/edit?usp=sharing"",""เบิกจ่ายกองทุน!W79"")"),120380)</f>
        <v>120380</v>
      </c>
      <c r="T122" s="47">
        <f ca="1">IF(Q122&gt;0,S122*100/Q122,0)</f>
        <v>52.517232353197798</v>
      </c>
      <c r="U122" s="47">
        <f ca="1">IF(R122&gt;0,S122*100/R122,0)</f>
        <v>52.517232353197798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IFERROR(__xludf.DUMMYFUNCTION("IMPORTRANGE(""https://docs.google.com/spreadsheets/d/1-uDff_7J0KD5mKrp0Vvzr7lt3OU09vwQwhkpOPPYv2Y/edit?usp=sharing"",""งบพรบ!BJ79"")"),0)</f>
        <v>0</v>
      </c>
      <c r="M125" s="47">
        <f ca="1">IFERROR(__xludf.DUMMYFUNCTION("IMPORTRANGE(""https://docs.google.com/spreadsheets/d/1-uDff_7J0KD5mKrp0Vvzr7lt3OU09vwQwhkpOPPYv2Y/edit?usp=sharing"",""งบพรบ!BM79"")"),0)</f>
        <v>0</v>
      </c>
      <c r="N125" s="47">
        <f ca="1">IFERROR(__xludf.DUMMYFUNCTION("IMPORTRANGE(""https://docs.google.com/spreadsheets/d/1-uDff_7J0KD5mKrp0Vvzr7lt3OU09vwQwhkpOPPYv2Y/edit?usp=sharing"",""งบพรบ!BO79"")"),0)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IFERROR(__xludf.DUMMYFUNCTION("IMPORTRANGE(""https://docs.google.com/spreadsheets/d/1ItG2mGa2ceCfYo0BwxsXqNm01IGEUdYcSSLTEv9YCik/edit?usp=sharing"",""เบิกจ่ายกองทุน!X79"")"),0)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IFERROR(__xludf.DUMMYFUNCTION("IMPORTRANGE(""https://docs.google.com/spreadsheets/d/1ItG2mGa2ceCfYo0BwxsXqNm01IGEUdYcSSLTEv9YCik/edit?usp=sharing"",""เบิกจ่ายกองทุน!Y79"")"),0)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IFERROR(__xludf.DUMMYFUNCTION("IMPORTRANGE(""https://docs.google.com/spreadsheets/d/1ItG2mGa2ceCfYo0BwxsXqNm01IGEUdYcSSLTEv9YCik/edit?usp=sharing"",""เบิกจ่ายกองทุน!Z79"")"),0)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IFERROR(__xludf.DUMMYFUNCTION("IMPORTRANGE(""https://docs.google.com/spreadsheets/d/1eHaY18a8A9IcSdp1K8H6x8fbOy06t2VsZHhMHf-1x7Y/edit?usp=sharing"",""แผน!FF79"")"),25)</f>
        <v>25</v>
      </c>
      <c r="J127" s="167">
        <v>15</v>
      </c>
      <c r="K127" s="47">
        <f ca="1">IF(I127&gt;0,J127*100/I127,0)</f>
        <v>60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IFERROR(__xludf.DUMMYFUNCTION("IMPORTRANGE(""https://docs.google.com/spreadsheets/d/1eHaY18a8A9IcSdp1K8H6x8fbOy06t2VsZHhMHf-1x7Y/edit?usp=sharing"",""แผน!FG79"")"),0)</f>
        <v>0</v>
      </c>
      <c r="J128" s="167">
        <v>1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IFERROR(__xludf.DUMMYFUNCTION("IMPORTRANGE(""https://docs.google.com/spreadsheets/d/1eHaY18a8A9IcSdp1K8H6x8fbOy06t2VsZHhMHf-1x7Y/edit?usp=sharing"",""แผน!FH79"")"),25)</f>
        <v>25</v>
      </c>
      <c r="J129" s="167">
        <v>15</v>
      </c>
      <c r="K129" s="47">
        <f ca="1">IF(I129&gt;0,J129*100/I129,0)</f>
        <v>60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IFERROR(__xludf.DUMMYFUNCTION("IMPORTRANGE(""https://docs.google.com/spreadsheets/d/1eHaY18a8A9IcSdp1K8H6x8fbOy06t2VsZHhMHf-1x7Y/edit?usp=sharing"",""แผน!FI79"")"),0)</f>
        <v>0</v>
      </c>
      <c r="J130" s="167">
        <v>1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1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IFERROR(__xludf.DUMMYFUNCTION("IMPORTRANGE(""https://docs.google.com/spreadsheets/d/1-uDff_7J0KD5mKrp0Vvzr7lt3OU09vwQwhkpOPPYv2Y/edit?usp=sharing"",""งบพรบ!BQ79"")"),0)</f>
        <v>0</v>
      </c>
      <c r="M144" s="47">
        <f ca="1">IFERROR(__xludf.DUMMYFUNCTION("IMPORTRANGE(""https://docs.google.com/spreadsheets/d/1-uDff_7J0KD5mKrp0Vvzr7lt3OU09vwQwhkpOPPYv2Y/edit?usp=sharing"",""งบพรบ!BV79"")"),0)</f>
        <v>0</v>
      </c>
      <c r="N144" s="47">
        <f ca="1">IFERROR(__xludf.DUMMYFUNCTION("IMPORTRANGE(""https://docs.google.com/spreadsheets/d/1-uDff_7J0KD5mKrp0Vvzr7lt3OU09vwQwhkpOPPYv2Y/edit?usp=sharing"",""งบพรบ!BX79"")"),0)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IFERROR(__xludf.DUMMYFUNCTION("IMPORTRANGE(""https://docs.google.com/spreadsheets/d/1ItG2mGa2ceCfYo0BwxsXqNm01IGEUdYcSSLTEv9YCik/edit?usp=sharing"",""เบิกจ่ายกองทุน!CF79"")"),0)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IFERROR(__xludf.DUMMYFUNCTION("IMPORTRANGE(""https://docs.google.com/spreadsheets/d/1ItG2mGa2ceCfYo0BwxsXqNm01IGEUdYcSSLTEv9YCik/edit?usp=sharing"",""เบิกจ่ายกองทุน!CG79"")"),0)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IFERROR(__xludf.DUMMYFUNCTION("IMPORTRANGE(""https://docs.google.com/spreadsheets/d/1ItG2mGa2ceCfYo0BwxsXqNm01IGEUdYcSSLTEv9YCik/edit?usp=sharing"",""เบิกจ่ายกองทุน!CH79"")"),0)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IFERROR(__xludf.DUMMYFUNCTION("IMPORTRANGE(""https://docs.google.com/spreadsheets/d/1-uDff_7J0KD5mKrp0Vvzr7lt3OU09vwQwhkpOPPYv2Y/edit?usp=sharing"",""งบพรบ!BT79"")"),0)</f>
        <v>0</v>
      </c>
      <c r="M147" s="47">
        <f ca="1">IFERROR(__xludf.DUMMYFUNCTION("IMPORTRANGE(""https://docs.google.com/spreadsheets/d/1-uDff_7J0KD5mKrp0Vvzr7lt3OU09vwQwhkpOPPYv2Y/edit?usp=sharing"",""งบพรบ!BW79"")"),0)</f>
        <v>0</v>
      </c>
      <c r="N147" s="47">
        <f ca="1">IFERROR(__xludf.DUMMYFUNCTION("IMPORTRANGE(""https://docs.google.com/spreadsheets/d/1-uDff_7J0KD5mKrp0Vvzr7lt3OU09vwQwhkpOPPYv2Y/edit?usp=sharing"",""งบพรบ!BY79"")"),0)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IFERROR(__xludf.DUMMYFUNCTION("IMPORTRANGE(""https://docs.google.com/spreadsheets/d/1ItG2mGa2ceCfYo0BwxsXqNm01IGEUdYcSSLTEv9YCik/edit?usp=sharing"",""เบิกจ่ายกองทุน!CI79"")"),0)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IFERROR(__xludf.DUMMYFUNCTION("IMPORTRANGE(""https://docs.google.com/spreadsheets/d/1ItG2mGa2ceCfYo0BwxsXqNm01IGEUdYcSSLTEv9YCik/edit?usp=sharing"",""เบิกจ่ายกองทุน!CJ79"")"),0)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IFERROR(__xludf.DUMMYFUNCTION("IMPORTRANGE(""https://docs.google.com/spreadsheets/d/1ItG2mGa2ceCfYo0BwxsXqNm01IGEUdYcSSLTEv9YCik/edit?usp=sharing"",""เบิกจ่ายกองทุน!CK79"")"),0)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IFERROR(__xludf.DUMMYFUNCTION("IMPORTRANGE(""https://docs.google.com/spreadsheets/d/1eHaY18a8A9IcSdp1K8H6x8fbOy06t2VsZHhMHf-1x7Y/edit?usp=sharing"",""แผน!U79"")"),0)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IFERROR(__xludf.DUMMYFUNCTION("IMPORTRANGE(""https://docs.google.com/spreadsheets/d/1eHaY18a8A9IcSdp1K8H6x8fbOy06t2VsZHhMHf-1x7Y/edit?usp=sharing"",""แผน!V79"")"),0)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IFERROR(__xludf.DUMMYFUNCTION("IMPORTRANGE(""https://docs.google.com/spreadsheets/d/1eHaY18a8A9IcSdp1K8H6x8fbOy06t2VsZHhMHf-1x7Y/edit?usp=sharing"",""แผน!W79"")"),0)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IFERROR(__xludf.DUMMYFUNCTION("IMPORTRANGE(""https://docs.google.com/spreadsheets/d/1eHaY18a8A9IcSdp1K8H6x8fbOy06t2VsZHhMHf-1x7Y/edit?usp=sharing"",""แผน!X79"")"),0)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IFERROR(__xludf.DUMMYFUNCTION("IMPORTRANGE(""https://docs.google.com/spreadsheets/d/1eHaY18a8A9IcSdp1K8H6x8fbOy06t2VsZHhMHf-1x7Y/edit?usp=sharing"",""แผน!Y79"")"),0)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IFERROR(__xludf.DUMMYFUNCTION("IMPORTRANGE(""https://docs.google.com/spreadsheets/d/1-uDff_7J0KD5mKrp0Vvzr7lt3OU09vwQwhkpOPPYv2Y/edit?usp=sharing"",""งบพรบ!CA79"")"),0)</f>
        <v>0</v>
      </c>
      <c r="M162" s="47">
        <f ca="1">IFERROR(__xludf.DUMMYFUNCTION("IMPORTRANGE(""https://docs.google.com/spreadsheets/d/1-uDff_7J0KD5mKrp0Vvzr7lt3OU09vwQwhkpOPPYv2Y/edit?usp=sharing"",""งบพรบ!CF79"")"),0)</f>
        <v>0</v>
      </c>
      <c r="N162" s="47">
        <f ca="1">IFERROR(__xludf.DUMMYFUNCTION("IMPORTRANGE(""https://docs.google.com/spreadsheets/d/1-uDff_7J0KD5mKrp0Vvzr7lt3OU09vwQwhkpOPPYv2Y/edit?usp=sharing"",""งบพรบ!CH79"")"),0)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IFERROR(__xludf.DUMMYFUNCTION("IMPORTRANGE(""https://docs.google.com/spreadsheets/d/1ItG2mGa2ceCfYo0BwxsXqNm01IGEUdYcSSLTEv9YCik/edit?usp=sharing"",""เบิกจ่ายกองทุน!AM79"")"),0)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IFERROR(__xludf.DUMMYFUNCTION("IMPORTRANGE(""https://docs.google.com/spreadsheets/d/1ItG2mGa2ceCfYo0BwxsXqNm01IGEUdYcSSLTEv9YCik/edit?usp=sharing"",""เบิกจ่ายกองทุน!AN79"")"),0)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IFERROR(__xludf.DUMMYFUNCTION("IMPORTRANGE(""https://docs.google.com/spreadsheets/d/1ItG2mGa2ceCfYo0BwxsXqNm01IGEUdYcSSLTEv9YCik/edit?usp=sharing"",""เบิกจ่ายกองทุน!AO79"")"),0)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IFERROR(__xludf.DUMMYFUNCTION("IMPORTRANGE(""https://docs.google.com/spreadsheets/d/1-uDff_7J0KD5mKrp0Vvzr7lt3OU09vwQwhkpOPPYv2Y/edit?usp=sharing"",""งบพรบ!CD79"")"),0)</f>
        <v>0</v>
      </c>
      <c r="M165" s="47">
        <f ca="1">IFERROR(__xludf.DUMMYFUNCTION("IMPORTRANGE(""https://docs.google.com/spreadsheets/d/1-uDff_7J0KD5mKrp0Vvzr7lt3OU09vwQwhkpOPPYv2Y/edit?usp=sharing"",""งบพรบ!CG79"")"),0)</f>
        <v>0</v>
      </c>
      <c r="N165" s="47">
        <f ca="1">IFERROR(__xludf.DUMMYFUNCTION("IMPORTRANGE(""https://docs.google.com/spreadsheets/d/1-uDff_7J0KD5mKrp0Vvzr7lt3OU09vwQwhkpOPPYv2Y/edit?usp=sharing"",""งบพรบ!CI79"")"),0)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IFERROR(__xludf.DUMMYFUNCTION("IMPORTRANGE(""https://docs.google.com/spreadsheets/d/1eHaY18a8A9IcSdp1K8H6x8fbOy06t2VsZHhMHf-1x7Y/edit?usp=sharing"",""แผน!Z79"")"),0)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IFERROR(__xludf.DUMMYFUNCTION("IMPORTRANGE(""https://docs.google.com/spreadsheets/d/1eHaY18a8A9IcSdp1K8H6x8fbOy06t2VsZHhMHf-1x7Y/edit?usp=sharing"",""แผน!Z79"")"),0)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IFERROR(__xludf.DUMMYFUNCTION("IMPORTRANGE(""https://docs.google.com/spreadsheets/d/1eHaY18a8A9IcSdp1K8H6x8fbOy06t2VsZHhMHf-1x7Y/edit?usp=sharing"",""แผน!Z79"")"),0)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9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41440</v>
      </c>
      <c r="N173" s="132">
        <f ca="1">N174+N175</f>
        <v>41440</v>
      </c>
      <c r="O173" s="132">
        <f ca="1">IF(L173&gt;0,N173*100/L173,0)</f>
        <v>211.53649821337416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41440</v>
      </c>
      <c r="N175" s="47">
        <f ca="1">N178+N181</f>
        <v>41440</v>
      </c>
      <c r="O175" s="47">
        <f ca="1">IF(L175&gt;0,N175*100/L175,0)</f>
        <v>211.53649821337416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41440</v>
      </c>
      <c r="N176" s="47">
        <f ca="1">N177+N178</f>
        <v>41440</v>
      </c>
      <c r="O176" s="47">
        <f ca="1">IF(L176&gt;0,N176*100/L176,0)</f>
        <v>211.53649821337416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IFERROR(__xludf.DUMMYFUNCTION("IMPORTRANGE(""https://docs.google.com/spreadsheets/d/1-uDff_7J0KD5mKrp0Vvzr7lt3OU09vwQwhkpOPPYv2Y/edit?usp=sharing"",""งบพรบ!CK79"")"),19590)</f>
        <v>19590</v>
      </c>
      <c r="M178" s="47">
        <f ca="1">IFERROR(__xludf.DUMMYFUNCTION("IMPORTRANGE(""https://docs.google.com/spreadsheets/d/1-uDff_7J0KD5mKrp0Vvzr7lt3OU09vwQwhkpOPPYv2Y/edit?usp=sharing"",""งบพรบ!CP79"")"),41440)</f>
        <v>41440</v>
      </c>
      <c r="N178" s="47">
        <f ca="1">IFERROR(__xludf.DUMMYFUNCTION("IMPORTRANGE(""https://docs.google.com/spreadsheets/d/1-uDff_7J0KD5mKrp0Vvzr7lt3OU09vwQwhkpOPPYv2Y/edit?usp=sharing"",""งบพรบ!CR79"")"),41440)</f>
        <v>41440</v>
      </c>
      <c r="O178" s="47">
        <f ca="1">IF(L178&gt;0,N178*100/L178,0)</f>
        <v>211.53649821337416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IFERROR(__xludf.DUMMYFUNCTION("IMPORTRANGE(""https://docs.google.com/spreadsheets/d/1ItG2mGa2ceCfYo0BwxsXqNm01IGEUdYcSSLTEv9YCik/edit?usp=sharing"",""เบิกจ่ายกองทุน!DG79"")"),0)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IFERROR(__xludf.DUMMYFUNCTION("IMPORTRANGE(""https://docs.google.com/spreadsheets/d/1ItG2mGa2ceCfYo0BwxsXqNm01IGEUdYcSSLTEv9YCik/edit?usp=sharing"",""เบิกจ่ายกองทุน!DH79"")"),0)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IFERROR(__xludf.DUMMYFUNCTION("IMPORTRANGE(""https://docs.google.com/spreadsheets/d/1ItG2mGa2ceCfYo0BwxsXqNm01IGEUdYcSSLTEv9YCik/edit?usp=sharing"",""เบิกจ่ายกองทุน!DI79"")"),0)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IFERROR(__xludf.DUMMYFUNCTION("IMPORTRANGE(""https://docs.google.com/spreadsheets/d/1-uDff_7J0KD5mKrp0Vvzr7lt3OU09vwQwhkpOPPYv2Y/edit?usp=sharing"",""งบพรบ!CN79"")"),0)</f>
        <v>0</v>
      </c>
      <c r="M181" s="47">
        <f ca="1">IFERROR(__xludf.DUMMYFUNCTION("IMPORTRANGE(""https://docs.google.com/spreadsheets/d/1-uDff_7J0KD5mKrp0Vvzr7lt3OU09vwQwhkpOPPYv2Y/edit?usp=sharing"",""งบพรบ!CQ79"")"),0)</f>
        <v>0</v>
      </c>
      <c r="N181" s="47">
        <f ca="1">IFERROR(__xludf.DUMMYFUNCTION("IMPORTRANGE(""https://docs.google.com/spreadsheets/d/1-uDff_7J0KD5mKrp0Vvzr7lt3OU09vwQwhkpOPPYv2Y/edit?usp=sharing"",""งบพรบ!CS79"")"),0)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IFERROR(__xludf.DUMMYFUNCTION("IMPORTRANGE(""https://docs.google.com/spreadsheets/d/1eHaY18a8A9IcSdp1K8H6x8fbOy06t2VsZHhMHf-1x7Y/edit?usp=sharing"",""แผน!AA79"")"),7)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9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89900</v>
      </c>
      <c r="M186" s="132">
        <f ca="1">M187+M188</f>
        <v>89900</v>
      </c>
      <c r="N186" s="132">
        <f ca="1">N187+N188</f>
        <v>79802.039999999994</v>
      </c>
      <c r="O186" s="132">
        <f ca="1">IF(L186&gt;0,N186*100/L186,0)</f>
        <v>88.767563959955496</v>
      </c>
      <c r="P186" s="132">
        <f ca="1">IF(M186&gt;0,N186*100/M186,0)</f>
        <v>88.767563959955496</v>
      </c>
      <c r="Q186" s="132">
        <f ca="1">Q187+Q188</f>
        <v>0</v>
      </c>
      <c r="R186" s="132">
        <f ca="1">R187+R188</f>
        <v>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89900</v>
      </c>
      <c r="M188" s="47">
        <f ca="1">M191+M194</f>
        <v>89900</v>
      </c>
      <c r="N188" s="47">
        <f ca="1">N191+N194</f>
        <v>79802.039999999994</v>
      </c>
      <c r="O188" s="47">
        <f ca="1">IF(L188&gt;0,N188*100/L188,0)</f>
        <v>88.767563959955496</v>
      </c>
      <c r="P188" s="47">
        <f ca="1">IF(M188&gt;0,N188*100/M188,0)</f>
        <v>88.767563959955496</v>
      </c>
      <c r="Q188" s="47">
        <f ca="1">Q191+Q194</f>
        <v>0</v>
      </c>
      <c r="R188" s="47">
        <f ca="1">R191+R194</f>
        <v>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89900</v>
      </c>
      <c r="M189" s="47">
        <f ca="1">M190+M191</f>
        <v>89900</v>
      </c>
      <c r="N189" s="47">
        <f ca="1">N190+N191</f>
        <v>79802.039999999994</v>
      </c>
      <c r="O189" s="47">
        <f ca="1">IF(L189&gt;0,N189*100/L189,0)</f>
        <v>88.767563959955496</v>
      </c>
      <c r="P189" s="47">
        <f ca="1">IF(M189&gt;0,N189*100/M189,0)</f>
        <v>88.767563959955496</v>
      </c>
      <c r="Q189" s="47">
        <f ca="1">Q190+Q191</f>
        <v>0</v>
      </c>
      <c r="R189" s="47">
        <f ca="1">R190+R191</f>
        <v>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IFERROR(__xludf.DUMMYFUNCTION("IMPORTRANGE(""https://docs.google.com/spreadsheets/d/1-uDff_7J0KD5mKrp0Vvzr7lt3OU09vwQwhkpOPPYv2Y/edit?usp=sharing"",""งบพรบ!CU79"")"),89900)</f>
        <v>89900</v>
      </c>
      <c r="M191" s="47">
        <f ca="1">IFERROR(__xludf.DUMMYFUNCTION("IMPORTRANGE(""https://docs.google.com/spreadsheets/d/1-uDff_7J0KD5mKrp0Vvzr7lt3OU09vwQwhkpOPPYv2Y/edit?usp=sharing"",""งบพรบ!CZ79"")"),89900)</f>
        <v>89900</v>
      </c>
      <c r="N191" s="47">
        <f ca="1">IFERROR(__xludf.DUMMYFUNCTION("IMPORTRANGE(""https://docs.google.com/spreadsheets/d/1-uDff_7J0KD5mKrp0Vvzr7lt3OU09vwQwhkpOPPYv2Y/edit?usp=sharing"",""งบพรบ!DB79"")"),79802.04)</f>
        <v>79802.039999999994</v>
      </c>
      <c r="O191" s="47">
        <f ca="1">IF(L191&gt;0,N191*100/L191,0)</f>
        <v>88.767563959955496</v>
      </c>
      <c r="P191" s="47">
        <f ca="1">IF(M191&gt;0,N191*100/M191,0)</f>
        <v>88.767563959955496</v>
      </c>
      <c r="Q191" s="47">
        <f ca="1">IFERROR(__xludf.DUMMYFUNCTION("IMPORTRANGE(""https://docs.google.com/spreadsheets/d/1ItG2mGa2ceCfYo0BwxsXqNm01IGEUdYcSSLTEv9YCik/edit?usp=sharing"",""เบิกจ่ายกองทุน!BQ79"")"),0)</f>
        <v>0</v>
      </c>
      <c r="R191" s="47">
        <f ca="1">IFERROR(__xludf.DUMMYFUNCTION("IMPORTRANGE(""https://docs.google.com/spreadsheets/d/1ItG2mGa2ceCfYo0BwxsXqNm01IGEUdYcSSLTEv9YCik/edit?usp=sharing"",""เบิกจ่ายกองทุน!BR79"")"),0)</f>
        <v>0</v>
      </c>
      <c r="S191" s="47">
        <f ca="1">IFERROR(__xludf.DUMMYFUNCTION("IMPORTRANGE(""https://docs.google.com/spreadsheets/d/1ItG2mGa2ceCfYo0BwxsXqNm01IGEUdYcSSLTEv9YCik/edit?usp=sharing"",""เบิกจ่ายกองทุน!BS79"")"),0)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IFERROR(__xludf.DUMMYFUNCTION("IMPORTRANGE(""https://docs.google.com/spreadsheets/d/1-uDff_7J0KD5mKrp0Vvzr7lt3OU09vwQwhkpOPPYv2Y/edit?usp=sharing"",""งบพรบ!CX79"")"),0)</f>
        <v>0</v>
      </c>
      <c r="M194" s="47">
        <f ca="1">IFERROR(__xludf.DUMMYFUNCTION("IMPORTRANGE(""https://docs.google.com/spreadsheets/d/1-uDff_7J0KD5mKrp0Vvzr7lt3OU09vwQwhkpOPPYv2Y/edit?usp=sharing"",""งบพรบ!DA79"")"),0)</f>
        <v>0</v>
      </c>
      <c r="N194" s="47">
        <f ca="1">IFERROR(__xludf.DUMMYFUNCTION("IMPORTRANGE(""https://docs.google.com/spreadsheets/d/1-uDff_7J0KD5mKrp0Vvzr7lt3OU09vwQwhkpOPPYv2Y/edit?usp=sharing"",""งบพรบ!DC79"")"),0)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IFERROR(__xludf.DUMMYFUNCTION("IMPORTRANGE(""https://docs.google.com/spreadsheets/d/1ItG2mGa2ceCfYo0BwxsXqNm01IGEUdYcSSLTEv9YCik/edit?usp=sharing"",""เบิกจ่ายกองทุน!BT79"")"),0)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IFERROR(__xludf.DUMMYFUNCTION("IMPORTRANGE(""https://docs.google.com/spreadsheets/d/1ItG2mGa2ceCfYo0BwxsXqNm01IGEUdYcSSLTEv9YCik/edit?usp=sharing"",""เบิกจ่ายกองทุน!BU79"")"),0)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IFERROR(__xludf.DUMMYFUNCTION("IMPORTRANGE(""https://docs.google.com/spreadsheets/d/1ItG2mGa2ceCfYo0BwxsXqNm01IGEUdYcSSLTEv9YCik/edit?usp=sharing"",""เบิกจ่ายกองทุน!BV79"")"),0)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7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IFERROR(__xludf.DUMMYFUNCTION("IMPORTRANGE(""https://docs.google.com/spreadsheets/d/1eHaY18a8A9IcSdp1K8H6x8fbOy06t2VsZHhMHf-1x7Y/edit?usp=sharing"",""แผน!AB79"")"),6000)</f>
        <v>6000</v>
      </c>
      <c r="M196" s="46"/>
      <c r="N196" s="769">
        <v>4000</v>
      </c>
      <c r="O196" s="132">
        <f ca="1">IF(L196&gt;0,N196*100/L196,0)</f>
        <v>66.666666666666671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IFERROR(__xludf.DUMMYFUNCTION("IMPORTRANGE(""https://docs.google.com/spreadsheets/d/1eHaY18a8A9IcSdp1K8H6x8fbOy06t2VsZHhMHf-1x7Y/edit?usp=sharing"",""แผน!AE79"")"),4)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237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237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hidden="1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0</v>
      </c>
      <c r="J202" s="228">
        <f>J209</f>
        <v>0</v>
      </c>
      <c r="K202" s="229">
        <f ca="1">IF(I202&gt;0,J202*100/I202,0)</f>
        <v>0</v>
      </c>
      <c r="L202" s="687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hidden="1" x14ac:dyDescent="0.3">
      <c r="A203" s="128"/>
      <c r="B203" s="41"/>
      <c r="C203" s="129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 t="e">
        <f ca="1">L204+L205+L206+L207</f>
        <v>#VALUE!</v>
      </c>
      <c r="M203" s="46"/>
      <c r="N203" s="132">
        <f>N204+N205+N206+N207</f>
        <v>0</v>
      </c>
      <c r="O203" s="132" t="e">
        <f ca="1">IF(L203&gt;0,N203*100/L203,0)</f>
        <v>#VALUE!</v>
      </c>
      <c r="P203" s="132">
        <f>IF(M203&gt;0,N203*100/M203,0)</f>
        <v>0</v>
      </c>
      <c r="Q203" s="768">
        <f ca="1">Q204+Q205+Q206+Q207</f>
        <v>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hidden="1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IFERROR(__xludf.DUMMYFUNCTION("IMPORTRANGE(""https://docs.google.com/spreadsheets/d/1eHaY18a8A9IcSdp1K8H6x8fbOy06t2VsZHhMHf-1x7Y/edit?usp=sharing"",""แผน!AG79"")"),0)</f>
        <v>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hidden="1" x14ac:dyDescent="0.25">
      <c r="A205" s="217"/>
      <c r="B205" s="159"/>
      <c r="C205" s="41"/>
      <c r="D205" s="48" t="s">
        <v>87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IFERROR(__xludf.DUMMYFUNCTION("IMPORTRANGE(""https://docs.google.com/spreadsheets/d/1eHaY18a8A9IcSdp1K8H6x8fbOy06t2VsZHhMHf-1x7Y/edit?usp=sharing"",""แผน!AH79"")"),0)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hidden="1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 t="str">
        <f ca="1">IFERROR(__xludf.DUMMYFUNCTION("IMPORTRANGE(""https://docs.google.com/spreadsheets/d/1eHaY18a8A9IcSdp1K8H6x8fbOy06t2VsZHhMHf-1x7Y/edit?usp=sharing"",""แผน!AI79"")"),"")</f>
        <v/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IFERROR(__xludf.DUMMYFUNCTION("IMPORTRANGE(""https://docs.google.com/spreadsheets/d/1eHaY18a8A9IcSdp1K8H6x8fbOy06t2VsZHhMHf-1x7Y/edit?usp=sharing"",""แผน!LV79"")"),0)</f>
        <v>0</v>
      </c>
      <c r="R206" s="46"/>
      <c r="S206" s="743">
        <v>0</v>
      </c>
      <c r="T206" s="136"/>
      <c r="U206" s="46"/>
    </row>
    <row r="207" spans="1:21" ht="18.75" hidden="1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IFERROR(__xludf.DUMMYFUNCTION("IMPORTRANGE(""https://docs.google.com/spreadsheets/d/1eHaY18a8A9IcSdp1K8H6x8fbOy06t2VsZHhMHf-1x7Y/edit?usp=sharing"",""แผน!AJ79"")"),0)</f>
        <v>0</v>
      </c>
      <c r="M207" s="46"/>
      <c r="N207" s="743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hidden="1" x14ac:dyDescent="0.3">
      <c r="A208" s="138"/>
      <c r="B208" s="139"/>
      <c r="C208" s="129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hidden="1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IFERROR(__xludf.DUMMYFUNCTION("IMPORTRANGE(""https://docs.google.com/spreadsheets/d/1eHaY18a8A9IcSdp1K8H6x8fbOy06t2VsZHhMHf-1x7Y/edit?usp=sharing"",""แผน!AK79"")"),0)</f>
        <v>0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hidden="1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hidden="1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IFERROR(__xludf.DUMMYFUNCTION("IMPORTRANGE(""https://docs.google.com/spreadsheets/d/1eHaY18a8A9IcSdp1K8H6x8fbOy06t2VsZHhMHf-1x7Y/edit?usp=sharing"",""แผน!AK79"")"),0)</f>
        <v>0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hidden="1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IFERROR(__xludf.DUMMYFUNCTION("IMPORTRANGE(""https://docs.google.com/spreadsheets/d/1eHaY18a8A9IcSdp1K8H6x8fbOy06t2VsZHhMHf-1x7Y/edit?usp=sharing"",""แผน!AK79"")"),0)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7"/>
      <c r="M213" s="230"/>
      <c r="N213" s="230"/>
      <c r="O213" s="230"/>
      <c r="P213" s="230"/>
      <c r="Q213" s="687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IFERROR(__xludf.DUMMYFUNCTION("IMPORTRANGE(""https://docs.google.com/spreadsheets/d/1eHaY18a8A9IcSdp1K8H6x8fbOy06t2VsZHhMHf-1x7Y/edit?usp=sharing"",""แผน!AM79"")"),0)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IFERROR(__xludf.DUMMYFUNCTION("IMPORTRANGE(""https://docs.google.com/spreadsheets/d/1eHaY18a8A9IcSdp1K8H6x8fbOy06t2VsZHhMHf-1x7Y/edit?usp=sharing"",""แผน!AN79"")"),0)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IFERROR(__xludf.DUMMYFUNCTION("IMPORTRANGE(""https://docs.google.com/spreadsheets/d/1eHaY18a8A9IcSdp1K8H6x8fbOy06t2VsZHhMHf-1x7Y/edit?usp=sharing"",""แผน!AO79"")"),0)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IFERROR(__xludf.DUMMYFUNCTION("IMPORTRANGE(""https://docs.google.com/spreadsheets/d/1eHaY18a8A9IcSdp1K8H6x8fbOy06t2VsZHhMHf-1x7Y/edit?usp=sharing"",""แผน!LY79"")"),0)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IFERROR(__xludf.DUMMYFUNCTION("IMPORTRANGE(""https://docs.google.com/spreadsheets/d/1eHaY18a8A9IcSdp1K8H6x8fbOy06t2VsZHhMHf-1x7Y/edit?usp=sharing"",""แผน!JX79"")"),0)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IFERROR(__xludf.DUMMYFUNCTION("IMPORTRANGE(""https://docs.google.com/spreadsheets/d/1eHaY18a8A9IcSdp1K8H6x8fbOy06t2VsZHhMHf-1x7Y/edit?usp=sharing"",""แผน!JY79"")"),0)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0</v>
      </c>
      <c r="K221" s="229">
        <f ca="1">IF(I221&gt;0,J221*100/I221,0)</f>
        <v>0</v>
      </c>
      <c r="L221" s="687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IFERROR(__xludf.DUMMYFUNCTION("IMPORTRANGE(""https://docs.google.com/spreadsheets/d/1eHaY18a8A9IcSdp1K8H6x8fbOy06t2VsZHhMHf-1x7Y/edit?usp=sharing"",""แผน!AR79"")"),3000)</f>
        <v>3000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IFERROR(__xludf.DUMMYFUNCTION("IMPORTRANGE(""https://docs.google.com/spreadsheets/d/1eHaY18a8A9IcSdp1K8H6x8fbOy06t2VsZHhMHf-1x7Y/edit?usp=sharing"",""แผน!AS79"")"),1500)</f>
        <v>1500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IFERROR(__xludf.DUMMYFUNCTION("IMPORTRANGE(""https://docs.google.com/spreadsheets/d/1eHaY18a8A9IcSdp1K8H6x8fbOy06t2VsZHhMHf-1x7Y/edit?usp=sharing"",""แผน!AT79"")"),0)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IFERROR(__xludf.DUMMYFUNCTION("IMPORTRANGE(""https://docs.google.com/spreadsheets/d/1eHaY18a8A9IcSdp1K8H6x8fbOy06t2VsZHhMHf-1x7Y/edit?usp=sharing"",""แผน!AV79"")"),10000)</f>
        <v>10000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IFERROR(__xludf.DUMMYFUNCTION("IMPORTRANGE(""https://docs.google.com/spreadsheets/d/1eHaY18a8A9IcSdp1K8H6x8fbOy06t2VsZHhMHf-1x7Y/edit?usp=sharing"",""แผน!AV79"")"),10000)</f>
        <v>10000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IFERROR(__xludf.DUMMYFUNCTION("IMPORTRANGE(""https://docs.google.com/spreadsheets/d/1eHaY18a8A9IcSdp1K8H6x8fbOy06t2VsZHhMHf-1x7Y/edit?usp=sharing"",""แผน!AU79"")"),0)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7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1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7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IFERROR(__xludf.DUMMYFUNCTION("IMPORTRANGE(""https://docs.google.com/spreadsheets/d/1eHaY18a8A9IcSdp1K8H6x8fbOy06t2VsZHhMHf-1x7Y/edit?usp=sharing"",""แผน!AX79"")"),0)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IFERROR(__xludf.DUMMYFUNCTION("IMPORTRANGE(""https://docs.google.com/spreadsheets/d/1eHaY18a8A9IcSdp1K8H6x8fbOy06t2VsZHhMHf-1x7Y/edit?usp=sharing"",""แผน!AY79"")"),0)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IFERROR(__xludf.DUMMYFUNCTION("IMPORTRANGE(""https://docs.google.com/spreadsheets/d/1eHaY18a8A9IcSdp1K8H6x8fbOy06t2VsZHhMHf-1x7Y/edit?usp=sharing"",""แผน!AZ79"")"),0)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IFERROR(__xludf.DUMMYFUNCTION("IMPORTRANGE(""https://docs.google.com/spreadsheets/d/1eHaY18a8A9IcSdp1K8H6x8fbOy06t2VsZHhMHf-1x7Y/edit?usp=sharing"",""แผน!BA79"")"),0)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1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IFERROR(__xludf.DUMMYFUNCTION("IMPORTRANGE(""https://docs.google.com/spreadsheets/d/1eHaY18a8A9IcSdp1K8H6x8fbOy06t2VsZHhMHf-1x7Y/edit?usp=sharing"",""แผน!BG79"")"),0)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7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IFERROR(__xludf.DUMMYFUNCTION("IMPORTRANGE(""https://docs.google.com/spreadsheets/d/1eHaY18a8A9IcSdp1K8H6x8fbOy06t2VsZHhMHf-1x7Y/edit?usp=sharing"",""แผน!BB79"")"),0)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IFERROR(__xludf.DUMMYFUNCTION("IMPORTRANGE(""https://docs.google.com/spreadsheets/d/1eHaY18a8A9IcSdp1K8H6x8fbOy06t2VsZHhMHf-1x7Y/edit?usp=sharing"",""แผน!BC79"")"),0)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IFERROR(__xludf.DUMMYFUNCTION("IMPORTRANGE(""https://docs.google.com/spreadsheets/d/1eHaY18a8A9IcSdp1K8H6x8fbOy06t2VsZHhMHf-1x7Y/edit?usp=sharing"",""แผน!BD79"")"),0)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IFERROR(__xludf.DUMMYFUNCTION("IMPORTRANGE(""https://docs.google.com/spreadsheets/d/1eHaY18a8A9IcSdp1K8H6x8fbOy06t2VsZHhMHf-1x7Y/edit?usp=sharing"",""แผน!BE79"")"),0)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1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IFERROR(__xludf.DUMMYFUNCTION("IMPORTRANGE(""https://docs.google.com/spreadsheets/d/1eHaY18a8A9IcSdp1K8H6x8fbOy06t2VsZHhMHf-1x7Y/edit?usp=sharing"",""แผน!BH79"")"),0)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20</v>
      </c>
      <c r="J265" s="726">
        <f>J276</f>
        <v>0</v>
      </c>
      <c r="K265" s="725">
        <f ca="1">IF(I265&gt;0,J265*100/I265,0)</f>
        <v>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618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5000</v>
      </c>
      <c r="O266" s="421">
        <f ca="1">IF(L266&gt;0,N266*100/L266,0)</f>
        <v>100</v>
      </c>
      <c r="P266" s="421">
        <f ca="1">IF(M266&gt;0,N266*100/M266,0)</f>
        <v>100</v>
      </c>
      <c r="Q266" s="421">
        <f ca="1">Q267+Q268</f>
        <v>47880</v>
      </c>
      <c r="R266" s="421">
        <f ca="1">R267+R268</f>
        <v>47880</v>
      </c>
      <c r="S266" s="421">
        <f ca="1">S267+S268</f>
        <v>2110</v>
      </c>
      <c r="T266" s="421">
        <f ca="1">IF(Q266&gt;0,S266*100/Q266,0)</f>
        <v>4.4068504594820386</v>
      </c>
      <c r="U266" s="421">
        <f ca="1">IF(R266&gt;0,S266*100/R266,0)</f>
        <v>4.4068504594820386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5000</v>
      </c>
      <c r="O268" s="331">
        <f ca="1">IF(L268&gt;0,N268*100/L268,0)</f>
        <v>100</v>
      </c>
      <c r="P268" s="331">
        <f ca="1">IF(M268&gt;0,N268*100/M268,0)</f>
        <v>100</v>
      </c>
      <c r="Q268" s="331">
        <f ca="1">Q271+Q274</f>
        <v>47880</v>
      </c>
      <c r="R268" s="331">
        <f ca="1">R271+R274</f>
        <v>47880</v>
      </c>
      <c r="S268" s="331">
        <f ca="1">S271+S274</f>
        <v>2110</v>
      </c>
      <c r="T268" s="331">
        <f ca="1">IF(Q268&gt;0,S268*100/Q268,0)</f>
        <v>4.4068504594820386</v>
      </c>
      <c r="U268" s="331">
        <f ca="1">IF(R268&gt;0,S268*100/R268,0)</f>
        <v>4.4068504594820386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5000</v>
      </c>
      <c r="O269" s="331">
        <f ca="1">IF(L269&gt;0,N269*100/L269,0)</f>
        <v>100</v>
      </c>
      <c r="P269" s="331">
        <f ca="1">IF(M269&gt;0,N269*100/M269,0)</f>
        <v>100</v>
      </c>
      <c r="Q269" s="331">
        <f ca="1">Q270+Q271</f>
        <v>47880</v>
      </c>
      <c r="R269" s="331">
        <f ca="1">R270+R271</f>
        <v>47880</v>
      </c>
      <c r="S269" s="331">
        <f ca="1">S270+S271</f>
        <v>2110</v>
      </c>
      <c r="T269" s="331">
        <f ca="1">IF(Q269&gt;0,S269*100/Q269,0)</f>
        <v>4.4068504594820386</v>
      </c>
      <c r="U269" s="331">
        <f ca="1">IF(R269&gt;0,S269*100/R269,0)</f>
        <v>4.4068504594820386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IFERROR(__xludf.DUMMYFUNCTION("IMPORTRANGE(""https://docs.google.com/spreadsheets/d/1-uDff_7J0KD5mKrp0Vvzr7lt3OU09vwQwhkpOPPYv2Y/edit?usp=sharing"",""งบพรบ!DE79"")"),5000)</f>
        <v>5000</v>
      </c>
      <c r="M271" s="331">
        <f ca="1">IFERROR(__xludf.DUMMYFUNCTION("IMPORTRANGE(""https://docs.google.com/spreadsheets/d/1-uDff_7J0KD5mKrp0Vvzr7lt3OU09vwQwhkpOPPYv2Y/edit?usp=sharing"",""งบพรบ!DJ79"")"),5000)</f>
        <v>5000</v>
      </c>
      <c r="N271" s="331">
        <f ca="1">IFERROR(__xludf.DUMMYFUNCTION("IMPORTRANGE(""https://docs.google.com/spreadsheets/d/1-uDff_7J0KD5mKrp0Vvzr7lt3OU09vwQwhkpOPPYv2Y/edit?usp=sharing"",""งบพรบ!DL79"")"),5000)</f>
        <v>5000</v>
      </c>
      <c r="O271" s="331">
        <f ca="1">IF(L271&gt;0,N271*100/L271,0)</f>
        <v>100</v>
      </c>
      <c r="P271" s="331">
        <f ca="1">IF(M271&gt;0,N271*100/M271,0)</f>
        <v>100</v>
      </c>
      <c r="Q271" s="331">
        <f ca="1">IFERROR(__xludf.DUMMYFUNCTION("IMPORTRANGE(""https://docs.google.com/spreadsheets/d/1ItG2mGa2ceCfYo0BwxsXqNm01IGEUdYcSSLTEv9YCik/edit?usp=sharing"",""เบิกจ่ายกองทุน!AP79"")"),47880)</f>
        <v>47880</v>
      </c>
      <c r="R271" s="331">
        <f ca="1">IFERROR(__xludf.DUMMYFUNCTION("IMPORTRANGE(""https://docs.google.com/spreadsheets/d/1ItG2mGa2ceCfYo0BwxsXqNm01IGEUdYcSSLTEv9YCik/edit?usp=sharing"",""เบิกจ่ายกองทุน!AQ79"")"),47880)</f>
        <v>47880</v>
      </c>
      <c r="S271" s="331">
        <f ca="1">IFERROR(__xludf.DUMMYFUNCTION("IMPORTRANGE(""https://docs.google.com/spreadsheets/d/1ItG2mGa2ceCfYo0BwxsXqNm01IGEUdYcSSLTEv9YCik/edit?usp=sharing"",""เบิกจ่ายกองทุน!AR79"")"),2110)</f>
        <v>2110</v>
      </c>
      <c r="T271" s="331">
        <f ca="1">IF(Q271&gt;0,S271*100/Q271,0)</f>
        <v>4.4068504594820386</v>
      </c>
      <c r="U271" s="331">
        <f ca="1">IF(R271&gt;0,S271*100/R271,0)</f>
        <v>4.4068504594820386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IFERROR(__xludf.DUMMYFUNCTION("IMPORTRANGE(""https://docs.google.com/spreadsheets/d/1-uDff_7J0KD5mKrp0Vvzr7lt3OU09vwQwhkpOPPYv2Y/edit?usp=sharing"",""งบพรบ!DH79"")"),0)</f>
        <v>0</v>
      </c>
      <c r="M274" s="331">
        <f ca="1">IFERROR(__xludf.DUMMYFUNCTION("IMPORTRANGE(""https://docs.google.com/spreadsheets/d/1-uDff_7J0KD5mKrp0Vvzr7lt3OU09vwQwhkpOPPYv2Y/edit?usp=sharing"",""งบพรบ!DK79"")"),0)</f>
        <v>0</v>
      </c>
      <c r="N274" s="331">
        <f ca="1">IFERROR(__xludf.DUMMYFUNCTION("IMPORTRANGE(""https://docs.google.com/spreadsheets/d/1-uDff_7J0KD5mKrp0Vvzr7lt3OU09vwQwhkpOPPYv2Y/edit?usp=sharing"",""งบพรบ!DM79"")"),0)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423" t="s">
        <v>18</v>
      </c>
      <c r="D275" s="617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IFERROR(__xludf.DUMMYFUNCTION("IMPORTRANGE(""https://docs.google.com/spreadsheets/d/1eHaY18a8A9IcSdp1K8H6x8fbOy06t2VsZHhMHf-1x7Y/edit?usp=sharing"",""แผน!EC79"")"),20)</f>
        <v>20</v>
      </c>
      <c r="J276" s="175">
        <v>0</v>
      </c>
      <c r="K276" s="176">
        <f ca="1">IF(I276&gt;0,J276*100/I276,0)</f>
        <v>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IFERROR(__xludf.DUMMYFUNCTION("IMPORTRANGE(""https://docs.google.com/spreadsheets/d/1-uDff_7J0KD5mKrp0Vvzr7lt3OU09vwQwhkpOPPYv2Y/edit?usp=sharing"",""งบพรบ!DO79"")"),0)</f>
        <v>0</v>
      </c>
      <c r="M287" s="47">
        <f ca="1">IFERROR(__xludf.DUMMYFUNCTION("IMPORTRANGE(""https://docs.google.com/spreadsheets/d/1-uDff_7J0KD5mKrp0Vvzr7lt3OU09vwQwhkpOPPYv2Y/edit?usp=sharing"",""งบพรบ!DT79"")"),0)</f>
        <v>0</v>
      </c>
      <c r="N287" s="47">
        <f ca="1">IFERROR(__xludf.DUMMYFUNCTION("IMPORTRANGE(""https://docs.google.com/spreadsheets/d/1-uDff_7J0KD5mKrp0Vvzr7lt3OU09vwQwhkpOPPYv2Y/edit?usp=sharing"",""งบพรบ!DV79"")"),0)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IFERROR(__xludf.DUMMYFUNCTION("IMPORTRANGE(""https://docs.google.com/spreadsheets/d/1-uDff_7J0KD5mKrp0Vvzr7lt3OU09vwQwhkpOPPYv2Y/edit?usp=sharing"",""งบพรบ!DR79"")"),0)</f>
        <v>0</v>
      </c>
      <c r="M290" s="47">
        <f ca="1">IFERROR(__xludf.DUMMYFUNCTION("IMPORTRANGE(""https://docs.google.com/spreadsheets/d/1-uDff_7J0KD5mKrp0Vvzr7lt3OU09vwQwhkpOPPYv2Y/edit?usp=sharing"",""งบพรบ!DU79"")"),0)</f>
        <v>0</v>
      </c>
      <c r="N290" s="47">
        <f ca="1">IFERROR(__xludf.DUMMYFUNCTION("IMPORTRANGE(""https://docs.google.com/spreadsheets/d/1-uDff_7J0KD5mKrp0Vvzr7lt3OU09vwQwhkpOPPYv2Y/edit?usp=sharing"",""งบพรบ!DW79"")"),0)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IFERROR(__xludf.DUMMYFUNCTION("IMPORTRANGE(""https://docs.google.com/spreadsheets/d/1eHaY18a8A9IcSdp1K8H6x8fbOy06t2VsZHhMHf-1x7Y/edit?usp=sharing"",""แผน!EE79"")"),0)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IFERROR(__xludf.DUMMYFUNCTION("IMPORTRANGE(""https://docs.google.com/spreadsheets/d/1eHaY18a8A9IcSdp1K8H6x8fbOy06t2VsZHhMHf-1x7Y/edit?usp=sharing"",""แผน!ED79"")"),0)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IFERROR(__xludf.DUMMYFUNCTION("IMPORTRANGE(""https://docs.google.com/spreadsheets/d/1eHaY18a8A9IcSdp1K8H6x8fbOy06t2VsZHhMHf-1x7Y/edit?usp=sharing"",""แผน!ED79"")"),0)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IFERROR(__xludf.DUMMYFUNCTION("IMPORTRANGE(""https://docs.google.com/spreadsheets/d/1eHaY18a8A9IcSdp1K8H6x8fbOy06t2VsZHhMHf-1x7Y/edit?usp=sharing"",""แผน!ED79"")"),0)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1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1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hidden="1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700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hidden="1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hidden="1" x14ac:dyDescent="0.3">
      <c r="A303" s="128"/>
      <c r="B303" s="41"/>
      <c r="C303" s="129" t="s">
        <v>18</v>
      </c>
      <c r="D303" s="59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0</v>
      </c>
      <c r="R305" s="47">
        <f ca="1">R308+R311</f>
        <v>0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hidden="1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IFERROR(__xludf.DUMMYFUNCTION("IMPORTRANGE(""https://docs.google.com/spreadsheets/d/1-uDff_7J0KD5mKrp0Vvzr7lt3OU09vwQwhkpOPPYv2Y/edit?usp=sharing"",""งบพรบ!DY79"")"),0)</f>
        <v>0</v>
      </c>
      <c r="M308" s="47">
        <f ca="1">IFERROR(__xludf.DUMMYFUNCTION("IMPORTRANGE(""https://docs.google.com/spreadsheets/d/1-uDff_7J0KD5mKrp0Vvzr7lt3OU09vwQwhkpOPPYv2Y/edit?usp=sharing"",""งบพรบ!ED79"")"),0)</f>
        <v>0</v>
      </c>
      <c r="N308" s="47">
        <f ca="1">IFERROR(__xludf.DUMMYFUNCTION("IMPORTRANGE(""https://docs.google.com/spreadsheets/d/1-uDff_7J0KD5mKrp0Vvzr7lt3OU09vwQwhkpOPPYv2Y/edit?usp=sharing"",""งบพรบ!EF79"")"),0)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IFERROR(__xludf.DUMMYFUNCTION("IMPORTRANGE(""https://docs.google.com/spreadsheets/d/1ItG2mGa2ceCfYo0BwxsXqNm01IGEUdYcSSLTEv9YCik/edit?usp=sharing"",""เบิกจ่ายกองทุน!BB79"")"),0)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IFERROR(__xludf.DUMMYFUNCTION("IMPORTRANGE(""https://docs.google.com/spreadsheets/d/1ItG2mGa2ceCfYo0BwxsXqNm01IGEUdYcSSLTEv9YCik/edit?usp=sharing"",""เบิกจ่ายกองทุน!BC79"")"),0)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IFERROR(__xludf.DUMMYFUNCTION("IMPORTRANGE(""https://docs.google.com/spreadsheets/d/1ItG2mGa2ceCfYo0BwxsXqNm01IGEUdYcSSLTEv9YCik/edit?usp=sharing"",""เบิกจ่ายกองทุน!BD79"")"),0)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hidden="1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IFERROR(__xludf.DUMMYFUNCTION("IMPORTRANGE(""https://docs.google.com/spreadsheets/d/1-uDff_7J0KD5mKrp0Vvzr7lt3OU09vwQwhkpOPPYv2Y/edit?usp=sharing"",""งบพรบ!EB79"")"),0)</f>
        <v>0</v>
      </c>
      <c r="M311" s="47">
        <f ca="1">IFERROR(__xludf.DUMMYFUNCTION("IMPORTRANGE(""https://docs.google.com/spreadsheets/d/1-uDff_7J0KD5mKrp0Vvzr7lt3OU09vwQwhkpOPPYv2Y/edit?usp=sharing"",""งบพรบ!EE79"")"),0)</f>
        <v>0</v>
      </c>
      <c r="N311" s="47">
        <f ca="1">IFERROR(__xludf.DUMMYFUNCTION("IMPORTRANGE(""https://docs.google.com/spreadsheets/d/1-uDff_7J0KD5mKrp0Vvzr7lt3OU09vwQwhkpOPPYv2Y/edit?usp=sharing"",""งบพรบ!EG79"")"),0)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hidden="1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9"/>
      <c r="E313" s="19"/>
      <c r="F313" s="19"/>
      <c r="G313" s="20"/>
      <c r="H313" s="20"/>
      <c r="I313" s="21"/>
      <c r="J313" s="707"/>
      <c r="K313" s="22"/>
      <c r="L313" s="701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IFERROR(__xludf.DUMMYFUNCTION("IMPORTRANGE(""https://docs.google.com/spreadsheets/d/1eHaY18a8A9IcSdp1K8H6x8fbOy06t2VsZHhMHf-1x7Y/edit?usp=sharing"",""แผน!EF79"")"),0)</f>
        <v>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9"/>
      <c r="E315" s="19"/>
      <c r="F315" s="19"/>
      <c r="G315" s="20"/>
      <c r="H315" s="708"/>
      <c r="I315" s="707"/>
      <c r="J315" s="707"/>
      <c r="K315" s="706"/>
      <c r="L315" s="701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9"/>
      <c r="E316" s="19"/>
      <c r="F316" s="19"/>
      <c r="G316" s="20"/>
      <c r="H316" s="708"/>
      <c r="I316" s="707"/>
      <c r="J316" s="707"/>
      <c r="K316" s="706"/>
      <c r="L316" s="701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5"/>
      <c r="E317" s="19"/>
      <c r="F317" s="19"/>
      <c r="G317" s="20"/>
      <c r="H317" s="704"/>
      <c r="I317" s="703"/>
      <c r="J317" s="703"/>
      <c r="K317" s="702"/>
      <c r="L317" s="701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700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IFERROR(__xludf.DUMMYFUNCTION("IMPORTRANGE(""https://docs.google.com/spreadsheets/d/1-uDff_7J0KD5mKrp0Vvzr7lt3OU09vwQwhkpOPPYv2Y/edit?usp=sharing"",""งบพรบ!EI79"")"),0)</f>
        <v>0</v>
      </c>
      <c r="M325" s="47">
        <f ca="1">IFERROR(__xludf.DUMMYFUNCTION("IMPORTRANGE(""https://docs.google.com/spreadsheets/d/1-uDff_7J0KD5mKrp0Vvzr7lt3OU09vwQwhkpOPPYv2Y/edit?usp=sharing"",""งบพรบ!EN79"")"),0)</f>
        <v>0</v>
      </c>
      <c r="N325" s="47">
        <f ca="1">IFERROR(__xludf.DUMMYFUNCTION("IMPORTRANGE(""https://docs.google.com/spreadsheets/d/1-uDff_7J0KD5mKrp0Vvzr7lt3OU09vwQwhkpOPPYv2Y/edit?usp=sharing"",""งบพรบ!EP79"")"),0)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IFERROR(__xludf.DUMMYFUNCTION("IMPORTRANGE(""https://docs.google.com/spreadsheets/d/1-uDff_7J0KD5mKrp0Vvzr7lt3OU09vwQwhkpOPPYv2Y/edit?usp=sharing"",""งบพรบ!EL79"")"),0)</f>
        <v>0</v>
      </c>
      <c r="M328" s="47">
        <f ca="1">IFERROR(__xludf.DUMMYFUNCTION("IMPORTRANGE(""https://docs.google.com/spreadsheets/d/1-uDff_7J0KD5mKrp0Vvzr7lt3OU09vwQwhkpOPPYv2Y/edit?usp=sharing"",""งบพรบ!EO79"")"),0)</f>
        <v>0</v>
      </c>
      <c r="N328" s="47">
        <f ca="1">IFERROR(__xludf.DUMMYFUNCTION("IMPORTRANGE(""https://docs.google.com/spreadsheets/d/1-uDff_7J0KD5mKrp0Vvzr7lt3OU09vwQwhkpOPPYv2Y/edit?usp=sharing"",""งบพรบ!EQ79"")"),0)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IFERROR(__xludf.DUMMYFUNCTION("IMPORTRANGE(""https://docs.google.com/spreadsheets/d/1eHaY18a8A9IcSdp1K8H6x8fbOy06t2VsZHhMHf-1x7Y/edit?usp=sharing"",""แผน!EJ79"")"),0)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700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9">
        <f ca="1">I344</f>
        <v>200</v>
      </c>
      <c r="J332" s="698">
        <f ca="1">J344+J347+J348+J349+J353+J354</f>
        <v>644</v>
      </c>
      <c r="K332" s="697">
        <f ca="1">IF(I332&gt;0,J332*100/I332,0)</f>
        <v>322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9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276500</v>
      </c>
      <c r="M333" s="132">
        <f ca="1">M334+M335</f>
        <v>276500</v>
      </c>
      <c r="N333" s="132">
        <f ca="1">N334+N335</f>
        <v>150304.53</v>
      </c>
      <c r="O333" s="132">
        <f ca="1">IF(L333&gt;0,N333*100/L333,0)</f>
        <v>54.359685352622058</v>
      </c>
      <c r="P333" s="132">
        <f ca="1">IF(M333&gt;0,N333*100/M333,0)</f>
        <v>54.359685352622058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276500</v>
      </c>
      <c r="M335" s="47">
        <f ca="1">M338+M341</f>
        <v>276500</v>
      </c>
      <c r="N335" s="47">
        <f ca="1">N338+N341</f>
        <v>150304.53</v>
      </c>
      <c r="O335" s="47">
        <f ca="1">IF(L335&gt;0,N335*100/L335,0)</f>
        <v>54.359685352622058</v>
      </c>
      <c r="P335" s="47">
        <f ca="1">IF(M335&gt;0,N335*100/M335,0)</f>
        <v>54.359685352622058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276500</v>
      </c>
      <c r="M336" s="47">
        <f ca="1">M337+M338</f>
        <v>276500</v>
      </c>
      <c r="N336" s="47">
        <f ca="1">N337+N338</f>
        <v>150304.53</v>
      </c>
      <c r="O336" s="47">
        <f ca="1">IF(L336&gt;0,N336*100/L336,0)</f>
        <v>54.359685352622058</v>
      </c>
      <c r="P336" s="47">
        <f ca="1">IF(M336&gt;0,N336*100/M336,0)</f>
        <v>54.359685352622058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IFERROR(__xludf.DUMMYFUNCTION("IMPORTRANGE(""https://docs.google.com/spreadsheets/d/1-uDff_7J0KD5mKrp0Vvzr7lt3OU09vwQwhkpOPPYv2Y/edit?usp=sharing"",""งบพรบ!ES79"")"),276500)</f>
        <v>276500</v>
      </c>
      <c r="M338" s="47">
        <f ca="1">IFERROR(__xludf.DUMMYFUNCTION("IMPORTRANGE(""https://docs.google.com/spreadsheets/d/1-uDff_7J0KD5mKrp0Vvzr7lt3OU09vwQwhkpOPPYv2Y/edit?usp=sharing"",""งบพรบ!EX79"")"),276500)</f>
        <v>276500</v>
      </c>
      <c r="N338" s="47">
        <f ca="1">IFERROR(__xludf.DUMMYFUNCTION("IMPORTRANGE(""https://docs.google.com/spreadsheets/d/1-uDff_7J0KD5mKrp0Vvzr7lt3OU09vwQwhkpOPPYv2Y/edit?usp=sharing"",""งบพรบ!EZ79"")"),150304.53)</f>
        <v>150304.53</v>
      </c>
      <c r="O338" s="47">
        <f ca="1">IF(L338&gt;0,N338*100/L338,0)</f>
        <v>54.359685352622058</v>
      </c>
      <c r="P338" s="47">
        <f ca="1">IF(M338&gt;0,N338*100/M338,0)</f>
        <v>54.359685352622058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IFERROR(__xludf.DUMMYFUNCTION("IMPORTRANGE(""https://docs.google.com/spreadsheets/d/1-uDff_7J0KD5mKrp0Vvzr7lt3OU09vwQwhkpOPPYv2Y/edit?usp=sharing"",""งบพรบ!EV79"")"),0)</f>
        <v>0</v>
      </c>
      <c r="M341" s="47">
        <f ca="1">IFERROR(__xludf.DUMMYFUNCTION("IMPORTRANGE(""https://docs.google.com/spreadsheets/d/1-uDff_7J0KD5mKrp0Vvzr7lt3OU09vwQwhkpOPPYv2Y/edit?usp=sharing"",""งบพรบ!EY79"")"),0)</f>
        <v>0</v>
      </c>
      <c r="N341" s="47">
        <f ca="1">IFERROR(__xludf.DUMMYFUNCTION("IMPORTRANGE(""https://docs.google.com/spreadsheets/d/1-uDff_7J0KD5mKrp0Vvzr7lt3OU09vwQwhkpOPPYv2Y/edit?usp=sharing"",""งบพรบ!FA79"")"),0)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6"/>
      <c r="B343" s="693"/>
      <c r="C343" s="695"/>
      <c r="D343" s="693"/>
      <c r="E343" s="694" t="s">
        <v>137</v>
      </c>
      <c r="F343" s="693"/>
      <c r="G343" s="692"/>
      <c r="H343" s="691" t="s">
        <v>35</v>
      </c>
      <c r="I343" s="690">
        <v>0</v>
      </c>
      <c r="J343" s="690">
        <f ca="1">J344+J347+J348+J349</f>
        <v>343</v>
      </c>
      <c r="K343" s="689">
        <v>0</v>
      </c>
      <c r="L343" s="687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IFERROR(__xludf.DUMMYFUNCTION("IMPORTRANGE(""https://docs.google.com/spreadsheets/d/1eHaY18a8A9IcSdp1K8H6x8fbOy06t2VsZHhMHf-1x7Y/edit?usp=sharing"",""แผน!EK79"")"),200)</f>
        <v>200</v>
      </c>
      <c r="J344" s="152">
        <f ca="1">IFERROR(__xludf.DUMMYFUNCTION("IMPORTRANGE(""https://docs.google.com/spreadsheets/d/1awYsYK3VOup2i3Pq_Yjnu8DRu_mYwSBnCR2QPthd0rU/edit?usp=sharing"",""ศูนย์ยกเว้นโฉนด!D79"")"),230)</f>
        <v>230</v>
      </c>
      <c r="K344" s="47">
        <f ca="1">IF(I344&gt;0,J344*100/I344,0)</f>
        <v>115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IFERROR(__xludf.DUMMYFUNCTION("IMPORTRANGE(""https://docs.google.com/spreadsheets/d/1eHaY18a8A9IcSdp1K8H6x8fbOy06t2VsZHhMHf-1x7Y/edit?usp=sharing"",""แผน!EL79"")"),1)</f>
        <v>1</v>
      </c>
      <c r="J346" s="152">
        <f ca="1">IFERROR(__xludf.DUMMYFUNCTION("IMPORTRANGE(""https://docs.google.com/spreadsheets/d/1awYsYK3VOup2i3Pq_Yjnu8DRu_mYwSBnCR2QPthd0rU/edit?usp=sharing"",""ศูนย์รวม!E79"")"),1)</f>
        <v>1</v>
      </c>
      <c r="K346" s="47">
        <f ca="1">IF(I346&gt;0,J346*100/I346,0)</f>
        <v>100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IFERROR(__xludf.DUMMYFUNCTION("IMPORTRANGE(""https://docs.google.com/spreadsheets/d/1awYsYK3VOup2i3Pq_Yjnu8DRu_mYwSBnCR2QPthd0rU/edit?usp=sharing"",""ศูนย์ยกเว้นโฉนด!F79"")"),106)</f>
        <v>106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IFERROR(__xludf.DUMMYFUNCTION("IMPORTRANGE(""https://docs.google.com/spreadsheets/d/1awYsYK3VOup2i3Pq_Yjnu8DRu_mYwSBnCR2QPthd0rU/edit?usp=sharing"",""ศูนย์ยกเว้นโฉนด!G79"")"),7)</f>
        <v>7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IFERROR(__xludf.DUMMYFUNCTION("IMPORTRANGE(""https://docs.google.com/spreadsheets/d/1awYsYK3VOup2i3Pq_Yjnu8DRu_mYwSBnCR2QPthd0rU/edit?usp=sharing"",""ศูนย์ยกเว้นโฉนด!H79"")"),0)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8" t="s">
        <v>145</v>
      </c>
      <c r="F351" s="225"/>
      <c r="G351" s="226"/>
      <c r="H351" s="227" t="s">
        <v>35</v>
      </c>
      <c r="I351" s="228">
        <v>0</v>
      </c>
      <c r="J351" s="228">
        <f ca="1">J352+J353+J354</f>
        <v>301</v>
      </c>
      <c r="K351" s="229">
        <v>0</v>
      </c>
      <c r="L351" s="687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IFERROR(__xludf.DUMMYFUNCTION("IMPORTRANGE(""https://docs.google.com/spreadsheets/d/1awYsYK3VOup2i3Pq_Yjnu8DRu_mYwSBnCR2QPthd0rU/edit?usp=sharing"",""โฉนดM3!G79"")"),0)</f>
        <v>0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IFERROR(__xludf.DUMMYFUNCTION("IMPORTRANGE(""https://docs.google.com/spreadsheets/d/1awYsYK3VOup2i3Pq_Yjnu8DRu_mYwSBnCR2QPthd0rU/edit?usp=sharing"",""โฉนดM3!H79"")"),152)</f>
        <v>152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159"/>
      <c r="B354" s="41"/>
      <c r="C354" s="159"/>
      <c r="D354" s="317"/>
      <c r="E354" s="149" t="s">
        <v>318</v>
      </c>
      <c r="F354" s="41"/>
      <c r="G354" s="43"/>
      <c r="H354" s="133" t="s">
        <v>35</v>
      </c>
      <c r="I354" s="45"/>
      <c r="J354" s="865">
        <f ca="1">IFERROR(__xludf.DUMMYFUNCTION("IMPORTRANGE(""https://docs.google.com/spreadsheets/d/1awYsYK3VOup2i3Pq_Yjnu8DRu_mYwSBnCR2QPthd0rU/edit?usp=sharing"",""โฉนดM3!I79"")"),149)</f>
        <v>149</v>
      </c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9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396190</v>
      </c>
      <c r="M356" s="132">
        <f ca="1">M357+M358</f>
        <v>396190</v>
      </c>
      <c r="N356" s="132">
        <f ca="1">N357+N358</f>
        <v>246515</v>
      </c>
      <c r="O356" s="132">
        <f ca="1">IF(L356&gt;0,N356*100/L356,0)</f>
        <v>62.221408919962641</v>
      </c>
      <c r="P356" s="132">
        <f ca="1">IF(M356&gt;0,N356*100/M356,0)</f>
        <v>62.221408919962641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396190</v>
      </c>
      <c r="M358" s="47">
        <f ca="1">M361+M364</f>
        <v>396190</v>
      </c>
      <c r="N358" s="47">
        <f ca="1">N361+N364</f>
        <v>246515</v>
      </c>
      <c r="O358" s="47">
        <f ca="1">IF(L358&gt;0,N358*100/L358,0)</f>
        <v>62.221408919962641</v>
      </c>
      <c r="P358" s="47">
        <f ca="1">IF(M358&gt;0,N358*100/M358,0)</f>
        <v>62.221408919962641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396190</v>
      </c>
      <c r="M359" s="47">
        <f ca="1">M360+M361</f>
        <v>396190</v>
      </c>
      <c r="N359" s="47">
        <f ca="1">N360+N361</f>
        <v>246515</v>
      </c>
      <c r="O359" s="47">
        <f ca="1">IF(L359&gt;0,N359*100/L359,0)</f>
        <v>62.221408919962641</v>
      </c>
      <c r="P359" s="47">
        <f ca="1">IF(M359&gt;0,N359*100/M359,0)</f>
        <v>62.221408919962641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IFERROR(__xludf.DUMMYFUNCTION("IMPORTRANGE(""https://docs.google.com/spreadsheets/d/1-uDff_7J0KD5mKrp0Vvzr7lt3OU09vwQwhkpOPPYv2Y/edit?usp=sharing"",""งบพรบ!FC79"")"),396190)</f>
        <v>396190</v>
      </c>
      <c r="M361" s="47">
        <f ca="1">IFERROR(__xludf.DUMMYFUNCTION("IMPORTRANGE(""https://docs.google.com/spreadsheets/d/1-uDff_7J0KD5mKrp0Vvzr7lt3OU09vwQwhkpOPPYv2Y/edit?usp=sharing"",""งบพรบ!FH79"")"),396190)</f>
        <v>396190</v>
      </c>
      <c r="N361" s="47">
        <f ca="1">IFERROR(__xludf.DUMMYFUNCTION("IMPORTRANGE(""https://docs.google.com/spreadsheets/d/1-uDff_7J0KD5mKrp0Vvzr7lt3OU09vwQwhkpOPPYv2Y/edit?usp=sharing"",""งบพรบ!FJ79"")"),246515)</f>
        <v>246515</v>
      </c>
      <c r="O361" s="47">
        <f ca="1">IF(L361&gt;0,N361*100/L361,0)</f>
        <v>62.221408919962641</v>
      </c>
      <c r="P361" s="47">
        <f ca="1">IF(M361&gt;0,N361*100/M361,0)</f>
        <v>62.221408919962641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IFERROR(__xludf.DUMMYFUNCTION("IMPORTRANGE(""https://docs.google.com/spreadsheets/d/1-uDff_7J0KD5mKrp0Vvzr7lt3OU09vwQwhkpOPPYv2Y/edit?usp=sharing"",""งบพรบ!FF79"")"),0)</f>
        <v>0</v>
      </c>
      <c r="M364" s="47">
        <f ca="1">IFERROR(__xludf.DUMMYFUNCTION("IMPORTRANGE(""https://docs.google.com/spreadsheets/d/1-uDff_7J0KD5mKrp0Vvzr7lt3OU09vwQwhkpOPPYv2Y/edit?usp=sharing"",""งบพรบ!FI79"")"),0)</f>
        <v>0</v>
      </c>
      <c r="N364" s="47">
        <f ca="1">IFERROR(__xludf.DUMMYFUNCTION("IMPORTRANGE(""https://docs.google.com/spreadsheets/d/1-uDff_7J0KD5mKrp0Vvzr7lt3OU09vwQwhkpOPPYv2Y/edit?usp=sharing"",""งบพรบ!FK79"")"),0)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8" t="s">
        <v>149</v>
      </c>
      <c r="E365" s="225"/>
      <c r="F365" s="225"/>
      <c r="G365" s="226"/>
      <c r="H365" s="234" t="s">
        <v>35</v>
      </c>
      <c r="I365" s="228">
        <f ca="1">I371</f>
        <v>36</v>
      </c>
      <c r="J365" s="228">
        <f ca="1">J371</f>
        <v>17</v>
      </c>
      <c r="K365" s="229">
        <f ca="1">IF(I365&gt;0,J365*100/I365,0)</f>
        <v>47.222222222222221</v>
      </c>
      <c r="L365" s="687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IFERROR(__xludf.DUMMYFUNCTION("IMPORTRANGE(""https://docs.google.com/spreadsheets/d/1tdoBKaGub7dwA3U6UFTqxio9LNnvDCQjHKmttSEBsFQ/edit?usp=sharing"",""จัดที่ดิน!AB79"")"),13)</f>
        <v>13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IFERROR(__xludf.DUMMYFUNCTION("IMPORTRANGE(""https://docs.google.com/spreadsheets/d/1eHaY18a8A9IcSdp1K8H6x8fbOy06t2VsZHhMHf-1x7Y/edit?usp=sharing"",""แผน!EW79"")"),70)</f>
        <v>70</v>
      </c>
      <c r="J368" s="686">
        <f ca="1">IFERROR(__xludf.DUMMYFUNCTION("IMPORTRANGE(""https://docs.google.com/spreadsheets/d/1tdoBKaGub7dwA3U6UFTqxio9LNnvDCQjHKmttSEBsFQ/edit?usp=sharing"",""จัดที่ดิน!AC79"")"),67.22)</f>
        <v>67.22</v>
      </c>
      <c r="K368" s="47">
        <f ca="1">IF(I368&gt;0,J368*100/I368,0)</f>
        <v>96.028571428571425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IFERROR(__xludf.DUMMYFUNCTION("IMPORTRANGE(""https://docs.google.com/spreadsheets/d/1eHaY18a8A9IcSdp1K8H6x8fbOy06t2VsZHhMHf-1x7Y/edit?usp=sharing"",""แผน!EX79"")"),36)</f>
        <v>36</v>
      </c>
      <c r="J369" s="152">
        <f ca="1">IFERROR(__xludf.DUMMYFUNCTION("IMPORTRANGE(""https://docs.google.com/spreadsheets/d/1tdoBKaGub7dwA3U6UFTqxio9LNnvDCQjHKmttSEBsFQ/edit?usp=sharing"",""จัดที่ดิน!AD79"")"),29)</f>
        <v>29</v>
      </c>
      <c r="K369" s="47">
        <f ca="1">IF(I369&gt;0,J369*100/I369,0)</f>
        <v>80.555555555555557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6">
        <f ca="1">IFERROR(__xludf.DUMMYFUNCTION("IMPORTRANGE(""https://docs.google.com/spreadsheets/d/1tdoBKaGub7dwA3U6UFTqxio9LNnvDCQjHKmttSEBsFQ/edit?usp=sharing"",""จัดที่ดิน!AE79"")"),136.28)</f>
        <v>136.28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IFERROR(__xludf.DUMMYFUNCTION("IMPORTRANGE(""https://docs.google.com/spreadsheets/d/1eHaY18a8A9IcSdp1K8H6x8fbOy06t2VsZHhMHf-1x7Y/edit?usp=sharing"",""แผน!EY79"")"),36)</f>
        <v>36</v>
      </c>
      <c r="J371" s="152">
        <f ca="1">IFERROR(__xludf.DUMMYFUNCTION("IMPORTRANGE(""https://docs.google.com/spreadsheets/d/1tdoBKaGub7dwA3U6UFTqxio9LNnvDCQjHKmttSEBsFQ/edit?usp=sharing"",""จัดที่ดิน!AF79"")"),17)</f>
        <v>17</v>
      </c>
      <c r="K371" s="47">
        <f ca="1">IF(I371&gt;0,J371*100/I371,0)</f>
        <v>47.222222222222221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6">
        <f ca="1">IFERROR(__xludf.DUMMYFUNCTION("IMPORTRANGE(""https://docs.google.com/spreadsheets/d/1tdoBKaGub7dwA3U6UFTqxio9LNnvDCQjHKmttSEBsFQ/edit?usp=sharing"",""จัดที่ดิน!AG79"")"),96.08)</f>
        <v>96.08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5"/>
      <c r="B374" s="684" t="s">
        <v>153</v>
      </c>
      <c r="C374" s="683"/>
      <c r="D374" s="682"/>
      <c r="E374" s="681"/>
      <c r="F374" s="681"/>
      <c r="G374" s="680"/>
      <c r="H374" s="679" t="s">
        <v>46</v>
      </c>
      <c r="I374" s="678">
        <f ca="1">I386+I388</f>
        <v>1000</v>
      </c>
      <c r="J374" s="678">
        <f ca="1">J386+J388</f>
        <v>43</v>
      </c>
      <c r="K374" s="677">
        <f ca="1">IF(I374&gt;0,J374*100/I374,0)</f>
        <v>4.3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62500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62500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IFERROR(__xludf.DUMMYFUNCTION("IMPORTRANGE(""https://docs.google.com/spreadsheets/d/1-uDff_7J0KD5mKrp0Vvzr7lt3OU09vwQwhkpOPPYv2Y/edit?usp=sharing"",""งบพรบ!IE79"")"),0)</f>
        <v>0</v>
      </c>
      <c r="M380" s="47">
        <f ca="1">IFERROR(__xludf.DUMMYFUNCTION("IMPORTRANGE(""https://docs.google.com/spreadsheets/d/1-uDff_7J0KD5mKrp0Vvzr7lt3OU09vwQwhkpOPPYv2Y/edit?usp=sharing"",""งบพรบ!IJ79"")"),0)</f>
        <v>0</v>
      </c>
      <c r="N380" s="47">
        <f ca="1">IFERROR(__xludf.DUMMYFUNCTION("IMPORTRANGE(""https://docs.google.com/spreadsheets/d/1-uDff_7J0KD5mKrp0Vvzr7lt3OU09vwQwhkpOPPYv2Y/edit?usp=sharing"",""งบพรบ!IL79"")"),0)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IFERROR(__xludf.DUMMYFUNCTION("IMPORTRANGE(""https://docs.google.com/spreadsheets/d/1ItG2mGa2ceCfYo0BwxsXqNm01IGEUdYcSSLTEv9YCik/edit?usp=sharing"",""เบิกจ่ายกองทุน!BW79"")"),62500)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IFERROR(__xludf.DUMMYFUNCTION("IMPORTRANGE(""https://docs.google.com/spreadsheets/d/1ItG2mGa2ceCfYo0BwxsXqNm01IGEUdYcSSLTEv9YCik/edit?usp=sharing"",""เบิกจ่ายกองทุน!BX79"")"),62500)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IFERROR(__xludf.DUMMYFUNCTION("IMPORTRANGE(""https://docs.google.com/spreadsheets/d/1ItG2mGa2ceCfYo0BwxsXqNm01IGEUdYcSSLTEv9YCik/edit?usp=sharing"",""เบิกจ่ายกองทุน!BY79"")"),0)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IFERROR(__xludf.DUMMYFUNCTION("IMPORTRANGE(""https://docs.google.com/spreadsheets/d/1-uDff_7J0KD5mKrp0Vvzr7lt3OU09vwQwhkpOPPYv2Y/edit?usp=sharing"",""งบพรบ!IH79"")"),0)</f>
        <v>0</v>
      </c>
      <c r="M383" s="47">
        <f ca="1">IFERROR(__xludf.DUMMYFUNCTION("IMPORTRANGE(""https://docs.google.com/spreadsheets/d/1-uDff_7J0KD5mKrp0Vvzr7lt3OU09vwQwhkpOPPYv2Y/edit?usp=sharing"",""งบพรบ!IK79"")"),0)</f>
        <v>0</v>
      </c>
      <c r="N383" s="47">
        <f ca="1">IFERROR(__xludf.DUMMYFUNCTION("IMPORTRANGE(""https://docs.google.com/spreadsheets/d/1-uDff_7J0KD5mKrp0Vvzr7lt3OU09vwQwhkpOPPYv2Y/edit?usp=sharing"",""งบพรบ!IM79"")"),0)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IFERROR(__xludf.DUMMYFUNCTION("IMPORTRANGE(""https://docs.google.com/spreadsheets/d/1w5rwWK1o49a35cNtocGL0gxDwhFSTZUQu90BiH9_zqM/edit?usp=sharing"",""RTK!H79"")"),18)</f>
        <v>18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IFERROR(__xludf.DUMMYFUNCTION("IMPORTRANGE(""https://docs.google.com/spreadsheets/d/1w5rwWK1o49a35cNtocGL0gxDwhFSTZUQu90BiH9_zqM/edit?usp=sharing"",""RTK!G79"")"),1000)</f>
        <v>1000</v>
      </c>
      <c r="J386" s="152">
        <f ca="1">IFERROR(__xludf.DUMMYFUNCTION("IMPORTRANGE(""https://docs.google.com/spreadsheets/d/1w5rwWK1o49a35cNtocGL0gxDwhFSTZUQu90BiH9_zqM/edit?usp=sharing"",""RTK!I79"")"),43)</f>
        <v>43</v>
      </c>
      <c r="K386" s="47">
        <f ca="1">IF(I386&gt;0,J386*100/I386,0)</f>
        <v>4.3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326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IFERROR(__xludf.DUMMYFUNCTION("IMPORTRANGE(""https://docs.google.com/spreadsheets/d/1w5rwWK1o49a35cNtocGL0gxDwhFSTZUQu90BiH9_zqM/edit?usp=sharing"",""RTK!L79"")"),0)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326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IFERROR(__xludf.DUMMYFUNCTION("IMPORTRANGE(""https://docs.google.com/spreadsheets/d/1w5rwWK1o49a35cNtocGL0gxDwhFSTZUQu90BiH9_zqM/edit?usp=sharing"",""RTK!K79"")"),0)</f>
        <v>0</v>
      </c>
      <c r="J388" s="330">
        <f ca="1">IFERROR(__xludf.DUMMYFUNCTION("IMPORTRANGE(""https://docs.google.com/spreadsheets/d/1w5rwWK1o49a35cNtocGL0gxDwhFSTZUQu90BiH9_zqM/edit?usp=sharing"",""RTK!M79"")"),0)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89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33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IFERROR(__xludf.DUMMYFUNCTION("IMPORTRANGE(""https://docs.google.com/spreadsheets/d/1ItG2mGa2ceCfYo0BwxsXqNm01IGEUdYcSSLTEv9YCik/edit?usp=sharing"",""เบิกจ่ายกองทุน!CL79"")"),0)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IFERROR(__xludf.DUMMYFUNCTION("IMPORTRANGE(""https://docs.google.com/spreadsheets/d/1ItG2mGa2ceCfYo0BwxsXqNm01IGEUdYcSSLTEv9YCik/edit?usp=sharing"",""เบิกจ่ายกองทุน!CM79"")"),0)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IFERROR(__xludf.DUMMYFUNCTION("IMPORTRANGE(""https://docs.google.com/spreadsheets/d/1ItG2mGa2ceCfYo0BwxsXqNm01IGEUdYcSSLTEv9YCik/edit?usp=sharing"",""เบิกจ่ายกองทุน!CN79"")"),0)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89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89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89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89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89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89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89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89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89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33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3577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40" t="s">
        <v>18</v>
      </c>
      <c r="D413" s="676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192020</v>
      </c>
      <c r="M413" s="132">
        <f ca="1">M414+M415</f>
        <v>192020</v>
      </c>
      <c r="N413" s="132">
        <f ca="1">N414+N415</f>
        <v>3700</v>
      </c>
      <c r="O413" s="132">
        <f ca="1">IF(L413&gt;0,N413*100/L413,0)</f>
        <v>1.9268826163941255</v>
      </c>
      <c r="P413" s="132">
        <f ca="1">IF(M413&gt;0,N413*100/M413,0)</f>
        <v>1.9268826163941255</v>
      </c>
      <c r="Q413" s="132">
        <f ca="1">Q414+Q415</f>
        <v>26400</v>
      </c>
      <c r="R413" s="132">
        <f ca="1">R414+R415</f>
        <v>26400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192020</v>
      </c>
      <c r="M415" s="47">
        <f ca="1">M418+M421</f>
        <v>192020</v>
      </c>
      <c r="N415" s="47">
        <f ca="1">N418+N421</f>
        <v>3700</v>
      </c>
      <c r="O415" s="47">
        <f ca="1">IF(L415&gt;0,N415*100/L415,0)</f>
        <v>1.9268826163941255</v>
      </c>
      <c r="P415" s="47">
        <f ca="1">IF(M415&gt;0,N415*100/M415,0)</f>
        <v>1.9268826163941255</v>
      </c>
      <c r="Q415" s="47">
        <f ca="1">Q418+Q421</f>
        <v>26400</v>
      </c>
      <c r="R415" s="47">
        <f ca="1">R418+R421</f>
        <v>26400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192020</v>
      </c>
      <c r="M416" s="47">
        <f ca="1">M417+M418</f>
        <v>192020</v>
      </c>
      <c r="N416" s="47">
        <f ca="1">N417+N418</f>
        <v>3700</v>
      </c>
      <c r="O416" s="47">
        <f ca="1">IF(L416&gt;0,N416*100/L416,0)</f>
        <v>1.9268826163941255</v>
      </c>
      <c r="P416" s="47">
        <f ca="1">IF(M416&gt;0,N416*100/M416,0)</f>
        <v>1.9268826163941255</v>
      </c>
      <c r="Q416" s="47">
        <f ca="1">Q417+Q418</f>
        <v>26400</v>
      </c>
      <c r="R416" s="47">
        <f ca="1">R417+R418</f>
        <v>26400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IFERROR(__xludf.DUMMYFUNCTION("IMPORTRANGE(""https://docs.google.com/spreadsheets/d/1-uDff_7J0KD5mKrp0Vvzr7lt3OU09vwQwhkpOPPYv2Y/edit?usp=sharing"",""งบพรบ!IO79"")"),192020)</f>
        <v>192020</v>
      </c>
      <c r="M418" s="47">
        <f ca="1">IFERROR(__xludf.DUMMYFUNCTION("IMPORTRANGE(""https://docs.google.com/spreadsheets/d/1-uDff_7J0KD5mKrp0Vvzr7lt3OU09vwQwhkpOPPYv2Y/edit?usp=sharing"",""งบพรบ!IT79"")"),192020)</f>
        <v>192020</v>
      </c>
      <c r="N418" s="47">
        <f ca="1">IFERROR(__xludf.DUMMYFUNCTION("IMPORTRANGE(""https://docs.google.com/spreadsheets/d/1-uDff_7J0KD5mKrp0Vvzr7lt3OU09vwQwhkpOPPYv2Y/edit?usp=sharing"",""งบพรบ!IV79"")"),3700)</f>
        <v>3700</v>
      </c>
      <c r="O418" s="47">
        <f ca="1">IF(L418&gt;0,N418*100/L418,0)</f>
        <v>1.9268826163941255</v>
      </c>
      <c r="P418" s="47">
        <f ca="1">IF(M418&gt;0,N418*100/M418,0)</f>
        <v>1.9268826163941255</v>
      </c>
      <c r="Q418" s="47">
        <f ca="1">IFERROR(__xludf.DUMMYFUNCTION("IMPORTRANGE(""https://docs.google.com/spreadsheets/d/1ItG2mGa2ceCfYo0BwxsXqNm01IGEUdYcSSLTEv9YCik/edit?usp=sharing"",""เบิกจ่ายกองทุน!BZ79"")"),26400)</f>
        <v>26400</v>
      </c>
      <c r="R418" s="47">
        <f ca="1">IFERROR(__xludf.DUMMYFUNCTION("IMPORTRANGE(""https://docs.google.com/spreadsheets/d/1ItG2mGa2ceCfYo0BwxsXqNm01IGEUdYcSSLTEv9YCik/edit?usp=sharing"",""เบิกจ่ายกองทุน!CA79"")"),26400)</f>
        <v>26400</v>
      </c>
      <c r="S418" s="47">
        <f ca="1">IFERROR(__xludf.DUMMYFUNCTION("IMPORTRANGE(""https://docs.google.com/spreadsheets/d/1ItG2mGa2ceCfYo0BwxsXqNm01IGEUdYcSSLTEv9YCik/edit?usp=sharing"",""เบิกจ่ายกองทุน!CB79"")"),0)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IFERROR(__xludf.DUMMYFUNCTION("IMPORTRANGE(""https://docs.google.com/spreadsheets/d/1-uDff_7J0KD5mKrp0Vvzr7lt3OU09vwQwhkpOPPYv2Y/edit?usp=sharing"",""งบพรบ!IR79"")"),0)</f>
        <v>0</v>
      </c>
      <c r="M421" s="47">
        <f ca="1">IFERROR(__xludf.DUMMYFUNCTION("IMPORTRANGE(""https://docs.google.com/spreadsheets/d/1-uDff_7J0KD5mKrp0Vvzr7lt3OU09vwQwhkpOPPYv2Y/edit?usp=sharing"",""งบพรบ!IU79"")"),0)</f>
        <v>0</v>
      </c>
      <c r="N421" s="47">
        <f ca="1">IFERROR(__xludf.DUMMYFUNCTION("IMPORTRANGE(""https://docs.google.com/spreadsheets/d/1-uDff_7J0KD5mKrp0Vvzr7lt3OU09vwQwhkpOPPYv2Y/edit?usp=sharing"",""งบพรบ!IW79"")"),0)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40" t="s">
        <v>18</v>
      </c>
      <c r="D422" s="674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669"/>
      <c r="B423" s="464" t="s">
        <v>160</v>
      </c>
      <c r="C423" s="463"/>
      <c r="D423" s="463"/>
      <c r="E423" s="463"/>
      <c r="F423" s="463"/>
      <c r="G423" s="474"/>
      <c r="H423" s="671" t="s">
        <v>46</v>
      </c>
      <c r="I423" s="468">
        <f ca="1">I440</f>
        <v>3577</v>
      </c>
      <c r="J423" s="673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IFERROR(__xludf.DUMMYFUNCTION("IMPORTRANGE(""https://docs.google.com/spreadsheets/d/1eHaY18a8A9IcSdp1K8H6x8fbOy06t2VsZHhMHf-1x7Y/edit?usp=sharing"",""แผน!HJ79"")"),3577)</f>
        <v>3577</v>
      </c>
      <c r="J424" s="670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IFERROR(__xludf.DUMMYFUNCTION("IMPORTRANGE(""https://docs.google.com/spreadsheets/d/1eHaY18a8A9IcSdp1K8H6x8fbOy06t2VsZHhMHf-1x7Y/edit?usp=sharing"",""แผน!HK79"")"),825)</f>
        <v>825</v>
      </c>
      <c r="J425" s="670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IFERROR(__xludf.DUMMYFUNCTION("IMPORTRANGE(""https://docs.google.com/spreadsheets/d/1eHaY18a8A9IcSdp1K8H6x8fbOy06t2VsZHhMHf-1x7Y/edit?usp=sharing"",""แผน!HJ79"")"),3577)</f>
        <v>3577</v>
      </c>
      <c r="J432" s="670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IFERROR(__xludf.DUMMYFUNCTION("IMPORTRANGE(""https://docs.google.com/spreadsheets/d/1eHaY18a8A9IcSdp1K8H6x8fbOy06t2VsZHhMHf-1x7Y/edit?usp=sharing"",""แผน!HK79"")"),825)</f>
        <v>825</v>
      </c>
      <c r="J433" s="670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IFERROR(__xludf.DUMMYFUNCTION("IMPORTRANGE(""https://docs.google.com/spreadsheets/d/1eHaY18a8A9IcSdp1K8H6x8fbOy06t2VsZHhMHf-1x7Y/edit?usp=sharing"",""แผน!HJ79"")"),3577)</f>
        <v>3577</v>
      </c>
      <c r="J440" s="670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IFERROR(__xludf.DUMMYFUNCTION("IMPORTRANGE(""https://docs.google.com/spreadsheets/d/1eHaY18a8A9IcSdp1K8H6x8fbOy06t2VsZHhMHf-1x7Y/edit?usp=sharing"",""แผน!HK79"")"),825)</f>
        <v>825</v>
      </c>
      <c r="J441" s="670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70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70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2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669"/>
      <c r="B456" s="464" t="s">
        <v>177</v>
      </c>
      <c r="C456" s="463"/>
      <c r="D456" s="463"/>
      <c r="E456" s="463"/>
      <c r="F456" s="463"/>
      <c r="G456" s="474"/>
      <c r="H456" s="671" t="s">
        <v>46</v>
      </c>
      <c r="I456" s="468">
        <f ca="1">I457</f>
        <v>0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IFERROR(__xludf.DUMMYFUNCTION("IMPORTRANGE(""https://docs.google.com/spreadsheets/d/1eHaY18a8A9IcSdp1K8H6x8fbOy06t2VsZHhMHf-1x7Y/edit?usp=sharing"",""แผน!HL79"")"),0)</f>
        <v>0</v>
      </c>
      <c r="J457" s="670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IFERROR(__xludf.DUMMYFUNCTION("IMPORTRANGE(""https://docs.google.com/spreadsheets/d/1eHaY18a8A9IcSdp1K8H6x8fbOy06t2VsZHhMHf-1x7Y/edit?usp=sharing"",""แผน!HM79"")"),0)</f>
        <v>0</v>
      </c>
      <c r="J458" s="670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669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650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IFERROR(__xludf.DUMMYFUNCTION("IMPORTRANGE(""https://docs.google.com/spreadsheets/d/1-uDff_7J0KD5mKrp0Vvzr7lt3OU09vwQwhkpOPPYv2Y/edit?usp=sharing"",""งบพรบ!HU79"")"),0)</f>
        <v>0</v>
      </c>
      <c r="M498" s="47">
        <f ca="1">IFERROR(__xludf.DUMMYFUNCTION("IMPORTRANGE(""https://docs.google.com/spreadsheets/d/1-uDff_7J0KD5mKrp0Vvzr7lt3OU09vwQwhkpOPPYv2Y/edit?usp=sharing"",""งบพรบ!HZ79"")"),0)</f>
        <v>0</v>
      </c>
      <c r="N498" s="47">
        <f ca="1">IFERROR(__xludf.DUMMYFUNCTION("IMPORTRANGE(""https://docs.google.com/spreadsheets/d/1-uDff_7J0KD5mKrp0Vvzr7lt3OU09vwQwhkpOPPYv2Y/edit?usp=sharing"",""งบพรบ!IB79"")"),0)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IFERROR(__xludf.DUMMYFUNCTION("IMPORTRANGE(""https://docs.google.com/spreadsheets/d/1ItG2mGa2ceCfYo0BwxsXqNm01IGEUdYcSSLTEv9YCik/edit?usp=sharing"",""เบิกจ่ายกองทุน!AD79"")"),0)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IFERROR(__xludf.DUMMYFUNCTION("IMPORTRANGE(""https://docs.google.com/spreadsheets/d/1ItG2mGa2ceCfYo0BwxsXqNm01IGEUdYcSSLTEv9YCik/edit?usp=sharing"",""เบิกจ่ายกองทุน!AE79"")"),0)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IFERROR(__xludf.DUMMYFUNCTION("IMPORTRANGE(""https://docs.google.com/spreadsheets/d/1ItG2mGa2ceCfYo0BwxsXqNm01IGEUdYcSSLTEv9YCik/edit?usp=sharing"",""เบิกจ่ายกองทุน!AF79"")"),0)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IFERROR(__xludf.DUMMYFUNCTION("IMPORTRANGE(""https://docs.google.com/spreadsheets/d/1-uDff_7J0KD5mKrp0Vvzr7lt3OU09vwQwhkpOPPYv2Y/edit?usp=sharing"",""งบพรบ!HX79"")"),0)</f>
        <v>0</v>
      </c>
      <c r="M501" s="47">
        <f ca="1">IFERROR(__xludf.DUMMYFUNCTION("IMPORTRANGE(""https://docs.google.com/spreadsheets/d/1-uDff_7J0KD5mKrp0Vvzr7lt3OU09vwQwhkpOPPYv2Y/edit?usp=sharing"",""งบพรบ!IA79"")"),0)</f>
        <v>0</v>
      </c>
      <c r="N501" s="47">
        <f ca="1">IFERROR(__xludf.DUMMYFUNCTION("IMPORTRANGE(""https://docs.google.com/spreadsheets/d/1-uDff_7J0KD5mKrp0Vvzr7lt3OU09vwQwhkpOPPYv2Y/edit?usp=sharing"",""งบพรบ!IC79"")"),0)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IFERROR(__xludf.DUMMYFUNCTION("IMPORTRANGE(""https://docs.google.com/spreadsheets/d/1eHaY18a8A9IcSdp1K8H6x8fbOy06t2VsZHhMHf-1x7Y/edit?usp=sharing"",""แผน!GX79"")"),0)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IFERROR(__xludf.DUMMYFUNCTION("IMPORTRANGE(""https://docs.google.com/spreadsheets/d/1eHaY18a8A9IcSdp1K8H6x8fbOy06t2VsZHhMHf-1x7Y/edit?usp=sharing"",""แผน!GY79"")"),0)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IFERROR(__xludf.DUMMYFUNCTION("IMPORTRANGE(""https://docs.google.com/spreadsheets/d/1eHaY18a8A9IcSdp1K8H6x8fbOy06t2VsZHhMHf-1x7Y/edit?usp=sharing"",""แผน!GZ79"")"),0)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IFERROR(__xludf.DUMMYFUNCTION("IMPORTRANGE(""https://docs.google.com/spreadsheets/d/1eHaY18a8A9IcSdp1K8H6x8fbOy06t2VsZHhMHf-1x7Y/edit?usp=sharing"",""แผน!HA79"")"),0)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IFERROR(__xludf.DUMMYFUNCTION("IMPORTRANGE(""https://docs.google.com/spreadsheets/d/1eHaY18a8A9IcSdp1K8H6x8fbOy06t2VsZHhMHf-1x7Y/edit?usp=sharing"",""แผน!HB79"")"),0)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IFERROR(__xludf.DUMMYFUNCTION("IMPORTRANGE(""https://docs.google.com/spreadsheets/d/1eHaY18a8A9IcSdp1K8H6x8fbOy06t2VsZHhMHf-1x7Y/edit?usp=sharing"",""แผน!HC79"")"),0)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29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26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25" t="s">
        <v>207</v>
      </c>
      <c r="C512" s="372"/>
      <c r="D512" s="373"/>
      <c r="E512" s="373"/>
      <c r="F512" s="373"/>
      <c r="G512" s="374"/>
      <c r="H512" s="824" t="s">
        <v>61</v>
      </c>
      <c r="I512" s="823">
        <f>I524</f>
        <v>0</v>
      </c>
      <c r="J512" s="823">
        <f>J524</f>
        <v>0</v>
      </c>
      <c r="K512" s="822">
        <f>IF(I512&gt;0,J512*100/I512,0)</f>
        <v>0</v>
      </c>
      <c r="L512" s="591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21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0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IFERROR(__xludf.DUMMYFUNCTION("IMPORTRANGE(""https://docs.google.com/spreadsheets/d/1-uDff_7J0KD5mKrp0Vvzr7lt3OU09vwQwhkpOPPYv2Y/edit?usp=sharing"",""งบพรบ!FM79"")"),0)</f>
        <v>0</v>
      </c>
      <c r="M518" s="47">
        <f ca="1">IFERROR(__xludf.DUMMYFUNCTION("IMPORTRANGE(""https://docs.google.com/spreadsheets/d/1-uDff_7J0KD5mKrp0Vvzr7lt3OU09vwQwhkpOPPYv2Y/edit?usp=sharing"",""งบพรบ!FR79"")"),0)</f>
        <v>0</v>
      </c>
      <c r="N518" s="47">
        <f ca="1">IFERROR(__xludf.DUMMYFUNCTION("IMPORTRANGE(""https://docs.google.com/spreadsheets/d/1-uDff_7J0KD5mKrp0Vvzr7lt3OU09vwQwhkpOPPYv2Y/edit?usp=sharing"",""งบพรบ!FT79"")"),0)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0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IFERROR(__xludf.DUMMYFUNCTION("IMPORTRANGE(""https://docs.google.com/spreadsheets/d/1-uDff_7J0KD5mKrp0Vvzr7lt3OU09vwQwhkpOPPYv2Y/edit?usp=sharing"",""งบพรบ!FP79"")"),0)</f>
        <v>0</v>
      </c>
      <c r="M521" s="47">
        <f ca="1">IFERROR(__xludf.DUMMYFUNCTION("IMPORTRANGE(""https://docs.google.com/spreadsheets/d/1-uDff_7J0KD5mKrp0Vvzr7lt3OU09vwQwhkpOPPYv2Y/edit?usp=sharing"",""งบพรบ!FS79"")"),0)</f>
        <v>0</v>
      </c>
      <c r="N521" s="47">
        <f ca="1">IFERROR(__xludf.DUMMYFUNCTION("IMPORTRANGE(""https://docs.google.com/spreadsheets/d/1-uDff_7J0KD5mKrp0Vvzr7lt3OU09vwQwhkpOPPYv2Y/edit?usp=sharing"",""งบพรบ!FU79"")"),0)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1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19" t="s">
        <v>209</v>
      </c>
      <c r="E524" s="264"/>
      <c r="F524" s="1"/>
      <c r="G524" s="53"/>
      <c r="H524" s="818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4"/>
      <c r="B525" s="613"/>
      <c r="C525" s="613"/>
      <c r="D525" s="612"/>
      <c r="E525" s="612"/>
      <c r="F525" s="612"/>
      <c r="G525" s="611"/>
      <c r="H525" s="610"/>
      <c r="I525" s="609"/>
      <c r="J525" s="609"/>
      <c r="K525" s="608"/>
      <c r="L525" s="589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89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89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89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89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89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89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2">
        <f>I545</f>
        <v>0</v>
      </c>
      <c r="J533" s="592">
        <f>J545</f>
        <v>0</v>
      </c>
      <c r="K533" s="377">
        <f>IF(I533&gt;0,J533*100/I533,0)</f>
        <v>0</v>
      </c>
      <c r="L533" s="591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IFERROR(__xludf.DUMMYFUNCTION("IMPORTRANGE(""https://docs.google.com/spreadsheets/d/1-uDff_7J0KD5mKrp0Vvzr7lt3OU09vwQwhkpOPPYv2Y/edit?usp=sharing"",""งบพรบ!FW79"")"),0)</f>
        <v>0</v>
      </c>
      <c r="M539" s="47">
        <f ca="1">IFERROR(__xludf.DUMMYFUNCTION("IMPORTRANGE(""https://docs.google.com/spreadsheets/d/1-uDff_7J0KD5mKrp0Vvzr7lt3OU09vwQwhkpOPPYv2Y/edit?usp=sharing"",""งบพรบ!GB79"")"),0)</f>
        <v>0</v>
      </c>
      <c r="N539" s="47">
        <f ca="1">IFERROR(__xludf.DUMMYFUNCTION("IMPORTRANGE(""https://docs.google.com/spreadsheets/d/1-uDff_7J0KD5mKrp0Vvzr7lt3OU09vwQwhkpOPPYv2Y/edit?usp=sharing"",""งบพรบ!GD79"")"),0)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IFERROR(__xludf.DUMMYFUNCTION("IMPORTRANGE(""https://docs.google.com/spreadsheets/d/1-uDff_7J0KD5mKrp0Vvzr7lt3OU09vwQwhkpOPPYv2Y/edit?usp=sharing"",""งบพรบ!FZ79"")"),0)</f>
        <v>0</v>
      </c>
      <c r="M542" s="47">
        <f ca="1">IFERROR(__xludf.DUMMYFUNCTION("IMPORTRANGE(""https://docs.google.com/spreadsheets/d/1-uDff_7J0KD5mKrp0Vvzr7lt3OU09vwQwhkpOPPYv2Y/edit?usp=sharing"",""งบพรบ!GC79"")"),0)</f>
        <v>0</v>
      </c>
      <c r="N542" s="47">
        <f ca="1">IFERROR(__xludf.DUMMYFUNCTION("IMPORTRANGE(""https://docs.google.com/spreadsheets/d/1-uDff_7J0KD5mKrp0Vvzr7lt3OU09vwQwhkpOPPYv2Y/edit?usp=sharing"",""งบพรบ!GE79"")"),0)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89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89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89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89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89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89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89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89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89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2">
        <f>I566</f>
        <v>0</v>
      </c>
      <c r="J554" s="592">
        <f>J566</f>
        <v>0</v>
      </c>
      <c r="K554" s="377">
        <f>IF(I554&gt;0,J554*100/I554,0)</f>
        <v>0</v>
      </c>
      <c r="L554" s="591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IFERROR(__xludf.DUMMYFUNCTION("IMPORTRANGE(""https://docs.google.com/spreadsheets/d/1-uDff_7J0KD5mKrp0Vvzr7lt3OU09vwQwhkpOPPYv2Y/edit?usp=sharing"",""งบพรบ!GG79"")"),0)</f>
        <v>0</v>
      </c>
      <c r="M560" s="47">
        <f ca="1">IFERROR(__xludf.DUMMYFUNCTION("IMPORTRANGE(""https://docs.google.com/spreadsheets/d/1-uDff_7J0KD5mKrp0Vvzr7lt3OU09vwQwhkpOPPYv2Y/edit?usp=sharing"",""งบพรบ!GL79"")"),0)</f>
        <v>0</v>
      </c>
      <c r="N560" s="47">
        <f ca="1">IFERROR(__xludf.DUMMYFUNCTION("IMPORTRANGE(""https://docs.google.com/spreadsheets/d/1-uDff_7J0KD5mKrp0Vvzr7lt3OU09vwQwhkpOPPYv2Y/edit?usp=sharing"",""งบพรบ!GN79"")"),0)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IFERROR(__xludf.DUMMYFUNCTION("IMPORTRANGE(""https://docs.google.com/spreadsheets/d/1-uDff_7J0KD5mKrp0Vvzr7lt3OU09vwQwhkpOPPYv2Y/edit?usp=sharing"",""งบพรบ!GJ79"")"),0)</f>
        <v>0</v>
      </c>
      <c r="M563" s="47">
        <f ca="1">IFERROR(__xludf.DUMMYFUNCTION("IMPORTRANGE(""https://docs.google.com/spreadsheets/d/1-uDff_7J0KD5mKrp0Vvzr7lt3OU09vwQwhkpOPPYv2Y/edit?usp=sharing"",""งบพรบ!GM79"")"),0)</f>
        <v>0</v>
      </c>
      <c r="N563" s="47">
        <f ca="1">IFERROR(__xludf.DUMMYFUNCTION("IMPORTRANGE(""https://docs.google.com/spreadsheets/d/1-uDff_7J0KD5mKrp0Vvzr7lt3OU09vwQwhkpOPPYv2Y/edit?usp=sharing"",""งบพรบ!GO79"")"),0)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89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89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89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89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89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89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89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89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89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2">
        <f>I587</f>
        <v>0</v>
      </c>
      <c r="J575" s="592">
        <f>J587</f>
        <v>0</v>
      </c>
      <c r="K575" s="377">
        <f>IF(I575&gt;0,J575*100/I575,0)</f>
        <v>0</v>
      </c>
      <c r="L575" s="591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IFERROR(__xludf.DUMMYFUNCTION("IMPORTRANGE(""https://docs.google.com/spreadsheets/d/1-uDff_7J0KD5mKrp0Vvzr7lt3OU09vwQwhkpOPPYv2Y/edit?usp=sharing"",""งบพรบ!GQ79"")"),0)</f>
        <v>0</v>
      </c>
      <c r="M581" s="47">
        <f ca="1">IFERROR(__xludf.DUMMYFUNCTION("IMPORTRANGE(""https://docs.google.com/spreadsheets/d/1-uDff_7J0KD5mKrp0Vvzr7lt3OU09vwQwhkpOPPYv2Y/edit?usp=sharing"",""งบพรบ!GV79"")"),0)</f>
        <v>0</v>
      </c>
      <c r="N581" s="47">
        <f ca="1">IFERROR(__xludf.DUMMYFUNCTION("IMPORTRANGE(""https://docs.google.com/spreadsheets/d/1-uDff_7J0KD5mKrp0Vvzr7lt3OU09vwQwhkpOPPYv2Y/edit?usp=sharing"",""งบพรบ!GX79"")"),0)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IFERROR(__xludf.DUMMYFUNCTION("IMPORTRANGE(""https://docs.google.com/spreadsheets/d/1-uDff_7J0KD5mKrp0Vvzr7lt3OU09vwQwhkpOPPYv2Y/edit?usp=sharing"",""งบพรบ!GT79"")"),0)</f>
        <v>0</v>
      </c>
      <c r="M584" s="47">
        <f ca="1">IFERROR(__xludf.DUMMYFUNCTION("IMPORTRANGE(""https://docs.google.com/spreadsheets/d/1-uDff_7J0KD5mKrp0Vvzr7lt3OU09vwQwhkpOPPYv2Y/edit?usp=sharing"",""งบพรบ!GW79"")"),0)</f>
        <v>0</v>
      </c>
      <c r="N584" s="47">
        <f ca="1">IFERROR(__xludf.DUMMYFUNCTION("IMPORTRANGE(""https://docs.google.com/spreadsheets/d/1-uDff_7J0KD5mKrp0Vvzr7lt3OU09vwQwhkpOPPYv2Y/edit?usp=sharing"",""งบพรบ!GY79"")"),0)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89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89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89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89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89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89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89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89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89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35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35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417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2">
        <f ca="1">L600+L601</f>
        <v>16160</v>
      </c>
      <c r="M599" s="421">
        <f ca="1">M600+M601</f>
        <v>16160</v>
      </c>
      <c r="N599" s="421">
        <f ca="1">N600+N601</f>
        <v>0</v>
      </c>
      <c r="O599" s="421">
        <f ca="1">IF(L599&gt;0,N599*100/L599,0)</f>
        <v>0</v>
      </c>
      <c r="P599" s="421">
        <f ca="1">IF(M599&gt;0,N599*100/M599,0)</f>
        <v>0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1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1">
        <f ca="1">L604+L607</f>
        <v>16160</v>
      </c>
      <c r="M601" s="331">
        <f ca="1">M604+M607</f>
        <v>16160</v>
      </c>
      <c r="N601" s="331">
        <f ca="1">N604+N607</f>
        <v>0</v>
      </c>
      <c r="O601" s="331">
        <f ca="1">IF(L601&gt;0,N601*100/L601,0)</f>
        <v>0</v>
      </c>
      <c r="P601" s="331">
        <f ca="1">IF(M601&gt;0,N601*100/M601,0)</f>
        <v>0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9.5" x14ac:dyDescent="0.3">
      <c r="A602" s="416"/>
      <c r="B602" s="326"/>
      <c r="C602" s="326"/>
      <c r="D602" s="418" t="s">
        <v>22</v>
      </c>
      <c r="E602" s="424"/>
      <c r="F602" s="424"/>
      <c r="G602" s="425"/>
      <c r="H602" s="419" t="s">
        <v>14</v>
      </c>
      <c r="I602" s="428"/>
      <c r="J602" s="428"/>
      <c r="K602" s="429"/>
      <c r="L602" s="721">
        <f ca="1">L603+L604</f>
        <v>16160</v>
      </c>
      <c r="M602" s="331">
        <f ca="1">M603+M604</f>
        <v>16160</v>
      </c>
      <c r="N602" s="331">
        <f ca="1">N603+N604</f>
        <v>0</v>
      </c>
      <c r="O602" s="331">
        <f ca="1">IF(L602&gt;0,N602*100/L602,0)</f>
        <v>0</v>
      </c>
      <c r="P602" s="331">
        <f ca="1">IF(M602&gt;0,N602*100/M602,0)</f>
        <v>0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1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1">
        <f ca="1">IFERROR(__xludf.DUMMYFUNCTION("IMPORTRANGE(""https://docs.google.com/spreadsheets/d/1-uDff_7J0KD5mKrp0Vvzr7lt3OU09vwQwhkpOPPYv2Y/edit?usp=sharing"",""งบพรบ!HK79"")"),16160)</f>
        <v>16160</v>
      </c>
      <c r="M604" s="331">
        <f ca="1">IFERROR(__xludf.DUMMYFUNCTION("IMPORTRANGE(""https://docs.google.com/spreadsheets/d/1-uDff_7J0KD5mKrp0Vvzr7lt3OU09vwQwhkpOPPYv2Y/edit?usp=sharing"",""งบพรบ!HP79"")"),16160)</f>
        <v>16160</v>
      </c>
      <c r="N604" s="331">
        <f ca="1">IFERROR(__xludf.DUMMYFUNCTION("IMPORTRANGE(""https://docs.google.com/spreadsheets/d/1-uDff_7J0KD5mKrp0Vvzr7lt3OU09vwQwhkpOPPYv2Y/edit?usp=sharing"",""งบพรบ!HR79"")"),0)</f>
        <v>0</v>
      </c>
      <c r="O604" s="331">
        <f ca="1">IF(L604&gt;0,N604*100/L604,0)</f>
        <v>0</v>
      </c>
      <c r="P604" s="331">
        <f ca="1">IF(M604&gt;0,N604*100/M604,0)</f>
        <v>0</v>
      </c>
      <c r="Q604" s="331">
        <f ca="1">IFERROR(__xludf.DUMMYFUNCTION("IMPORTRANGE(""https://docs.google.com/spreadsheets/d/1ItG2mGa2ceCfYo0BwxsXqNm01IGEUdYcSSLTEv9YCik/edit?usp=sharing"",""เบิกจ่ายกองทุน!AV79"")"),0)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IFERROR(__xludf.DUMMYFUNCTION("IMPORTRANGE(""https://docs.google.com/spreadsheets/d/1ItG2mGa2ceCfYo0BwxsXqNm01IGEUdYcSSLTEv9YCik/edit?usp=sharing"",""เบิกจ่ายกองทุน!AW79"")"),0)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IFERROR(__xludf.DUMMYFUNCTION("IMPORTRANGE(""https://docs.google.com/spreadsheets/d/1ItG2mGa2ceCfYo0BwxsXqNm01IGEUdYcSSLTEv9YCik/edit?usp=sharing"",""เบิกจ่ายกองทุน!AX79"")"),0)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9.5" x14ac:dyDescent="0.3">
      <c r="A605" s="416"/>
      <c r="B605" s="326"/>
      <c r="C605" s="326"/>
      <c r="D605" s="418" t="s">
        <v>23</v>
      </c>
      <c r="E605" s="326"/>
      <c r="F605" s="424"/>
      <c r="G605" s="425"/>
      <c r="H605" s="430" t="s">
        <v>14</v>
      </c>
      <c r="I605" s="428"/>
      <c r="J605" s="428"/>
      <c r="K605" s="429"/>
      <c r="L605" s="721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721">
        <v>0</v>
      </c>
      <c r="M606" s="331">
        <v>0</v>
      </c>
      <c r="N606" s="331">
        <v>0</v>
      </c>
      <c r="O606" s="331">
        <f>IF(L606&gt;0,N606*100/L606,0)</f>
        <v>0</v>
      </c>
      <c r="P606" s="331">
        <f>IF(M606&gt;0,N606*100/M606,0)</f>
        <v>0</v>
      </c>
      <c r="Q606" s="331">
        <v>0</v>
      </c>
      <c r="R606" s="331">
        <v>0</v>
      </c>
      <c r="S606" s="331">
        <v>0</v>
      </c>
      <c r="T606" s="331">
        <f>IF(Q606&gt;0,S606*100/Q606,0)</f>
        <v>0</v>
      </c>
      <c r="U606" s="331">
        <f>IF(R606&gt;0,S606*100/R606,0)</f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721">
        <f ca="1">IFERROR(__xludf.DUMMYFUNCTION("IMPORTRANGE(""https://docs.google.com/spreadsheets/d/1-uDff_7J0KD5mKrp0Vvzr7lt3OU09vwQwhkpOPPYv2Y/edit?usp=sharing"",""งบพรบ!HN79"")"),0)</f>
        <v>0</v>
      </c>
      <c r="M607" s="331">
        <f ca="1">IFERROR(__xludf.DUMMYFUNCTION("IMPORTRANGE(""https://docs.google.com/spreadsheets/d/1-uDff_7J0KD5mKrp0Vvzr7lt3OU09vwQwhkpOPPYv2Y/edit?usp=sharing"",""งบพรบ!HQ79"")"),0)</f>
        <v>0</v>
      </c>
      <c r="N607" s="331">
        <f ca="1">IFERROR(__xludf.DUMMYFUNCTION("IMPORTRANGE(""https://docs.google.com/spreadsheets/d/1-uDff_7J0KD5mKrp0Vvzr7lt3OU09vwQwhkpOPPYv2Y/edit?usp=sharing"",""งบพรบ!HS79"")"),0)</f>
        <v>0</v>
      </c>
      <c r="O607" s="331">
        <f ca="1">IF(L607&gt;0,N607*100/L607,0)</f>
        <v>0</v>
      </c>
      <c r="P607" s="331">
        <f ca="1">IF(M607&gt;0,N607*100/M607,0)</f>
        <v>0</v>
      </c>
      <c r="Q607" s="331">
        <f ca="1">IFERROR(__xludf.DUMMYFUNCTION("IMPORTRANGE(""https://docs.google.com/spreadsheets/d/1ItG2mGa2ceCfYo0BwxsXqNm01IGEUdYcSSLTEv9YCik/edit?usp=sharing"",""เบิกจ่ายกองทุน!AY79"")"),0)</f>
        <v>0</v>
      </c>
      <c r="R607" s="331">
        <f ca="1">IFERROR(__xludf.DUMMYFUNCTION("IMPORTRANGE(""https://docs.google.com/spreadsheets/d/1ItG2mGa2ceCfYo0BwxsXqNm01IGEUdYcSSLTEv9YCik/edit?usp=sharing"",""เบิกจ่ายกองทุน!AZ79"")"),0)</f>
        <v>0</v>
      </c>
      <c r="S607" s="331">
        <f ca="1">IFERROR(__xludf.DUMMYFUNCTION("IMPORTRANGE(""https://docs.google.com/spreadsheets/d/1ItG2mGa2ceCfYo0BwxsXqNm01IGEUdYcSSLTEv9YCik/edit?usp=sharing"",""เบิกจ่ายกองทุน!BA79"")"),0)</f>
        <v>0</v>
      </c>
      <c r="T607" s="331">
        <f ca="1">IF(Q607&gt;0,S607*100/Q607,0)</f>
        <v>0</v>
      </c>
      <c r="U607" s="331">
        <f ca="1">IF(R607&gt;0,S607*100/R607,0)</f>
        <v>0</v>
      </c>
    </row>
    <row r="608" spans="1:21" ht="19.5" hidden="1" x14ac:dyDescent="0.3">
      <c r="A608" s="432"/>
      <c r="B608" s="433"/>
      <c r="C608" s="417" t="s">
        <v>18</v>
      </c>
      <c r="D608" s="617" t="s">
        <v>38</v>
      </c>
      <c r="E608" s="435"/>
      <c r="F608" s="435"/>
      <c r="G608" s="436"/>
      <c r="H608" s="437"/>
      <c r="I608" s="428"/>
      <c r="J608" s="428"/>
      <c r="K608" s="429"/>
      <c r="L608" s="553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hidden="1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553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hidden="1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553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hidden="1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553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9.5" hidden="1" thickBot="1" x14ac:dyDescent="0.3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834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0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56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463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188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6825</v>
      </c>
      <c r="R616" s="132">
        <f ca="1">R617+R618</f>
        <v>6825</v>
      </c>
      <c r="S616" s="132">
        <f ca="1">S617+S618</f>
        <v>1825</v>
      </c>
      <c r="T616" s="132">
        <f ca="1">IF(Q616&gt;0,S616*100/Q616,0)</f>
        <v>26.739926739926741</v>
      </c>
      <c r="U616" s="132">
        <f ca="1">IF(R616&gt;0,S616*100/R616,0)</f>
        <v>26.739926739926741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6825</v>
      </c>
      <c r="R618" s="47">
        <f ca="1">R621+R624</f>
        <v>6825</v>
      </c>
      <c r="S618" s="47">
        <f ca="1">S621+S624</f>
        <v>1825</v>
      </c>
      <c r="T618" s="47">
        <f ca="1">IF(Q618&gt;0,S618*100/Q618,0)</f>
        <v>26.739926739926741</v>
      </c>
      <c r="U618" s="47">
        <f ca="1">IF(R618&gt;0,S618*100/R618,0)</f>
        <v>26.739926739926741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6825</v>
      </c>
      <c r="R619" s="47">
        <f ca="1">R620+R621</f>
        <v>6825</v>
      </c>
      <c r="S619" s="47">
        <f ca="1">S620+S621</f>
        <v>1825</v>
      </c>
      <c r="T619" s="47">
        <f ca="1">IF(Q619&gt;0,S619*100/Q619,0)</f>
        <v>26.739926739926741</v>
      </c>
      <c r="U619" s="47">
        <f ca="1">IF(R619&gt;0,S619*100/R619,0)</f>
        <v>26.739926739926741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IFERROR(__xludf.DUMMYFUNCTION("IMPORTRANGE(""https://docs.google.com/spreadsheets/d/1ItG2mGa2ceCfYo0BwxsXqNm01IGEUdYcSSLTEv9YCik/edit?usp=sharing"",""เบิกจ่ายกองทุน!F79"")"),6825)</f>
        <v>6825</v>
      </c>
      <c r="R621" s="47">
        <f ca="1">IFERROR(__xludf.DUMMYFUNCTION("IMPORTRANGE(""https://docs.google.com/spreadsheets/d/1ItG2mGa2ceCfYo0BwxsXqNm01IGEUdYcSSLTEv9YCik/edit?usp=sharing"",""เบิกจ่ายกองทุน!G79"")"),6825)</f>
        <v>6825</v>
      </c>
      <c r="S621" s="47">
        <f ca="1">IFERROR(__xludf.DUMMYFUNCTION("IMPORTRANGE(""https://docs.google.com/spreadsheets/d/1ItG2mGa2ceCfYo0BwxsXqNm01IGEUdYcSSLTEv9YCik/edit?usp=sharing"",""เบิกจ่ายกองทุน!H79"")"),1825)</f>
        <v>1825</v>
      </c>
      <c r="T621" s="47">
        <f ca="1">IF(Q621&gt;0,S621*100/Q621,0)</f>
        <v>26.739926739926741</v>
      </c>
      <c r="U621" s="47">
        <f ca="1">IF(R621&gt;0,S621*100/R621,0)</f>
        <v>26.739926739926741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IFERROR(__xludf.DUMMYFUNCTION("IMPORTRANGE(""https://docs.google.com/spreadsheets/d/1eHaY18a8A9IcSdp1K8H6x8fbOy06t2VsZHhMHf-1x7Y/edit?usp=sharing"",""แผน!ID79"")"),50)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IFERROR(__xludf.DUMMYFUNCTION("IMPORTRANGE(""https://docs.google.com/spreadsheets/d/1eHaY18a8A9IcSdp1K8H6x8fbOy06t2VsZHhMHf-1x7Y/edit?usp=sharing"",""แผน!IC79"")"),0)</f>
        <v>0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IFERROR(__xludf.DUMMYFUNCTION("IMPORTRANGE(""https://docs.google.com/spreadsheets/d/1eHaY18a8A9IcSdp1K8H6x8fbOy06t2VsZHhMHf-1x7Y/edit?usp=sharing"",""แผน!IC79"")"),0)</f>
        <v>0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IFERROR(__xludf.DUMMYFUNCTION("IMPORTRANGE(""https://docs.google.com/spreadsheets/d/1eHaY18a8A9IcSdp1K8H6x8fbOy06t2VsZHhMHf-1x7Y/edit?usp=sharing"",""แผน!IE79"")"),0)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63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IFERROR(__xludf.DUMMYFUNCTION("IMPORTRANGE(""https://docs.google.com/spreadsheets/d/1ItG2mGa2ceCfYo0BwxsXqNm01IGEUdYcSSLTEv9YCik/edit?usp=sharing"",""เบิกจ่ายกองทุน!I79"")"),0)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IFERROR(__xludf.DUMMYFUNCTION("IMPORTRANGE(""https://docs.google.com/spreadsheets/d/1ItG2mGa2ceCfYo0BwxsXqNm01IGEUdYcSSLTEv9YCik/edit?usp=sharing"",""เบิกจ่ายกองทุน!J79"")"),0)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IFERROR(__xludf.DUMMYFUNCTION("IMPORTRANGE(""https://docs.google.com/spreadsheets/d/1ItG2mGa2ceCfYo0BwxsXqNm01IGEUdYcSSLTEv9YCik/edit?usp=sharing"",""เบิกจ่ายกองทุน!K79"")"),0)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IFERROR(__xludf.DUMMYFUNCTION("IMPORTRANGE(""https://docs.google.com/spreadsheets/d/1eHaY18a8A9IcSdp1K8H6x8fbOy06t2VsZHhMHf-1x7Y/edit?usp=sharing"",""แผน!IF79"")"),0)</f>
        <v>0</v>
      </c>
      <c r="J652" s="152">
        <f ca="1">IFERROR(__xludf.DUMMYFUNCTION("IMPORTRANGE(""https://docs.google.com/spreadsheets/d/1tdoBKaGub7dwA3U6UFTqxio9LNnvDCQjHKmttSEBsFQ/edit?usp=sharing"",""จัดที่ดิน!AU79"")"),0)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IFERROR(__xludf.DUMMYFUNCTION("IMPORTRANGE(""https://docs.google.com/spreadsheets/d/1eHaY18a8A9IcSdp1K8H6x8fbOy06t2VsZHhMHf-1x7Y/edit?usp=sharing"",""แผน!IG79"")"),0)</f>
        <v>0</v>
      </c>
      <c r="J653" s="152">
        <f ca="1">IFERROR(__xludf.DUMMYFUNCTION("IMPORTRANGE(""https://docs.google.com/spreadsheets/d/1tdoBKaGub7dwA3U6UFTqxio9LNnvDCQjHKmttSEBsFQ/edit?usp=sharing"",""จัดที่ดิน!AW79"")"),0)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IFERROR(__xludf.DUMMYFUNCTION("IMPORTRANGE(""https://docs.google.com/spreadsheets/d/1eHaY18a8A9IcSdp1K8H6x8fbOy06t2VsZHhMHf-1x7Y/edit?usp=sharing"",""แผน!IH79"")"),0)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IFERROR(__xludf.DUMMYFUNCTION("IMPORTRANGE(""https://docs.google.com/spreadsheets/d/1eHaY18a8A9IcSdp1K8H6x8fbOy06t2VsZHhMHf-1x7Y/edit?usp=sharing"",""แผน!II79"")"),0)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IFERROR(__xludf.DUMMYFUNCTION("IMPORTRANGE(""https://docs.google.com/spreadsheets/d/1eHaY18a8A9IcSdp1K8H6x8fbOy06t2VsZHhMHf-1x7Y/edit?usp=sharing"",""แผน!IJ79"")"),0)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IFERROR(__xludf.DUMMYFUNCTION("IMPORTRANGE(""https://docs.google.com/spreadsheets/d/1eHaY18a8A9IcSdp1K8H6x8fbOy06t2VsZHhMHf-1x7Y/edit?usp=sharing"",""แผน!IK79"")"),0)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IFERROR(__xludf.DUMMYFUNCTION("IMPORTRANGE(""https://docs.google.com/spreadsheets/d/1tdoBKaGub7dwA3U6UFTqxio9LNnvDCQjHKmttSEBsFQ/edit?usp=sharing"",""จัดที่ดิน!AY79"")"),0)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IFERROR(__xludf.DUMMYFUNCTION("IMPORTRANGE(""https://docs.google.com/spreadsheets/d/1tdoBKaGub7dwA3U6UFTqxio9LNnvDCQjHKmttSEBsFQ/edit?usp=sharing"",""จัดที่ดิน!AZ79"")"),0)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IFERROR(__xludf.DUMMYFUNCTION("IMPORTRANGE(""https://docs.google.com/spreadsheets/d/1eHaY18a8A9IcSdp1K8H6x8fbOy06t2VsZHhMHf-1x7Y/edit?usp=sharing"",""แผน!IL79"")"),0)</f>
        <v>0</v>
      </c>
      <c r="J673" s="152">
        <f ca="1">IFERROR(__xludf.DUMMYFUNCTION("IMPORTRANGE(""https://docs.google.com/spreadsheets/d/1tdoBKaGub7dwA3U6UFTqxio9LNnvDCQjHKmttSEBsFQ/edit?usp=sharing"",""จัดที่ดิน!BA79"")"),0)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IFERROR(__xludf.DUMMYFUNCTION("IMPORTRANGE(""https://docs.google.com/spreadsheets/d/1eHaY18a8A9IcSdp1K8H6x8fbOy06t2VsZHhMHf-1x7Y/edit?usp=sharing"",""แผน!IM79"")"),0)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IFERROR(__xludf.DUMMYFUNCTION("IMPORTRANGE(""https://docs.google.com/spreadsheets/d/1eHaY18a8A9IcSdp1K8H6x8fbOy06t2VsZHhMHf-1x7Y/edit?usp=sharing"",""แผน!IN79"")"),0)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IFERROR(__xludf.DUMMYFUNCTION("IMPORTRANGE(""https://docs.google.com/spreadsheets/d/1eHaY18a8A9IcSdp1K8H6x8fbOy06t2VsZHhMHf-1x7Y/edit?usp=sharing"",""แผน!IO79"")"),0)</f>
        <v>0</v>
      </c>
      <c r="J676" s="152">
        <f ca="1">IFERROR(__xludf.DUMMYFUNCTION("IMPORTRANGE(""https://docs.google.com/spreadsheets/d/1tdoBKaGub7dwA3U6UFTqxio9LNnvDCQjHKmttSEBsFQ/edit?usp=sharing"",""จัดที่ดิน!BF79"")"),0)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IFERROR(__xludf.DUMMYFUNCTION("IMPORTRANGE(""https://docs.google.com/spreadsheets/d/1tdoBKaGub7dwA3U6UFTqxio9LNnvDCQjHKmttSEBsFQ/edit?usp=sharing"",""จัดที่ดิน!BG79"")"),0)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IFERROR(__xludf.DUMMYFUNCTION("IMPORTRANGE(""https://docs.google.com/spreadsheets/d/1eHaY18a8A9IcSdp1K8H6x8fbOy06t2VsZHhMHf-1x7Y/edit?usp=sharing"",""แผน!IP79"")"),0)</f>
        <v>0</v>
      </c>
      <c r="J678" s="152">
        <f ca="1">IFERROR(__xludf.DUMMYFUNCTION("IMPORTRANGE(""https://docs.google.com/spreadsheets/d/1tdoBKaGub7dwA3U6UFTqxio9LNnvDCQjHKmttSEBsFQ/edit?usp=sharing"",""จัดที่ดิน!BH79"")"),0)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IFERROR(__xludf.DUMMYFUNCTION("IMPORTRANGE(""https://docs.google.com/spreadsheets/d/1eHaY18a8A9IcSdp1K8H6x8fbOy06t2VsZHhMHf-1x7Y/edit?usp=sharing"",""แผน!IQ79"")"),0)</f>
        <v>0</v>
      </c>
      <c r="J679" s="152">
        <f ca="1">IFERROR(__xludf.DUMMYFUNCTION("IMPORTRANGE(""https://docs.google.com/spreadsheets/d/1tdoBKaGub7dwA3U6UFTqxio9LNnvDCQjHKmttSEBsFQ/edit?usp=sharing"",""จัดที่ดิน!BK79"")"),0)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IFERROR(__xludf.DUMMYFUNCTION("IMPORTRANGE(""https://docs.google.com/spreadsheets/d/1tdoBKaGub7dwA3U6UFTqxio9LNnvDCQjHKmttSEBsFQ/edit?usp=sharing"",""จัดที่ดิน!BL79"")"),0)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IFERROR(__xludf.DUMMYFUNCTION("IMPORTRANGE(""https://docs.google.com/spreadsheets/d/1eHaY18a8A9IcSdp1K8H6x8fbOy06t2VsZHhMHf-1x7Y/edit?usp=sharing"",""แผน!IR79"")"),0)</f>
        <v>0</v>
      </c>
      <c r="J681" s="152">
        <f ca="1">IFERROR(__xludf.DUMMYFUNCTION("IMPORTRANGE(""https://docs.google.com/spreadsheets/d/1tdoBKaGub7dwA3U6UFTqxio9LNnvDCQjHKmttSEBsFQ/edit?usp=sharing"",""จัดที่ดิน!BM79"")"),0)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IFERROR(__xludf.DUMMYFUNCTION("IMPORTRANGE(""https://docs.google.com/spreadsheets/d/1eHaY18a8A9IcSdp1K8H6x8fbOy06t2VsZHhMHf-1x7Y/edit?usp=sharing"",""แผน!IS79"")"),0)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56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2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0</v>
      </c>
      <c r="R690" s="132">
        <f ca="1">R691+R692</f>
        <v>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0</v>
      </c>
      <c r="R692" s="47">
        <f ca="1">R695+R698</f>
        <v>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0</v>
      </c>
      <c r="R693" s="47">
        <f ca="1">R694+R695</f>
        <v>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IFERROR(__xludf.DUMMYFUNCTION("IMPORTRANGE(""https://docs.google.com/spreadsheets/d/1ItG2mGa2ceCfYo0BwxsXqNm01IGEUdYcSSLTEv9YCik/edit?usp=sharing"",""เบิกจ่ายกองทุน!L79"")"),0)</f>
        <v>0</v>
      </c>
      <c r="R695" s="47">
        <f ca="1">IFERROR(__xludf.DUMMYFUNCTION("IMPORTRANGE(""https://docs.google.com/spreadsheets/d/1ItG2mGa2ceCfYo0BwxsXqNm01IGEUdYcSSLTEv9YCik/edit?usp=sharing"",""เบิกจ่ายกองทุน!M79"")"),0)</f>
        <v>0</v>
      </c>
      <c r="S695" s="47">
        <f ca="1">IFERROR(__xludf.DUMMYFUNCTION("IMPORTRANGE(""https://docs.google.com/spreadsheets/d/1ItG2mGa2ceCfYo0BwxsXqNm01IGEUdYcSSLTEv9YCik/edit?usp=sharing"",""เบิกจ่ายกองทุน!N79"")"),0)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IFERROR(__xludf.DUMMYFUNCTION("IMPORTRANGE(""https://docs.google.com/spreadsheets/d/1eHaY18a8A9IcSdp1K8H6x8fbOy06t2VsZHhMHf-1x7Y/edit?usp=sharing"",""แผน!LC79"")"),0)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2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864">
        <f ca="1">J704+J706</f>
        <v>0.21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IFERROR(__xludf.DUMMYFUNCTION("IMPORTRANGE(""https://docs.google.com/spreadsheets/d/1eHaY18a8A9IcSdp1K8H6x8fbOy06t2VsZHhMHf-1x7Y/edit?usp=sharing"",""แผน!LJ79"")"),0)</f>
        <v>0</v>
      </c>
      <c r="J703" s="152">
        <f ca="1">IFERROR(__xludf.DUMMYFUNCTION("IMPORTRANGE(""https://docs.google.com/spreadsheets/d/1tdoBKaGub7dwA3U6UFTqxio9LNnvDCQjHKmttSEBsFQ/edit?usp=sharing"",""จัดที่ดิน!AP79"")"),2)</f>
        <v>2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686">
        <f ca="1">IFERROR(__xludf.DUMMYFUNCTION("IMPORTRANGE(""https://docs.google.com/spreadsheets/d/1tdoBKaGub7dwA3U6UFTqxio9LNnvDCQjHKmttSEBsFQ/edit?usp=sharing"",""จัดที่ดิน!AQ79"")"),0.21)</f>
        <v>0.21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IFERROR(__xludf.DUMMYFUNCTION("IMPORTRANGE(""https://docs.google.com/spreadsheets/d/1eHaY18a8A9IcSdp1K8H6x8fbOy06t2VsZHhMHf-1x7Y/edit?usp=sharing"",""แผน!LK79"")"),0)</f>
        <v>0</v>
      </c>
      <c r="J705" s="152">
        <f ca="1">IFERROR(__xludf.DUMMYFUNCTION("IMPORTRANGE(""https://docs.google.com/spreadsheets/d/1tdoBKaGub7dwA3U6UFTqxio9LNnvDCQjHKmttSEBsFQ/edit?usp=sharing"",""จัดที่ดิน!AR79"")"),0)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IFERROR(__xludf.DUMMYFUNCTION("IMPORTRANGE(""https://docs.google.com/spreadsheets/d/1tdoBKaGub7dwA3U6UFTqxio9LNnvDCQjHKmttSEBsFQ/edit?usp=sharing"",""จัดที่ดิน!AS79"")"),0)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IFERROR(__xludf.DUMMYFUNCTION("IMPORTRANGE(""https://docs.google.com/spreadsheets/d/1eHaY18a8A9IcSdp1K8H6x8fbOy06t2VsZHhMHf-1x7Y/edit?usp=sharing"",""แผน!LJ79"")"),0)</f>
        <v>0</v>
      </c>
      <c r="J707" s="152">
        <f ca="1">IFERROR(__xludf.DUMMYFUNCTION("IMPORTRANGE(""https://docs.google.com/spreadsheets/d/1tdoBKaGub7dwA3U6UFTqxio9LNnvDCQjHKmttSEBsFQ/edit?usp=sharing"",""จัดที่ดิน!BN79"")"),2)</f>
        <v>2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IFERROR(__xludf.DUMMYFUNCTION("IMPORTRANGE(""https://docs.google.com/spreadsheets/d/1tdoBKaGub7dwA3U6UFTqxio9LNnvDCQjHKmttSEBsFQ/edit?usp=sharing"",""จัดที่ดิน!BO79"")"),0.21)</f>
        <v>0.21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IFERROR(__xludf.DUMMYFUNCTION("IMPORTRANGE(""https://docs.google.com/spreadsheets/d/1eHaY18a8A9IcSdp1K8H6x8fbOy06t2VsZHhMHf-1x7Y/edit?usp=sharing"",""แผน!LK79"")"),0)</f>
        <v>0</v>
      </c>
      <c r="J709" s="152">
        <f ca="1">IFERROR(__xludf.DUMMYFUNCTION("IMPORTRANGE(""https://docs.google.com/spreadsheets/d/1tdoBKaGub7dwA3U6UFTqxio9LNnvDCQjHKmttSEBsFQ/edit?usp=sharing"",""จัดที่ดิน!BP79"")"),0)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IFERROR(__xludf.DUMMYFUNCTION("IMPORTRANGE(""https://docs.google.com/spreadsheets/d/1tdoBKaGub7dwA3U6UFTqxio9LNnvDCQjHKmttSEBsFQ/edit?usp=sharing"",""จัดที่ดิน!BQ79"")"),0)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56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56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56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IFERROR(__xludf.DUMMYFUNCTION("IMPORTRANGE(""https://docs.google.com/spreadsheets/d/1eHaY18a8A9IcSdp1K8H6x8fbOy06t2VsZHhMHf-1x7Y/edit?usp=sharing"",""แผน!GA79"")"),11)</f>
        <v>11</v>
      </c>
      <c r="J726" s="483">
        <f>J742+J746+J749</f>
        <v>10</v>
      </c>
      <c r="K726" s="484">
        <f ca="1">IF(I726&gt;0,J726*100/I726,0)</f>
        <v>90.909090909090907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IFERROR(__xludf.DUMMYFUNCTION("IMPORTRANGE(""https://docs.google.com/spreadsheets/d/1eHaY18a8A9IcSdp1K8H6x8fbOy06t2VsZHhMHf-1x7Y/edit?usp=sharing"",""แผน!FZ79"")"),100)</f>
        <v>100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188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111882</v>
      </c>
      <c r="R728" s="132">
        <f ca="1">R729+R730</f>
        <v>111882</v>
      </c>
      <c r="S728" s="132">
        <f ca="1">S729+S730</f>
        <v>47592</v>
      </c>
      <c r="T728" s="132">
        <f ca="1">IF(Q728&gt;0,S728*100/Q728,0)</f>
        <v>42.537673620421515</v>
      </c>
      <c r="U728" s="132">
        <f ca="1">IF(R728&gt;0,S728*100/R728,0)</f>
        <v>42.537673620421515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111882</v>
      </c>
      <c r="R730" s="47">
        <f ca="1">R733+R736</f>
        <v>111882</v>
      </c>
      <c r="S730" s="47">
        <f ca="1">S733+S736</f>
        <v>47592</v>
      </c>
      <c r="T730" s="47">
        <f ca="1">IF(Q730&gt;0,S730*100/Q730,0)</f>
        <v>42.537673620421515</v>
      </c>
      <c r="U730" s="47">
        <f ca="1">IF(R730&gt;0,S730*100/R730,0)</f>
        <v>42.537673620421515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111882</v>
      </c>
      <c r="R731" s="47">
        <f ca="1">R732+R733</f>
        <v>111882</v>
      </c>
      <c r="S731" s="47">
        <f ca="1">S732+S733</f>
        <v>47592</v>
      </c>
      <c r="T731" s="47">
        <f ca="1">IF(Q731&gt;0,S731*100/Q731,0)</f>
        <v>42.537673620421515</v>
      </c>
      <c r="U731" s="47">
        <f ca="1">IF(R731&gt;0,S731*100/R731,0)</f>
        <v>42.537673620421515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IFERROR(__xludf.DUMMYFUNCTION("IMPORTRANGE(""https://docs.google.com/spreadsheets/d/1ItG2mGa2ceCfYo0BwxsXqNm01IGEUdYcSSLTEv9YCik/edit?usp=sharing"",""เบิกจ่ายกองทุน!O79"")"),111882)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IFERROR(__xludf.DUMMYFUNCTION("IMPORTRANGE(""https://docs.google.com/spreadsheets/d/1ItG2mGa2ceCfYo0BwxsXqNm01IGEUdYcSSLTEv9YCik/edit?usp=sharing"",""เบิกจ่ายกองทุน!P79"")"),111882)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IFERROR(__xludf.DUMMYFUNCTION("IMPORTRANGE(""https://docs.google.com/spreadsheets/d/1ItG2mGa2ceCfYo0BwxsXqNm01IGEUdYcSSLTEv9YCik/edit?usp=sharing"",""เบิกจ่ายกองทุน!Q79"")"),47592)</f>
        <v>47592</v>
      </c>
      <c r="T733" s="47">
        <f ca="1">IF(Q733&gt;0,S733*100/Q733,0)</f>
        <v>42.537673620421515</v>
      </c>
      <c r="U733" s="47">
        <f ca="1">IF(R733&gt;0,S733*100/R733,0)</f>
        <v>42.537673620421515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72" t="s">
        <v>274</v>
      </c>
      <c r="G740" s="143"/>
      <c r="H740" s="133" t="s">
        <v>46</v>
      </c>
      <c r="I740" s="152">
        <f ca="1">IFERROR(__xludf.DUMMYFUNCTION("IMPORTRANGE(""https://docs.google.com/spreadsheets/d/1eHaY18a8A9IcSdp1K8H6x8fbOy06t2VsZHhMHf-1x7Y/edit?usp=sharing"",""แผน!GB79"")"),80)</f>
        <v>80</v>
      </c>
      <c r="J740" s="167">
        <v>80</v>
      </c>
      <c r="K740" s="47">
        <f ca="1">IF(I740&gt;0,J740*100/I740,0)</f>
        <v>100</v>
      </c>
      <c r="L740" s="546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8"/>
      <c r="B741" s="139"/>
      <c r="C741" s="139"/>
      <c r="D741" s="139"/>
      <c r="E741" s="139"/>
      <c r="F741" s="472" t="s">
        <v>275</v>
      </c>
      <c r="G741" s="143"/>
      <c r="H741" s="133" t="s">
        <v>35</v>
      </c>
      <c r="I741" s="45"/>
      <c r="J741" s="167">
        <v>0</v>
      </c>
      <c r="K741" s="46"/>
      <c r="L741" s="546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8"/>
      <c r="B742" s="139"/>
      <c r="C742" s="139"/>
      <c r="D742" s="139"/>
      <c r="E742" s="139"/>
      <c r="F742" s="472" t="s">
        <v>276</v>
      </c>
      <c r="G742" s="143"/>
      <c r="H742" s="133" t="s">
        <v>35</v>
      </c>
      <c r="I742" s="152">
        <f ca="1">IFERROR(__xludf.DUMMYFUNCTION("IMPORTRANGE(""https://docs.google.com/spreadsheets/d/1eHaY18a8A9IcSdp1K8H6x8fbOy06t2VsZHhMHf-1x7Y/edit?usp=sharing"",""แผน!GC79"")"),8)</f>
        <v>8</v>
      </c>
      <c r="J742" s="167">
        <v>8</v>
      </c>
      <c r="K742" s="47">
        <f ca="1">IF(I742&gt;0,J742*100/I742,0)</f>
        <v>100</v>
      </c>
      <c r="L742" s="546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8"/>
      <c r="B743" s="139"/>
      <c r="C743" s="139"/>
      <c r="D743" s="139"/>
      <c r="E743" s="472" t="s">
        <v>277</v>
      </c>
      <c r="F743" s="139"/>
      <c r="G743" s="143"/>
      <c r="H743" s="191"/>
      <c r="I743" s="45"/>
      <c r="J743" s="45"/>
      <c r="K743" s="46"/>
      <c r="L743" s="546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8"/>
      <c r="B744" s="139"/>
      <c r="C744" s="139"/>
      <c r="D744" s="139"/>
      <c r="E744" s="139"/>
      <c r="F744" s="472" t="s">
        <v>274</v>
      </c>
      <c r="G744" s="143"/>
      <c r="H744" s="133" t="s">
        <v>46</v>
      </c>
      <c r="I744" s="152">
        <f ca="1">IFERROR(__xludf.DUMMYFUNCTION("IMPORTRANGE(""https://docs.google.com/spreadsheets/d/1eHaY18a8A9IcSdp1K8H6x8fbOy06t2VsZHhMHf-1x7Y/edit?usp=sharing"",""แผน!GD79"")"),20)</f>
        <v>20</v>
      </c>
      <c r="J744" s="167">
        <v>20</v>
      </c>
      <c r="K744" s="47">
        <f ca="1">IF(I744&gt;0,J744*100/I744,0)</f>
        <v>100</v>
      </c>
      <c r="L744" s="546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8"/>
      <c r="B745" s="139"/>
      <c r="C745" s="139"/>
      <c r="D745" s="139"/>
      <c r="E745" s="139"/>
      <c r="F745" s="472" t="s">
        <v>278</v>
      </c>
      <c r="G745" s="143"/>
      <c r="H745" s="133" t="s">
        <v>35</v>
      </c>
      <c r="I745" s="45"/>
      <c r="J745" s="167">
        <v>0</v>
      </c>
      <c r="K745" s="46"/>
      <c r="L745" s="546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8"/>
      <c r="B746" s="139"/>
      <c r="C746" s="139"/>
      <c r="D746" s="139"/>
      <c r="E746" s="139"/>
      <c r="F746" s="472" t="s">
        <v>279</v>
      </c>
      <c r="G746" s="143"/>
      <c r="H746" s="133" t="s">
        <v>35</v>
      </c>
      <c r="I746" s="152">
        <f ca="1">IFERROR(__xludf.DUMMYFUNCTION("IMPORTRANGE(""https://docs.google.com/spreadsheets/d/1eHaY18a8A9IcSdp1K8H6x8fbOy06t2VsZHhMHf-1x7Y/edit?usp=sharing"",""แผน!GE79"")"),2)</f>
        <v>2</v>
      </c>
      <c r="J746" s="167">
        <v>2</v>
      </c>
      <c r="K746" s="47">
        <f ca="1">IF(I746&gt;0,J746*100/I746,0)</f>
        <v>100</v>
      </c>
      <c r="L746" s="546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8"/>
      <c r="B747" s="139"/>
      <c r="C747" s="139"/>
      <c r="D747" s="139"/>
      <c r="E747" s="472" t="s">
        <v>280</v>
      </c>
      <c r="F747" s="145"/>
      <c r="G747" s="143"/>
      <c r="H747" s="191"/>
      <c r="I747" s="45"/>
      <c r="J747" s="45"/>
      <c r="K747" s="46"/>
      <c r="L747" s="546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8"/>
      <c r="B748" s="139"/>
      <c r="C748" s="139"/>
      <c r="D748" s="139"/>
      <c r="E748" s="139"/>
      <c r="F748" s="472" t="s">
        <v>281</v>
      </c>
      <c r="G748" s="143"/>
      <c r="H748" s="133" t="s">
        <v>35</v>
      </c>
      <c r="I748" s="45"/>
      <c r="J748" s="167">
        <v>0</v>
      </c>
      <c r="K748" s="46"/>
      <c r="L748" s="546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8"/>
      <c r="B749" s="139"/>
      <c r="C749" s="139"/>
      <c r="D749" s="139"/>
      <c r="E749" s="139"/>
      <c r="F749" s="472" t="s">
        <v>282</v>
      </c>
      <c r="G749" s="143"/>
      <c r="H749" s="133" t="s">
        <v>35</v>
      </c>
      <c r="I749" s="152">
        <f ca="1">IFERROR(__xludf.DUMMYFUNCTION("IMPORTRANGE(""https://docs.google.com/spreadsheets/d/1eHaY18a8A9IcSdp1K8H6x8fbOy06t2VsZHhMHf-1x7Y/edit?usp=sharing"",""แผน!GF79"")"),1)</f>
        <v>1</v>
      </c>
      <c r="J749" s="167">
        <v>0</v>
      </c>
      <c r="K749" s="47">
        <f ca="1">IF(I749&gt;0,J749*100/I749,0)</f>
        <v>0</v>
      </c>
      <c r="L749" s="546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9.5" x14ac:dyDescent="0.3">
      <c r="A750" s="138"/>
      <c r="B750" s="139"/>
      <c r="C750" s="139"/>
      <c r="D750" s="500" t="s">
        <v>50</v>
      </c>
      <c r="E750" s="139"/>
      <c r="F750" s="145"/>
      <c r="G750" s="143"/>
      <c r="H750" s="191"/>
      <c r="I750" s="45"/>
      <c r="J750" s="45"/>
      <c r="K750" s="46"/>
      <c r="L750" s="546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8.75" x14ac:dyDescent="0.25">
      <c r="A751" s="138"/>
      <c r="B751" s="139"/>
      <c r="C751" s="139"/>
      <c r="D751" s="139"/>
      <c r="E751" s="472" t="s">
        <v>273</v>
      </c>
      <c r="F751" s="145"/>
      <c r="G751" s="143"/>
      <c r="H751" s="191"/>
      <c r="I751" s="45"/>
      <c r="J751" s="45"/>
      <c r="K751" s="46"/>
      <c r="L751" s="546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8"/>
      <c r="B752" s="139"/>
      <c r="C752" s="139"/>
      <c r="D752" s="139"/>
      <c r="E752" s="139"/>
      <c r="F752" s="149" t="s">
        <v>283</v>
      </c>
      <c r="G752" s="143"/>
      <c r="H752" s="133" t="s">
        <v>46</v>
      </c>
      <c r="I752" s="152">
        <f ca="1">IFERROR(__xludf.DUMMYFUNCTION("IMPORTRANGE(""https://docs.google.com/spreadsheets/d/1eHaY18a8A9IcSdp1K8H6x8fbOy06t2VsZHhMHf-1x7Y/edit?usp=sharing"",""แผน!GB79"")"),80)</f>
        <v>80</v>
      </c>
      <c r="J752" s="167">
        <v>0</v>
      </c>
      <c r="K752" s="47">
        <f ca="1">IF(I752&gt;0,J752*100/I752,0)</f>
        <v>0</v>
      </c>
      <c r="L752" s="546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8"/>
      <c r="B753" s="139"/>
      <c r="C753" s="139"/>
      <c r="D753" s="139"/>
      <c r="E753" s="139"/>
      <c r="F753" s="149" t="s">
        <v>284</v>
      </c>
      <c r="G753" s="143"/>
      <c r="H753" s="133" t="s">
        <v>46</v>
      </c>
      <c r="I753" s="45"/>
      <c r="J753" s="167">
        <v>0</v>
      </c>
      <c r="K753" s="46"/>
      <c r="L753" s="546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8"/>
      <c r="B754" s="139"/>
      <c r="C754" s="139"/>
      <c r="D754" s="139"/>
      <c r="E754" s="472" t="s">
        <v>277</v>
      </c>
      <c r="F754" s="145"/>
      <c r="G754" s="143"/>
      <c r="H754" s="191"/>
      <c r="I754" s="45"/>
      <c r="J754" s="45"/>
      <c r="K754" s="46"/>
      <c r="L754" s="546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8"/>
      <c r="B755" s="139"/>
      <c r="C755" s="139"/>
      <c r="D755" s="139"/>
      <c r="E755" s="145"/>
      <c r="F755" s="149" t="s">
        <v>285</v>
      </c>
      <c r="G755" s="143"/>
      <c r="H755" s="133" t="s">
        <v>46</v>
      </c>
      <c r="I755" s="152">
        <f ca="1">IFERROR(__xludf.DUMMYFUNCTION("IMPORTRANGE(""https://docs.google.com/spreadsheets/d/1eHaY18a8A9IcSdp1K8H6x8fbOy06t2VsZHhMHf-1x7Y/edit?usp=sharing"",""แผน!GD79"")"),20)</f>
        <v>20</v>
      </c>
      <c r="J755" s="167">
        <v>0</v>
      </c>
      <c r="K755" s="47">
        <f ca="1">IF(I755&gt;0,J755*100/I755,0)</f>
        <v>0</v>
      </c>
      <c r="L755" s="546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8"/>
      <c r="B756" s="139"/>
      <c r="C756" s="139"/>
      <c r="D756" s="139"/>
      <c r="E756" s="145"/>
      <c r="F756" s="149" t="s">
        <v>286</v>
      </c>
      <c r="G756" s="143"/>
      <c r="H756" s="133" t="s">
        <v>46</v>
      </c>
      <c r="I756" s="45"/>
      <c r="J756" s="167">
        <v>0</v>
      </c>
      <c r="K756" s="46"/>
      <c r="L756" s="546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69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hidden="1" x14ac:dyDescent="0.3">
      <c r="A758" s="456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hidden="1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hidden="1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IFERROR(__xludf.DUMMYFUNCTION("IMPORTRANGE(""https://docs.google.com/spreadsheets/d/1ItG2mGa2ceCfYo0BwxsXqNm01IGEUdYcSSLTEv9YCik/edit?usp=sharing"",""เบิกจ่ายกองทุน!AA79"")"),0)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IFERROR(__xludf.DUMMYFUNCTION("IMPORTRANGE(""https://docs.google.com/spreadsheets/d/1ItG2mGa2ceCfYo0BwxsXqNm01IGEUdYcSSLTEv9YCik/edit?usp=sharing"",""เบิกจ่ายกองทุน!AB79"")"),0)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IFERROR(__xludf.DUMMYFUNCTION("IMPORTRANGE(""https://docs.google.com/spreadsheets/d/1ItG2mGa2ceCfYo0BwxsXqNm01IGEUdYcSSLTEv9YCik/edit?usp=sharing"",""เบิกจ่ายกองทุน!AC79"")"),0)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hidden="1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IFERROR(__xludf.DUMMYFUNCTION("IMPORTRANGE(""https://docs.google.com/spreadsheets/d/1eHaY18a8A9IcSdp1K8H6x8fbOy06t2VsZHhMHf-1x7Y/edit?usp=sharing"",""แผน!FI79"")"),0)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IFERROR(__xludf.DUMMYFUNCTION("IMPORTRANGE(""https://docs.google.com/spreadsheets/d/1eHaY18a8A9IcSdp1K8H6x8fbOy06t2VsZHhMHf-1x7Y/edit?usp=sharing"",""แผน!FQ79"")"),0)</f>
        <v>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IFERROR(__xludf.DUMMYFUNCTION("IMPORTRANGE(""https://docs.google.com/spreadsheets/d/1eHaY18a8A9IcSdp1K8H6x8fbOy06t2VsZHhMHf-1x7Y/edit?usp=sharing"",""แผน!FR79"")"),0)</f>
        <v>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IFERROR(__xludf.DUMMYFUNCTION("IMPORTRANGE(""https://docs.google.com/spreadsheets/d/1eHaY18a8A9IcSdp1K8H6x8fbOy06t2VsZHhMHf-1x7Y/edit?usp=sharing"",""แผน!FS79"")"),0)</f>
        <v>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IFERROR(__xludf.DUMMYFUNCTION("IMPORTRANGE(""https://docs.google.com/spreadsheets/d/1eHaY18a8A9IcSdp1K8H6x8fbOy06t2VsZHhMHf-1x7Y/edit?usp=sharing"",""แผน!FT79"")"),0)</f>
        <v>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IFERROR(__xludf.DUMMYFUNCTION("IMPORTRANGE(""https://docs.google.com/spreadsheets/d/10OvvATaaLtwErnr3qtWFcTmtbfpFEt5Bsqel9sXx0uE/edit?usp=sharing"",""งานกองทุน!D79"")"),297253.44)</f>
        <v>297253.44</v>
      </c>
      <c r="J778" s="152">
        <f ca="1">IFERROR(__xludf.DUMMYFUNCTION("IMPORTRANGE(""https://docs.google.com/spreadsheets/d/10OvvATaaLtwErnr3qtWFcTmtbfpFEt5Bsqel9sXx0uE/edit?usp=sharing"",""งานกองทุน!F79"")"),280960.83)</f>
        <v>280960.83</v>
      </c>
      <c r="K778" s="47">
        <f ca="1">IF(I778&gt;0,J778*100/I778,0)</f>
        <v>94.518949890033227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IFERROR(__xludf.DUMMYFUNCTION("IMPORTRANGE(""https://docs.google.com/spreadsheets/d/10OvvATaaLtwErnr3qtWFcTmtbfpFEt5Bsqel9sXx0uE/edit?usp=sharing"",""งานกองทุน!C79"")"),25)</f>
        <v>25</v>
      </c>
      <c r="J779" s="152">
        <f ca="1">IFERROR(__xludf.DUMMYFUNCTION("IMPORTRANGE(""https://docs.google.com/spreadsheets/d/10OvvATaaLtwErnr3qtWFcTmtbfpFEt5Bsqel9sXx0uE/edit?usp=sharing"",""งานกองทุน!E79"")"),29)</f>
        <v>29</v>
      </c>
      <c r="K779" s="47">
        <f ca="1">IF(I779&gt;0,J779*100/I779,0)</f>
        <v>116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IFERROR(__xludf.DUMMYFUNCTION("IMPORTRANGE(""https://docs.google.com/spreadsheets/d/10OvvATaaLtwErnr3qtWFcTmtbfpFEt5Bsqel9sXx0uE/edit?usp=sharing"",""งานกองทุน!I79"")"),207270.9)</f>
        <v>207270.9</v>
      </c>
      <c r="J780" s="152">
        <f ca="1">IFERROR(__xludf.DUMMYFUNCTION("IMPORTRANGE(""https://docs.google.com/spreadsheets/d/10OvvATaaLtwErnr3qtWFcTmtbfpFEt5Bsqel9sXx0uE/edit?usp=sharing"",""งานกองทุน!K79"")"),12102.21)</f>
        <v>12102.21</v>
      </c>
      <c r="K780" s="47">
        <f ca="1">IF(I780&gt;0,J780*100/I780,0)</f>
        <v>5.8388370002735552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IFERROR(__xludf.DUMMYFUNCTION("IMPORTRANGE(""https://docs.google.com/spreadsheets/d/10OvvATaaLtwErnr3qtWFcTmtbfpFEt5Bsqel9sXx0uE/edit?usp=sharing"",""งานกองทุน!H79"")"),7)</f>
        <v>7</v>
      </c>
      <c r="J781" s="152">
        <f ca="1">IFERROR(__xludf.DUMMYFUNCTION("IMPORTRANGE(""https://docs.google.com/spreadsheets/d/10OvvATaaLtwErnr3qtWFcTmtbfpFEt5Bsqel9sXx0uE/edit?usp=sharing"",""งานกองทุน!J79"")"),6)</f>
        <v>6</v>
      </c>
      <c r="K781" s="47">
        <f ca="1">IF(I781&gt;0,J781*100/I781,0)</f>
        <v>85.714285714285708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IFERROR(__xludf.DUMMYFUNCTION("IMPORTRANGE(""https://docs.google.com/spreadsheets/d/10OvvATaaLtwErnr3qtWFcTmtbfpFEt5Bsqel9sXx0uE/edit?usp=sharing"",""งานกองทุน!N79"")"),66544.33)</f>
        <v>66544.33</v>
      </c>
      <c r="J782" s="152">
        <f ca="1">IFERROR(__xludf.DUMMYFUNCTION("IMPORTRANGE(""https://docs.google.com/spreadsheets/d/10OvvATaaLtwErnr3qtWFcTmtbfpFEt5Bsqel9sXx0uE/edit?usp=sharing"",""งานกองทุน!P79"")"),26470.65)</f>
        <v>26470.65</v>
      </c>
      <c r="K782" s="47">
        <f ca="1">IF(I782&gt;0,J782*100/I782,0)</f>
        <v>39.778971401470265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IFERROR(__xludf.DUMMYFUNCTION("IMPORTRANGE(""https://docs.google.com/spreadsheets/d/10OvvATaaLtwErnr3qtWFcTmtbfpFEt5Bsqel9sXx0uE/edit?usp=sharing"",""งานกองทุน!M79"")"),151)</f>
        <v>151</v>
      </c>
      <c r="J783" s="152">
        <f ca="1">IFERROR(__xludf.DUMMYFUNCTION("IMPORTRANGE(""https://docs.google.com/spreadsheets/d/10OvvATaaLtwErnr3qtWFcTmtbfpFEt5Bsqel9sXx0uE/edit?usp=sharing"",""งานกองทุน!O79"")"),46)</f>
        <v>46</v>
      </c>
      <c r="K783" s="47">
        <f ca="1">IF(I783&gt;0,J783*100/I783,0)</f>
        <v>30.463576158940398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IFERROR(__xludf.DUMMYFUNCTION("IMPORTRANGE(""https://docs.google.com/spreadsheets/d/10OvvATaaLtwErnr3qtWFcTmtbfpFEt5Bsqel9sXx0uE/edit?usp=sharing"",""งานกองทุน!S79"")"),392000)</f>
        <v>392000</v>
      </c>
      <c r="J784" s="152">
        <f ca="1">IFERROR(__xludf.DUMMYFUNCTION("IMPORTRANGE(""https://docs.google.com/spreadsheets/d/10OvvATaaLtwErnr3qtWFcTmtbfpFEt5Bsqel9sXx0uE/edit?usp=sharing"",""งานกองทุน!U79"")"),0)</f>
        <v>0</v>
      </c>
      <c r="K784" s="47">
        <f ca="1">IF(I784&gt;0,J784*100/I784,0)</f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IFERROR(__xludf.DUMMYFUNCTION("IMPORTRANGE(""https://docs.google.com/spreadsheets/d/10OvvATaaLtwErnr3qtWFcTmtbfpFEt5Bsqel9sXx0uE/edit?usp=sharing"",""งานกองทุน!R79"")"),14)</f>
        <v>14</v>
      </c>
      <c r="J785" s="197">
        <f ca="1">IFERROR(__xludf.DUMMYFUNCTION("IMPORTRANGE(""https://docs.google.com/spreadsheets/d/10OvvATaaLtwErnr3qtWFcTmtbfpFEt5Bsqel9sXx0uE/edit?usp=sharing"",""งานกองทุน!T79"")"),0)</f>
        <v>0</v>
      </c>
      <c r="K785" s="111">
        <f ca="1">IF(I785&gt;0,J785*100/I785,0)</f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4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2397F-E834-4728-B779-F4FAAA25C450}">
  <sheetPr codeName="Sheet7">
    <outlinePr summaryBelow="0" summaryRight="0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7.5703125" bestFit="1" customWidth="1"/>
    <col min="10" max="10" width="14.710937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20" width="19.28515625" bestFit="1" customWidth="1"/>
    <col min="21" max="21" width="21.28515625" bestFit="1" customWidth="1"/>
  </cols>
  <sheetData>
    <row r="1" spans="1:21" ht="19.5" x14ac:dyDescent="0.3">
      <c r="A1" s="817" t="s">
        <v>0</v>
      </c>
      <c r="B1" s="817"/>
      <c r="C1" s="817"/>
      <c r="D1" s="817"/>
      <c r="E1" s="817"/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7"/>
      <c r="R1" s="817"/>
      <c r="S1" s="817"/>
      <c r="T1" s="817"/>
      <c r="U1" s="817"/>
    </row>
    <row r="2" spans="1:21" s="897" customFormat="1" ht="19.5" x14ac:dyDescent="0.3">
      <c r="A2" s="817" t="s">
        <v>320</v>
      </c>
      <c r="B2" s="817"/>
      <c r="C2" s="817"/>
      <c r="D2" s="817"/>
      <c r="E2" s="817"/>
      <c r="F2" s="817"/>
      <c r="G2" s="817"/>
      <c r="H2" s="817"/>
      <c r="I2" s="817"/>
      <c r="J2" s="817"/>
      <c r="K2" s="817"/>
      <c r="L2" s="817"/>
      <c r="M2" s="817"/>
      <c r="N2" s="817"/>
      <c r="O2" s="817"/>
      <c r="P2" s="817"/>
      <c r="Q2" s="817"/>
      <c r="R2" s="817"/>
      <c r="S2" s="817"/>
      <c r="T2" s="817"/>
      <c r="U2" s="817"/>
    </row>
    <row r="3" spans="1:21" ht="19.5" x14ac:dyDescent="0.3">
      <c r="A3" s="817" t="s">
        <v>332</v>
      </c>
      <c r="B3" s="817"/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  <c r="S3" s="817"/>
      <c r="T3" s="817"/>
      <c r="U3" s="817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816"/>
      <c r="L4" s="815" t="s">
        <v>2</v>
      </c>
      <c r="M4" s="518"/>
      <c r="N4" s="518"/>
      <c r="O4" s="518"/>
      <c r="P4" s="519"/>
      <c r="Q4" s="814" t="s">
        <v>3</v>
      </c>
      <c r="R4" s="518"/>
      <c r="S4" s="518"/>
      <c r="T4" s="518"/>
      <c r="U4" s="519"/>
    </row>
    <row r="5" spans="1:21" ht="19.5" x14ac:dyDescent="0.3">
      <c r="A5" s="813" t="s">
        <v>4</v>
      </c>
      <c r="B5" s="522"/>
      <c r="C5" s="522"/>
      <c r="D5" s="522"/>
      <c r="E5" s="522"/>
      <c r="F5" s="522"/>
      <c r="G5" s="535"/>
      <c r="H5" s="812" t="s">
        <v>5</v>
      </c>
      <c r="I5" s="527" t="s">
        <v>6</v>
      </c>
      <c r="J5" s="518"/>
      <c r="K5" s="519"/>
      <c r="L5" s="811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0"/>
      <c r="I6" s="7" t="s">
        <v>9</v>
      </c>
      <c r="J6" s="8" t="s">
        <v>10</v>
      </c>
      <c r="K6" s="7" t="s">
        <v>11</v>
      </c>
      <c r="L6" s="809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2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1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1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1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1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1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1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1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1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08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7">
        <f ca="1">L19+L20</f>
        <v>4142797</v>
      </c>
      <c r="M18" s="35">
        <f ca="1">M19+M20</f>
        <v>4174521</v>
      </c>
      <c r="N18" s="35">
        <f ca="1">N19+N20</f>
        <v>1377177.75</v>
      </c>
      <c r="O18" s="35">
        <f ca="1">IF(L18&gt;0,N18*100/L18,0)</f>
        <v>33.2427041440843</v>
      </c>
      <c r="P18" s="35">
        <f ca="1">IF(M18&gt;0,N18*100/M18,0)</f>
        <v>32.990078382645578</v>
      </c>
      <c r="Q18" s="35">
        <f ca="1">Q19+Q20</f>
        <v>620867.99</v>
      </c>
      <c r="R18" s="35">
        <f ca="1">R19+R20</f>
        <v>620868</v>
      </c>
      <c r="S18" s="35">
        <f ca="1">S19+S20</f>
        <v>266382</v>
      </c>
      <c r="T18" s="35">
        <f ca="1">IF(Q18&gt;0,S18*100/Q18,0)</f>
        <v>42.904772719882047</v>
      </c>
      <c r="U18" s="35">
        <f ca="1">IF(R18&gt;0,S18*100/R18,0)</f>
        <v>42.904772028837044</v>
      </c>
    </row>
    <row r="19" spans="1:21" ht="18.75" hidden="1" x14ac:dyDescent="0.25">
      <c r="A19" s="27"/>
      <c r="B19" s="28"/>
      <c r="C19" s="28"/>
      <c r="D19" s="28"/>
      <c r="E19" s="806" t="s">
        <v>20</v>
      </c>
      <c r="F19" s="28"/>
      <c r="G19" s="31"/>
      <c r="H19" s="805" t="s">
        <v>14</v>
      </c>
      <c r="I19" s="33"/>
      <c r="J19" s="33"/>
      <c r="K19" s="34"/>
      <c r="L19" s="804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3">
        <f ca="1">L23+L26</f>
        <v>4142797</v>
      </c>
      <c r="M20" s="39">
        <f ca="1">M23+M26</f>
        <v>4174521</v>
      </c>
      <c r="N20" s="39">
        <f ca="1">N23+N26</f>
        <v>1377177.75</v>
      </c>
      <c r="O20" s="39">
        <f ca="1">IF(L20&gt;0,N20*100/L20,0)</f>
        <v>33.2427041440843</v>
      </c>
      <c r="P20" s="39">
        <f ca="1">IF(M20&gt;0,N20*100/M20,0)</f>
        <v>32.990078382645578</v>
      </c>
      <c r="Q20" s="39">
        <f ca="1">Q23+Q26</f>
        <v>620867.99</v>
      </c>
      <c r="R20" s="39">
        <f ca="1">R23+R26</f>
        <v>620868</v>
      </c>
      <c r="S20" s="39">
        <f ca="1">S23+S26</f>
        <v>266382</v>
      </c>
      <c r="T20" s="39">
        <f ca="1">IF(Q20&gt;0,S20*100/Q20,0)</f>
        <v>42.904772719882047</v>
      </c>
      <c r="U20" s="39">
        <f ca="1">IF(R20&gt;0,S20*100/R20,0)</f>
        <v>42.904772028837044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2158197</v>
      </c>
      <c r="M21" s="47">
        <f ca="1">M22+M23</f>
        <v>2189921</v>
      </c>
      <c r="N21" s="47">
        <f ca="1">N22+N23</f>
        <v>1339577.75</v>
      </c>
      <c r="O21" s="47">
        <f ca="1">IF(L21&gt;0,N21*100/L21,0)</f>
        <v>62.069299049160016</v>
      </c>
      <c r="P21" s="47">
        <f ca="1">IF(M21&gt;0,N21*100/M21,0)</f>
        <v>61.170140384059515</v>
      </c>
      <c r="Q21" s="47">
        <f ca="1">Q22+Q23</f>
        <v>620867.99</v>
      </c>
      <c r="R21" s="47">
        <f ca="1">R22+R23</f>
        <v>620868</v>
      </c>
      <c r="S21" s="47">
        <f ca="1">S22+S23</f>
        <v>266382</v>
      </c>
      <c r="T21" s="47">
        <f ca="1">IF(Q21&gt;0,S21*100/Q21,0)</f>
        <v>42.904772719882047</v>
      </c>
      <c r="U21" s="47">
        <f ca="1">IF(R21&gt;0,S21*100/R21,0)</f>
        <v>42.904772028837044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L49+L64+L77+L99+L130+L144+L162+L191+L178+L271+L287+L308+L325+L338+L361+L518</f>
        <v>2158197</v>
      </c>
      <c r="M23" s="47">
        <f ca="1">M49+M64+M77+M99+M130+M144+M162+M191+M178+M271+M287+M308+M325+M338+M361+M518</f>
        <v>2189921</v>
      </c>
      <c r="N23" s="47">
        <f ca="1">N49+N64+N77+N99+N130+N144+N162+N191+N178+N271+N287+N308+N325+N338+N361+N518</f>
        <v>1339577.75</v>
      </c>
      <c r="O23" s="47">
        <f ca="1">IF(L23&gt;0,N23*100/L23,0)</f>
        <v>62.069299049160016</v>
      </c>
      <c r="P23" s="47">
        <f ca="1">IF(M23&gt;0,N23*100/M23,0)</f>
        <v>61.170140384059515</v>
      </c>
      <c r="Q23" s="47">
        <f ca="1">Q77+Q99+Q122+Q144+Q162+Q178+Q191+Q271+Q287+Q308+Q338+Q380+Q397+Q418+Q498+Q604+Q621+Q647+Q695+Q719+Q733+Q765</f>
        <v>620867.99</v>
      </c>
      <c r="R23" s="47">
        <f ca="1">R77+R99+R122+R144+R162+R178+R191+R271+R287+R308+R338+R380+R397+R418+R498+R604+R621+R647+R695+R719+R733+R765</f>
        <v>620868</v>
      </c>
      <c r="S23" s="47">
        <f ca="1">S77+S99+S122+S144+S162+S178+S191+S271+S287+S308+S338+S380+S397+S418+S498+S604+S621+S647+S695+S719+S733+S765</f>
        <v>266382</v>
      </c>
      <c r="T23" s="47">
        <f ca="1">IF(Q23&gt;0,S23*100/Q23,0)</f>
        <v>42.904772719882047</v>
      </c>
      <c r="U23" s="47">
        <f ca="1">IF(R23&gt;0,S23*100/R23,0)</f>
        <v>42.904772028837044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1984600</v>
      </c>
      <c r="M24" s="47">
        <f ca="1">M25+M26</f>
        <v>1984600</v>
      </c>
      <c r="N24" s="47">
        <f ca="1">N25+N26</f>
        <v>37600</v>
      </c>
      <c r="O24" s="47">
        <f ca="1">IF(L24&gt;0,N24*100/L24,0)</f>
        <v>1.894588330142094</v>
      </c>
      <c r="P24" s="47">
        <f ca="1">IF(M24&gt;0,N24*100/M24,0)</f>
        <v>1.894588330142094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L52+L67+L80+L102+L133+L147+L165+L194+L181+L274+L290+L311+L328+L341+L364+L521</f>
        <v>1984600</v>
      </c>
      <c r="M26" s="47">
        <f ca="1">M52+M67+M80+M102+M133+M147+M165+M194+M181+M274+M290+M311+M328+M341+M364+M521</f>
        <v>1984600</v>
      </c>
      <c r="N26" s="47">
        <f ca="1">N52+N67+N80+N102+N133+N147+N165+N194+N181+N274+N290+N311+N328+N341+N364+N521</f>
        <v>37600</v>
      </c>
      <c r="O26" s="47">
        <f ca="1">IF(L26&gt;0,N26*100/L26,0)</f>
        <v>1.894588330142094</v>
      </c>
      <c r="P26" s="47">
        <f ca="1">IF(M26&gt;0,N26*100/M26,0)</f>
        <v>1.894588330142094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2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1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1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1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1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1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1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1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1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1">
        <f ca="1">L44+L59+L72+L94+L125+L139+L157+L173+L186+L266+L282+L303+L320+L333+L356</f>
        <v>4494697</v>
      </c>
      <c r="M40" s="800">
        <f ca="1">M44+M59+M72+M94+M125+M139+M157+M173+M186+M266+M282+M303+M320+M333+M356</f>
        <v>4526421</v>
      </c>
      <c r="N40" s="800">
        <f ca="1">N44+N59+N72+N94+N125+N139+N157+N173+N186+N266+N282+N303+N320+N333+N356</f>
        <v>1377177.75</v>
      </c>
      <c r="O40" s="800">
        <f ca="1">IF(L40&gt;0,N40*100/L40,0)</f>
        <v>30.64005760566285</v>
      </c>
      <c r="P40" s="800">
        <f ca="1">IF(M40&gt;0,N40*100/M40,0)</f>
        <v>30.425312846507207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99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1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427907</v>
      </c>
      <c r="M44" s="79">
        <f ca="1">M45+M46</f>
        <v>438391</v>
      </c>
      <c r="N44" s="79">
        <f ca="1">N45+N46</f>
        <v>254295.23</v>
      </c>
      <c r="O44" s="79">
        <f ca="1">IF(L44&gt;0,N44*100/L44,0)</f>
        <v>59.427686389799653</v>
      </c>
      <c r="P44" s="79">
        <f ca="1">IF(M44&gt;0,N44*100/M44,0)</f>
        <v>58.006489640526382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427907</v>
      </c>
      <c r="M46" s="83">
        <f ca="1">M49+M52</f>
        <v>438391</v>
      </c>
      <c r="N46" s="83">
        <f ca="1">N49+N52</f>
        <v>254295.23</v>
      </c>
      <c r="O46" s="83">
        <f ca="1">IF(L46&gt;0,N46*100/L46,0)</f>
        <v>59.427686389799653</v>
      </c>
      <c r="P46" s="83">
        <f ca="1">IF(M46&gt;0,N46*100/M46,0)</f>
        <v>58.006489640526382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427907</v>
      </c>
      <c r="M47" s="47">
        <f ca="1">M48+M49</f>
        <v>438391</v>
      </c>
      <c r="N47" s="47">
        <f ca="1">N48+N49</f>
        <v>254295.23</v>
      </c>
      <c r="O47" s="47">
        <f ca="1">IF(L47&gt;0,N47*100/L47,0)</f>
        <v>59.427686389799653</v>
      </c>
      <c r="P47" s="47">
        <f ca="1">IF(M47&gt;0,N47*100/M47,0)</f>
        <v>58.006489640526382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IFERROR(__xludf.DUMMYFUNCTION("IMPORTRANGE(""https://docs.google.com/spreadsheets/d/1-uDff_7J0KD5mKrp0Vvzr7lt3OU09vwQwhkpOPPYv2Y/edit?usp=sharing"",""งบพรบ!P80"")"),427907)</f>
        <v>427907</v>
      </c>
      <c r="M49" s="47">
        <f ca="1">IFERROR(__xludf.DUMMYFUNCTION("IMPORTRANGE(""https://docs.google.com/spreadsheets/d/1-uDff_7J0KD5mKrp0Vvzr7lt3OU09vwQwhkpOPPYv2Y/edit?usp=sharing"",""งบพรบ!V80"")"),438391)</f>
        <v>438391</v>
      </c>
      <c r="N49" s="47">
        <f ca="1">IFERROR(__xludf.DUMMYFUNCTION("IMPORTRANGE(""https://docs.google.com/spreadsheets/d/1-uDff_7J0KD5mKrp0Vvzr7lt3OU09vwQwhkpOPPYv2Y/edit?usp=sharing"",""งบพรบ!Y80"")"),254295.23)</f>
        <v>254295.23</v>
      </c>
      <c r="O49" s="47">
        <f ca="1">IF(L49&gt;0,N49*100/L49,0)</f>
        <v>59.427686389799653</v>
      </c>
      <c r="P49" s="47">
        <f ca="1">IF(M49&gt;0,N49*100/M49,0)</f>
        <v>58.006489640526382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IFERROR(__xludf.DUMMYFUNCTION("IMPORTRANGE(""https://docs.google.com/spreadsheets/d/1-uDff_7J0KD5mKrp0Vvzr7lt3OU09vwQwhkpOPPYv2Y/edit?usp=sharing"",""งบพรบ!S80"")"),0)</f>
        <v>0</v>
      </c>
      <c r="M52" s="47">
        <f ca="1">IFERROR(__xludf.DUMMYFUNCTION("IMPORTRANGE(""https://docs.google.com/spreadsheets/d/1-uDff_7J0KD5mKrp0Vvzr7lt3OU09vwQwhkpOPPYv2Y/edit?usp=sharing"",""งบพรบ!W80"")"),0)</f>
        <v>0</v>
      </c>
      <c r="N52" s="47">
        <f ca="1">IFERROR(__xludf.DUMMYFUNCTION("IMPORTRANGE(""https://docs.google.com/spreadsheets/d/1-uDff_7J0KD5mKrp0Vvzr7lt3OU09vwQwhkpOPPYv2Y/edit?usp=sharing"",""งบพรบ!Z80"")"),0)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2565500</v>
      </c>
      <c r="M59" s="106">
        <f ca="1">M60+M61</f>
        <v>2565500</v>
      </c>
      <c r="N59" s="106">
        <f ca="1">N60+N61</f>
        <v>384115.07</v>
      </c>
      <c r="O59" s="106">
        <f ca="1">IF(L59&gt;0,N59*100/L59,0)</f>
        <v>14.972327811342819</v>
      </c>
      <c r="P59" s="106">
        <f ca="1">IF(M59&gt;0,N59*100/M59,0)</f>
        <v>14.972327811342819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2565500</v>
      </c>
      <c r="M61" s="109">
        <f ca="1">M64+M67</f>
        <v>2565500</v>
      </c>
      <c r="N61" s="109">
        <f ca="1">N64+N67</f>
        <v>384115.07</v>
      </c>
      <c r="O61" s="109">
        <f ca="1">IF(L61&gt;0,N61*100/L61,0)</f>
        <v>14.972327811342819</v>
      </c>
      <c r="P61" s="109">
        <f ca="1">IF(M61&gt;0,N61*100/M61,0)</f>
        <v>14.972327811342819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580900</v>
      </c>
      <c r="M62" s="47">
        <f ca="1">M63+M64</f>
        <v>580900</v>
      </c>
      <c r="N62" s="47">
        <f ca="1">N63+N64</f>
        <v>346515.07</v>
      </c>
      <c r="O62" s="47">
        <f ca="1">IF(L62&gt;0,N62*100/L62,0)</f>
        <v>59.651415045618869</v>
      </c>
      <c r="P62" s="47">
        <f ca="1">IF(M62&gt;0,N62*100/M62,0)</f>
        <v>59.651415045618869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IFERROR(__xludf.DUMMYFUNCTION("IMPORTRANGE(""https://docs.google.com/spreadsheets/d/1-uDff_7J0KD5mKrp0Vvzr7lt3OU09vwQwhkpOPPYv2Y/edit?usp=sharing"",""งบพรบ!AC80"")"),580900)</f>
        <v>580900</v>
      </c>
      <c r="M64" s="47">
        <f ca="1">IFERROR(__xludf.DUMMYFUNCTION("IMPORTRANGE(""https://docs.google.com/spreadsheets/d/1-uDff_7J0KD5mKrp0Vvzr7lt3OU09vwQwhkpOPPYv2Y/edit?usp=sharing"",""งบพรบ!AH80"")"),580900)</f>
        <v>580900</v>
      </c>
      <c r="N64" s="47">
        <f ca="1">IFERROR(__xludf.DUMMYFUNCTION("IMPORTRANGE(""https://docs.google.com/spreadsheets/d/1-uDff_7J0KD5mKrp0Vvzr7lt3OU09vwQwhkpOPPYv2Y/edit?usp=sharing"",""งบพรบ!AJ80"")"),346515.07)</f>
        <v>346515.07</v>
      </c>
      <c r="O64" s="47">
        <f ca="1">IF(L64&gt;0,N64*100/L64,0)</f>
        <v>59.651415045618869</v>
      </c>
      <c r="P64" s="47">
        <f ca="1">IF(M64&gt;0,N64*100/M64,0)</f>
        <v>59.651415045618869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1984600</v>
      </c>
      <c r="M65" s="47">
        <f ca="1">M66+M67</f>
        <v>1984600</v>
      </c>
      <c r="N65" s="47">
        <f ca="1">N66+N67</f>
        <v>37600</v>
      </c>
      <c r="O65" s="47">
        <f ca="1">IF(L65&gt;0,N65*100/L65,0)</f>
        <v>1.894588330142094</v>
      </c>
      <c r="P65" s="47">
        <f ca="1">IF(M65&gt;0,N65*100/M65,0)</f>
        <v>1.894588330142094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IFERROR(__xludf.DUMMYFUNCTION("IMPORTRANGE(""https://docs.google.com/spreadsheets/d/1-uDff_7J0KD5mKrp0Vvzr7lt3OU09vwQwhkpOPPYv2Y/edit?usp=sharing"",""งบพรบ!AF80"")"),1984600)</f>
        <v>1984600</v>
      </c>
      <c r="M67" s="111">
        <f ca="1">IFERROR(__xludf.DUMMYFUNCTION("IMPORTRANGE(""https://docs.google.com/spreadsheets/d/1-uDff_7J0KD5mKrp0Vvzr7lt3OU09vwQwhkpOPPYv2Y/edit?usp=sharing"",""งบพรบ!AI80"")"),1984600)</f>
        <v>1984600</v>
      </c>
      <c r="N67" s="111">
        <f ca="1">IFERROR(__xludf.DUMMYFUNCTION("IMPORTRANGE(""https://docs.google.com/spreadsheets/d/1-uDff_7J0KD5mKrp0Vvzr7lt3OU09vwQwhkpOPPYv2Y/edit?usp=sharing"",""งบพรบ!AK80"")"),37600)</f>
        <v>37600</v>
      </c>
      <c r="O67" s="111">
        <f ca="1">IF(L67&gt;0,N67*100/L67,0)</f>
        <v>1.894588330142094</v>
      </c>
      <c r="P67" s="111">
        <f ca="1">IF(M67&gt;0,N67*100/M67,0)</f>
        <v>1.894588330142094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0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IFERROR(__xludf.DUMMYFUNCTION("IMPORTRANGE(""https://docs.google.com/spreadsheets/d/1-uDff_7J0KD5mKrp0Vvzr7lt3OU09vwQwhkpOPPYv2Y/edit?usp=sharing"",""งบพรบ!AM80"")"),0)</f>
        <v>0</v>
      </c>
      <c r="M77" s="47">
        <f ca="1">IFERROR(__xludf.DUMMYFUNCTION("IMPORTRANGE(""https://docs.google.com/spreadsheets/d/1-uDff_7J0KD5mKrp0Vvzr7lt3OU09vwQwhkpOPPYv2Y/edit?usp=sharing"",""งบพรบ!AR80"")"),0)</f>
        <v>0</v>
      </c>
      <c r="N77" s="47">
        <f ca="1">IFERROR(__xludf.DUMMYFUNCTION("IMPORTRANGE(""https://docs.google.com/spreadsheets/d/1-uDff_7J0KD5mKrp0Vvzr7lt3OU09vwQwhkpOPPYv2Y/edit?usp=sharing"",""งบพรบ!AT80"")"),0)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IFERROR(__xludf.DUMMYFUNCTION("IMPORTRANGE(""https://docs.google.com/spreadsheets/d/1ItG2mGa2ceCfYo0BwxsXqNm01IGEUdYcSSLTEv9YCik/edit?usp=sharing"",""เบิกจ่ายกองทุน!BH80"")"),0)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IFERROR(__xludf.DUMMYFUNCTION("IMPORTRANGE(""https://docs.google.com/spreadsheets/d/1ItG2mGa2ceCfYo0BwxsXqNm01IGEUdYcSSLTEv9YCik/edit?usp=sharing"",""เบิกจ่ายกองทุน!BI80"")"),0)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IFERROR(__xludf.DUMMYFUNCTION("IMPORTRANGE(""https://docs.google.com/spreadsheets/d/1ItG2mGa2ceCfYo0BwxsXqNm01IGEUdYcSSLTEv9YCik/edit?usp=sharing"",""เบิกจ่ายกองทุน!BJ80"")"),0)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IFERROR(__xludf.DUMMYFUNCTION("IMPORTRANGE(""https://docs.google.com/spreadsheets/d/1-uDff_7J0KD5mKrp0Vvzr7lt3OU09vwQwhkpOPPYv2Y/edit?usp=sharing"",""งบพรบ!AP80"")"),0)</f>
        <v>0</v>
      </c>
      <c r="M80" s="47">
        <f ca="1">IFERROR(__xludf.DUMMYFUNCTION("IMPORTRANGE(""https://docs.google.com/spreadsheets/d/1-uDff_7J0KD5mKrp0Vvzr7lt3OU09vwQwhkpOPPYv2Y/edit?usp=sharing"",""งบพรบ!AS80"")"),0)</f>
        <v>0</v>
      </c>
      <c r="N80" s="47">
        <f ca="1">IFERROR(__xludf.DUMMYFUNCTION("IMPORTRANGE(""https://docs.google.com/spreadsheets/d/1-uDff_7J0KD5mKrp0Vvzr7lt3OU09vwQwhkpOPPYv2Y/edit?usp=sharing"",""งบพรบ!AU80"")"),0)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IFERROR(__xludf.DUMMYFUNCTION("IMPORTRANGE(""https://docs.google.com/spreadsheets/d/1ItG2mGa2ceCfYo0BwxsXqNm01IGEUdYcSSLTEv9YCik/edit?usp=sharing"",""เบิกจ่ายกองทุน!BK80"")"),0)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IFERROR(__xludf.DUMMYFUNCTION("IMPORTRANGE(""https://docs.google.com/spreadsheets/d/1ItG2mGa2ceCfYo0BwxsXqNm01IGEUdYcSSLTEv9YCik/edit?usp=sharing"",""เบิกจ่ายกองทุน!BL80"")"),0)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IFERROR(__xludf.DUMMYFUNCTION("IMPORTRANGE(""https://docs.google.com/spreadsheets/d/1ItG2mGa2ceCfYo0BwxsXqNm01IGEUdYcSSLTEv9YCik/edit?usp=sharing"",""เบิกจ่ายกองทุน!BM80"")"),0)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IFERROR(__xludf.DUMMYFUNCTION("IMPORTRANGE(""https://docs.google.com/spreadsheets/d/1eHaY18a8A9IcSdp1K8H6x8fbOy06t2VsZHhMHf-1x7Y/edit?usp=sharing"",""แผน!H80"")"),0)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IFERROR(__xludf.DUMMYFUNCTION("IMPORTRANGE(""https://docs.google.com/spreadsheets/d/1eHaY18a8A9IcSdp1K8H6x8fbOy06t2VsZHhMHf-1x7Y/edit?usp=sharing"",""แผน!I80"")"),0)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IFERROR(__xludf.DUMMYFUNCTION("IMPORTRANGE(""https://docs.google.com/spreadsheets/d/1eHaY18a8A9IcSdp1K8H6x8fbOy06t2VsZHhMHf-1x7Y/edit?usp=sharing"",""แผน!F80"")"),0)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IFERROR(__xludf.DUMMYFUNCTION("IMPORTRANGE(""https://docs.google.com/spreadsheets/d/1eHaY18a8A9IcSdp1K8H6x8fbOy06t2VsZHhMHf-1x7Y/edit?usp=sharing"",""แผน!G80"")"),0)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IFERROR(__xludf.DUMMYFUNCTION("IMPORTRANGE(""https://docs.google.com/spreadsheets/d/1eHaY18a8A9IcSdp1K8H6x8fbOy06t2VsZHhMHf-1x7Y/edit?usp=sharing"",""แผน!D80"")"),0)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IFERROR(__xludf.DUMMYFUNCTION("IMPORTRANGE(""https://docs.google.com/spreadsheets/d/1eHaY18a8A9IcSdp1K8H6x8fbOy06t2VsZHhMHf-1x7Y/edit?usp=sharing"",""แผน!E80"")"),0)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IFERROR(__xludf.DUMMYFUNCTION("IMPORTRANGE(""https://docs.google.com/spreadsheets/d/1eHaY18a8A9IcSdp1K8H6x8fbOy06t2VsZHhMHf-1x7Y/edit?usp=sharing"",""แผน!J80"")"),0)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0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IFERROR(__xludf.DUMMYFUNCTION("IMPORTRANGE(""https://docs.google.com/spreadsheets/d/1-uDff_7J0KD5mKrp0Vvzr7lt3OU09vwQwhkpOPPYv2Y/edit?usp=sharing"",""งบพรบ!AW80"")"),0)</f>
        <v>0</v>
      </c>
      <c r="M99" s="47">
        <f ca="1">IFERROR(__xludf.DUMMYFUNCTION("IMPORTRANGE(""https://docs.google.com/spreadsheets/d/1-uDff_7J0KD5mKrp0Vvzr7lt3OU09vwQwhkpOPPYv2Y/edit?usp=sharing"",""งบพรบ!BB80"")"),0)</f>
        <v>0</v>
      </c>
      <c r="N99" s="47">
        <f ca="1">IFERROR(__xludf.DUMMYFUNCTION("IMPORTRANGE(""https://docs.google.com/spreadsheets/d/1-uDff_7J0KD5mKrp0Vvzr7lt3OU09vwQwhkpOPPYv2Y/edit?usp=sharing"",""งบพรบ!BD80"")"),0)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IFERROR(__xludf.DUMMYFUNCTION("IMPORTRANGE(""https://docs.google.com/spreadsheets/d/1ItG2mGa2ceCfYo0BwxsXqNm01IGEUdYcSSLTEv9YCik/edit?usp=sharing"",""เบิกจ่ายกองทุน!AJ80"")"),0)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IFERROR(__xludf.DUMMYFUNCTION("IMPORTRANGE(""https://docs.google.com/spreadsheets/d/1ItG2mGa2ceCfYo0BwxsXqNm01IGEUdYcSSLTEv9YCik/edit?usp=sharing"",""เบิกจ่ายกองทุน!AK80"")"),0)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IFERROR(__xludf.DUMMYFUNCTION("IMPORTRANGE(""https://docs.google.com/spreadsheets/d/1ItG2mGa2ceCfYo0BwxsXqNm01IGEUdYcSSLTEv9YCik/edit?usp=sharing"",""เบิกจ่ายกองทุน!AL80"")"),0)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IFERROR(__xludf.DUMMYFUNCTION("IMPORTRANGE(""https://docs.google.com/spreadsheets/d/1-uDff_7J0KD5mKrp0Vvzr7lt3OU09vwQwhkpOPPYv2Y/edit?usp=sharing"",""งบพรบ!AZ80"")"),0)</f>
        <v>0</v>
      </c>
      <c r="M102" s="47">
        <f ca="1">IFERROR(__xludf.DUMMYFUNCTION("IMPORTRANGE(""https://docs.google.com/spreadsheets/d/1-uDff_7J0KD5mKrp0Vvzr7lt3OU09vwQwhkpOPPYv2Y/edit?usp=sharing"",""งบพรบ!BC80"")"),0)</f>
        <v>0</v>
      </c>
      <c r="N102" s="47">
        <f ca="1">IFERROR(__xludf.DUMMYFUNCTION("IMPORTRANGE(""https://docs.google.com/spreadsheets/d/1-uDff_7J0KD5mKrp0Vvzr7lt3OU09vwQwhkpOPPYv2Y/edit?usp=sharing"",""งบพรบ!BE80"")"),0)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1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1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1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IFERROR(__xludf.DUMMYFUNCTION("IMPORTRANGE(""https://docs.google.com/spreadsheets/d/1eHaY18a8A9IcSdp1K8H6x8fbOy06t2VsZHhMHf-1x7Y/edit?usp=sharing"",""แผน!N80"")"),0)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IFERROR(__xludf.DUMMYFUNCTION("IMPORTRANGE(""https://docs.google.com/spreadsheets/d/1eHaY18a8A9IcSdp1K8H6x8fbOy06t2VsZHhMHf-1x7Y/edit?usp=sharing"",""แผน!O80"")"),0)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1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1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1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1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IFERROR(__xludf.DUMMYFUNCTION("IMPORTRANGE(""https://docs.google.com/spreadsheets/d/1eHaY18a8A9IcSdp1K8H6x8fbOy06t2VsZHhMHf-1x7Y/edit?usp=sharing"",""แผน!R80"")"),0)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10</v>
      </c>
      <c r="J116" s="127">
        <f>J127</f>
        <v>10</v>
      </c>
      <c r="K116" s="35">
        <f ca="1">IF(I116&gt;0,J116*100/I116,0)</f>
        <v>100</v>
      </c>
      <c r="L116" s="58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9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351900</v>
      </c>
      <c r="M117" s="132">
        <f ca="1">M118+M119</f>
        <v>351900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173660</v>
      </c>
      <c r="R117" s="132">
        <f ca="1">R118+R119</f>
        <v>173660</v>
      </c>
      <c r="S117" s="132">
        <f ca="1">S118+S119</f>
        <v>104650</v>
      </c>
      <c r="T117" s="132">
        <f ca="1">IF(Q117&gt;0,S117*100/Q117,0)</f>
        <v>60.261430381204654</v>
      </c>
      <c r="U117" s="132">
        <f ca="1">IF(R117&gt;0,S117*100/R117,0)</f>
        <v>60.261430381204654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351900</v>
      </c>
      <c r="M119" s="47">
        <f ca="1">M122+M125</f>
        <v>351900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173660</v>
      </c>
      <c r="R119" s="47">
        <f ca="1">R122+R125</f>
        <v>173660</v>
      </c>
      <c r="S119" s="47">
        <f ca="1">S122+S125</f>
        <v>104650</v>
      </c>
      <c r="T119" s="47">
        <f ca="1">IF(Q119&gt;0,S119*100/Q119,0)</f>
        <v>60.261430381204654</v>
      </c>
      <c r="U119" s="47">
        <f ca="1">IF(R119&gt;0,S119*100/R119,0)</f>
        <v>60.261430381204654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173660</v>
      </c>
      <c r="R120" s="47">
        <f ca="1">R121+R122</f>
        <v>173660</v>
      </c>
      <c r="S120" s="47">
        <f ca="1">S121+S122</f>
        <v>104650</v>
      </c>
      <c r="T120" s="47">
        <f ca="1">IF(Q120&gt;0,S120*100/Q120,0)</f>
        <v>60.261430381204654</v>
      </c>
      <c r="U120" s="47">
        <f ca="1">IF(R120&gt;0,S120*100/R120,0)</f>
        <v>60.261430381204654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IFERROR(__xludf.DUMMYFUNCTION("IMPORTRANGE(""https://docs.google.com/spreadsheets/d/1-uDff_7J0KD5mKrp0Vvzr7lt3OU09vwQwhkpOPPYv2Y/edit?usp=sharing"",""งบพรบ!BG80"")"),0)</f>
        <v>0</v>
      </c>
      <c r="M122" s="47">
        <f ca="1">IFERROR(__xludf.DUMMYFUNCTION("IMPORTRANGE(""https://docs.google.com/spreadsheets/d/1-uDff_7J0KD5mKrp0Vvzr7lt3OU09vwQwhkpOPPYv2Y/edit?usp=sharing"",""งบพรบ!BL80"")"),0)</f>
        <v>0</v>
      </c>
      <c r="N122" s="47">
        <f ca="1">IFERROR(__xludf.DUMMYFUNCTION("IMPORTRANGE(""https://docs.google.com/spreadsheets/d/1-uDff_7J0KD5mKrp0Vvzr7lt3OU09vwQwhkpOPPYv2Y/edit?usp=sharing"",""งบพรบ!BN80"")"),0)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IFERROR(__xludf.DUMMYFUNCTION("IMPORTRANGE(""https://docs.google.com/spreadsheets/d/1ItG2mGa2ceCfYo0BwxsXqNm01IGEUdYcSSLTEv9YCik/edit?usp=sharing"",""เบิกจ่ายกองทุน!U80"")"),173660)</f>
        <v>173660</v>
      </c>
      <c r="R122" s="47">
        <f ca="1">IFERROR(__xludf.DUMMYFUNCTION("IMPORTRANGE(""https://docs.google.com/spreadsheets/d/1ItG2mGa2ceCfYo0BwxsXqNm01IGEUdYcSSLTEv9YCik/edit?usp=sharing"",""เบิกจ่ายกองทุน!V80"")"),173660)</f>
        <v>173660</v>
      </c>
      <c r="S122" s="47">
        <f ca="1">IFERROR(__xludf.DUMMYFUNCTION("IMPORTRANGE(""https://docs.google.com/spreadsheets/d/1ItG2mGa2ceCfYo0BwxsXqNm01IGEUdYcSSLTEv9YCik/edit?usp=sharing"",""เบิกจ่ายกองทุน!W80"")"),104650)</f>
        <v>104650</v>
      </c>
      <c r="T122" s="47">
        <f ca="1">IF(Q122&gt;0,S122*100/Q122,0)</f>
        <v>60.261430381204654</v>
      </c>
      <c r="U122" s="47">
        <f ca="1">IF(R122&gt;0,S122*100/R122,0)</f>
        <v>60.261430381204654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351900</v>
      </c>
      <c r="M123" s="47">
        <f ca="1">M124+M125</f>
        <v>351900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IFERROR(__xludf.DUMMYFUNCTION("IMPORTRANGE(""https://docs.google.com/spreadsheets/d/1-uDff_7J0KD5mKrp0Vvzr7lt3OU09vwQwhkpOPPYv2Y/edit?usp=sharing"",""งบพรบ!BJ80"")"),351900)</f>
        <v>351900</v>
      </c>
      <c r="M125" s="47">
        <f ca="1">IFERROR(__xludf.DUMMYFUNCTION("IMPORTRANGE(""https://docs.google.com/spreadsheets/d/1-uDff_7J0KD5mKrp0Vvzr7lt3OU09vwQwhkpOPPYv2Y/edit?usp=sharing"",""งบพรบ!BM80"")"),351900)</f>
        <v>351900</v>
      </c>
      <c r="N125" s="47">
        <f ca="1">IFERROR(__xludf.DUMMYFUNCTION("IMPORTRANGE(""https://docs.google.com/spreadsheets/d/1-uDff_7J0KD5mKrp0Vvzr7lt3OU09vwQwhkpOPPYv2Y/edit?usp=sharing"",""งบพรบ!BO80"")"),0)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IFERROR(__xludf.DUMMYFUNCTION("IMPORTRANGE(""https://docs.google.com/spreadsheets/d/1ItG2mGa2ceCfYo0BwxsXqNm01IGEUdYcSSLTEv9YCik/edit?usp=sharing"",""เบิกจ่ายกองทุน!X80"")"),0)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IFERROR(__xludf.DUMMYFUNCTION("IMPORTRANGE(""https://docs.google.com/spreadsheets/d/1ItG2mGa2ceCfYo0BwxsXqNm01IGEUdYcSSLTEv9YCik/edit?usp=sharing"",""เบิกจ่ายกองทุน!Y80"")"),0)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IFERROR(__xludf.DUMMYFUNCTION("IMPORTRANGE(""https://docs.google.com/spreadsheets/d/1ItG2mGa2ceCfYo0BwxsXqNm01IGEUdYcSSLTEv9YCik/edit?usp=sharing"",""เบิกจ่ายกองทุน!Z80"")"),0)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IFERROR(__xludf.DUMMYFUNCTION("IMPORTRANGE(""https://docs.google.com/spreadsheets/d/1eHaY18a8A9IcSdp1K8H6x8fbOy06t2VsZHhMHf-1x7Y/edit?usp=sharing"",""แผน!FF80"")"),10)</f>
        <v>10</v>
      </c>
      <c r="J127" s="167">
        <v>10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IFERROR(__xludf.DUMMYFUNCTION("IMPORTRANGE(""https://docs.google.com/spreadsheets/d/1eHaY18a8A9IcSdp1K8H6x8fbOy06t2VsZHhMHf-1x7Y/edit?usp=sharing"",""แผน!FG80"")"),0)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IFERROR(__xludf.DUMMYFUNCTION("IMPORTRANGE(""https://docs.google.com/spreadsheets/d/1eHaY18a8A9IcSdp1K8H6x8fbOy06t2VsZHhMHf-1x7Y/edit?usp=sharing"",""แผน!FH80"")"),10)</f>
        <v>10</v>
      </c>
      <c r="J129" s="167">
        <v>10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IFERROR(__xludf.DUMMYFUNCTION("IMPORTRANGE(""https://docs.google.com/spreadsheets/d/1eHaY18a8A9IcSdp1K8H6x8fbOy06t2VsZHhMHf-1x7Y/edit?usp=sharing"",""แผน!FI80"")"),0)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1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IFERROR(__xludf.DUMMYFUNCTION("IMPORTRANGE(""https://docs.google.com/spreadsheets/d/1-uDff_7J0KD5mKrp0Vvzr7lt3OU09vwQwhkpOPPYv2Y/edit?usp=sharing"",""งบพรบ!BQ80"")"),0)</f>
        <v>0</v>
      </c>
      <c r="M144" s="47">
        <f ca="1">IFERROR(__xludf.DUMMYFUNCTION("IMPORTRANGE(""https://docs.google.com/spreadsheets/d/1-uDff_7J0KD5mKrp0Vvzr7lt3OU09vwQwhkpOPPYv2Y/edit?usp=sharing"",""งบพรบ!BV80"")"),0)</f>
        <v>0</v>
      </c>
      <c r="N144" s="47">
        <f ca="1">IFERROR(__xludf.DUMMYFUNCTION("IMPORTRANGE(""https://docs.google.com/spreadsheets/d/1-uDff_7J0KD5mKrp0Vvzr7lt3OU09vwQwhkpOPPYv2Y/edit?usp=sharing"",""งบพรบ!BX80"")"),0)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IFERROR(__xludf.DUMMYFUNCTION("IMPORTRANGE(""https://docs.google.com/spreadsheets/d/1ItG2mGa2ceCfYo0BwxsXqNm01IGEUdYcSSLTEv9YCik/edit?usp=sharing"",""เบิกจ่ายกองทุน!CF80"")"),0)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IFERROR(__xludf.DUMMYFUNCTION("IMPORTRANGE(""https://docs.google.com/spreadsheets/d/1ItG2mGa2ceCfYo0BwxsXqNm01IGEUdYcSSLTEv9YCik/edit?usp=sharing"",""เบิกจ่ายกองทุน!CG80"")"),0)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IFERROR(__xludf.DUMMYFUNCTION("IMPORTRANGE(""https://docs.google.com/spreadsheets/d/1ItG2mGa2ceCfYo0BwxsXqNm01IGEUdYcSSLTEv9YCik/edit?usp=sharing"",""เบิกจ่ายกองทุน!CH80"")"),0)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IFERROR(__xludf.DUMMYFUNCTION("IMPORTRANGE(""https://docs.google.com/spreadsheets/d/1-uDff_7J0KD5mKrp0Vvzr7lt3OU09vwQwhkpOPPYv2Y/edit?usp=sharing"",""งบพรบ!BT80"")"),0)</f>
        <v>0</v>
      </c>
      <c r="M147" s="47">
        <f ca="1">IFERROR(__xludf.DUMMYFUNCTION("IMPORTRANGE(""https://docs.google.com/spreadsheets/d/1-uDff_7J0KD5mKrp0Vvzr7lt3OU09vwQwhkpOPPYv2Y/edit?usp=sharing"",""งบพรบ!BW80"")"),0)</f>
        <v>0</v>
      </c>
      <c r="N147" s="47">
        <f ca="1">IFERROR(__xludf.DUMMYFUNCTION("IMPORTRANGE(""https://docs.google.com/spreadsheets/d/1-uDff_7J0KD5mKrp0Vvzr7lt3OU09vwQwhkpOPPYv2Y/edit?usp=sharing"",""งบพรบ!BY80"")"),0)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IFERROR(__xludf.DUMMYFUNCTION("IMPORTRANGE(""https://docs.google.com/spreadsheets/d/1ItG2mGa2ceCfYo0BwxsXqNm01IGEUdYcSSLTEv9YCik/edit?usp=sharing"",""เบิกจ่ายกองทุน!CI80"")"),0)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IFERROR(__xludf.DUMMYFUNCTION("IMPORTRANGE(""https://docs.google.com/spreadsheets/d/1ItG2mGa2ceCfYo0BwxsXqNm01IGEUdYcSSLTEv9YCik/edit?usp=sharing"",""เบิกจ่ายกองทุน!CJ80"")"),0)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IFERROR(__xludf.DUMMYFUNCTION("IMPORTRANGE(""https://docs.google.com/spreadsheets/d/1ItG2mGa2ceCfYo0BwxsXqNm01IGEUdYcSSLTEv9YCik/edit?usp=sharing"",""เบิกจ่ายกองทุน!CK80"")"),0)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IFERROR(__xludf.DUMMYFUNCTION("IMPORTRANGE(""https://docs.google.com/spreadsheets/d/1eHaY18a8A9IcSdp1K8H6x8fbOy06t2VsZHhMHf-1x7Y/edit?usp=sharing"",""แผน!U80"")"),0)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IFERROR(__xludf.DUMMYFUNCTION("IMPORTRANGE(""https://docs.google.com/spreadsheets/d/1eHaY18a8A9IcSdp1K8H6x8fbOy06t2VsZHhMHf-1x7Y/edit?usp=sharing"",""แผน!V80"")"),0)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IFERROR(__xludf.DUMMYFUNCTION("IMPORTRANGE(""https://docs.google.com/spreadsheets/d/1eHaY18a8A9IcSdp1K8H6x8fbOy06t2VsZHhMHf-1x7Y/edit?usp=sharing"",""แผน!W80"")"),0)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IFERROR(__xludf.DUMMYFUNCTION("IMPORTRANGE(""https://docs.google.com/spreadsheets/d/1eHaY18a8A9IcSdp1K8H6x8fbOy06t2VsZHhMHf-1x7Y/edit?usp=sharing"",""แผน!X80"")"),0)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IFERROR(__xludf.DUMMYFUNCTION("IMPORTRANGE(""https://docs.google.com/spreadsheets/d/1eHaY18a8A9IcSdp1K8H6x8fbOy06t2VsZHhMHf-1x7Y/edit?usp=sharing"",""แผน!Y80"")"),0)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IFERROR(__xludf.DUMMYFUNCTION("IMPORTRANGE(""https://docs.google.com/spreadsheets/d/1-uDff_7J0KD5mKrp0Vvzr7lt3OU09vwQwhkpOPPYv2Y/edit?usp=sharing"",""งบพรบ!CA80"")"),0)</f>
        <v>0</v>
      </c>
      <c r="M162" s="47">
        <f ca="1">IFERROR(__xludf.DUMMYFUNCTION("IMPORTRANGE(""https://docs.google.com/spreadsheets/d/1-uDff_7J0KD5mKrp0Vvzr7lt3OU09vwQwhkpOPPYv2Y/edit?usp=sharing"",""งบพรบ!CF80"")"),0)</f>
        <v>0</v>
      </c>
      <c r="N162" s="47">
        <f ca="1">IFERROR(__xludf.DUMMYFUNCTION("IMPORTRANGE(""https://docs.google.com/spreadsheets/d/1-uDff_7J0KD5mKrp0Vvzr7lt3OU09vwQwhkpOPPYv2Y/edit?usp=sharing"",""งบพรบ!CH80"")"),0)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IFERROR(__xludf.DUMMYFUNCTION("IMPORTRANGE(""https://docs.google.com/spreadsheets/d/1ItG2mGa2ceCfYo0BwxsXqNm01IGEUdYcSSLTEv9YCik/edit?usp=sharing"",""เบิกจ่ายกองทุน!AM80"")"),0)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IFERROR(__xludf.DUMMYFUNCTION("IMPORTRANGE(""https://docs.google.com/spreadsheets/d/1ItG2mGa2ceCfYo0BwxsXqNm01IGEUdYcSSLTEv9YCik/edit?usp=sharing"",""เบิกจ่ายกองทุน!AN80"")"),0)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IFERROR(__xludf.DUMMYFUNCTION("IMPORTRANGE(""https://docs.google.com/spreadsheets/d/1ItG2mGa2ceCfYo0BwxsXqNm01IGEUdYcSSLTEv9YCik/edit?usp=sharing"",""เบิกจ่ายกองทุน!AO80"")"),0)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IFERROR(__xludf.DUMMYFUNCTION("IMPORTRANGE(""https://docs.google.com/spreadsheets/d/1-uDff_7J0KD5mKrp0Vvzr7lt3OU09vwQwhkpOPPYv2Y/edit?usp=sharing"",""งบพรบ!CD80"")"),0)</f>
        <v>0</v>
      </c>
      <c r="M165" s="47">
        <f ca="1">IFERROR(__xludf.DUMMYFUNCTION("IMPORTRANGE(""https://docs.google.com/spreadsheets/d/1-uDff_7J0KD5mKrp0Vvzr7lt3OU09vwQwhkpOPPYv2Y/edit?usp=sharing"",""งบพรบ!CG80"")"),0)</f>
        <v>0</v>
      </c>
      <c r="N165" s="47">
        <f ca="1">IFERROR(__xludf.DUMMYFUNCTION("IMPORTRANGE(""https://docs.google.com/spreadsheets/d/1-uDff_7J0KD5mKrp0Vvzr7lt3OU09vwQwhkpOPPYv2Y/edit?usp=sharing"",""งบพรบ!CI80"")"),0)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IFERROR(__xludf.DUMMYFUNCTION("IMPORTRANGE(""https://docs.google.com/spreadsheets/d/1eHaY18a8A9IcSdp1K8H6x8fbOy06t2VsZHhMHf-1x7Y/edit?usp=sharing"",""แผน!Z80"")"),0)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IFERROR(__xludf.DUMMYFUNCTION("IMPORTRANGE(""https://docs.google.com/spreadsheets/d/1eHaY18a8A9IcSdp1K8H6x8fbOy06t2VsZHhMHf-1x7Y/edit?usp=sharing"",""แผน!Z80"")"),0)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IFERROR(__xludf.DUMMYFUNCTION("IMPORTRANGE(""https://docs.google.com/spreadsheets/d/1eHaY18a8A9IcSdp1K8H6x8fbOy06t2VsZHhMHf-1x7Y/edit?usp=sharing"",""แผน!Z80"")"),0)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17</v>
      </c>
      <c r="J172" s="214">
        <f>J183+J184</f>
        <v>7</v>
      </c>
      <c r="K172" s="215">
        <f ca="1">IF(I172&gt;0,J172*100/I172,0)</f>
        <v>41.176470588235297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9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40830</v>
      </c>
      <c r="N173" s="132">
        <f ca="1">N174+N175</f>
        <v>36650</v>
      </c>
      <c r="O173" s="132">
        <f ca="1">IF(L173&gt;0,N173*100/L173,0)</f>
        <v>187.08524757529352</v>
      </c>
      <c r="P173" s="132">
        <f ca="1">IF(M173&gt;0,N173*100/M173,0)</f>
        <v>89.762429586088658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40830</v>
      </c>
      <c r="N175" s="47">
        <f ca="1">N178+N181</f>
        <v>36650</v>
      </c>
      <c r="O175" s="47">
        <f ca="1">IF(L175&gt;0,N175*100/L175,0)</f>
        <v>187.08524757529352</v>
      </c>
      <c r="P175" s="47">
        <f ca="1">IF(M175&gt;0,N175*100/M175,0)</f>
        <v>89.762429586088658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40830</v>
      </c>
      <c r="N176" s="47">
        <f ca="1">N177+N178</f>
        <v>36650</v>
      </c>
      <c r="O176" s="47">
        <f ca="1">IF(L176&gt;0,N176*100/L176,0)</f>
        <v>187.08524757529352</v>
      </c>
      <c r="P176" s="47">
        <f ca="1">IF(M176&gt;0,N176*100/M176,0)</f>
        <v>89.762429586088658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IFERROR(__xludf.DUMMYFUNCTION("IMPORTRANGE(""https://docs.google.com/spreadsheets/d/1-uDff_7J0KD5mKrp0Vvzr7lt3OU09vwQwhkpOPPYv2Y/edit?usp=sharing"",""งบพรบ!CK80"")"),19590)</f>
        <v>19590</v>
      </c>
      <c r="M178" s="47">
        <f ca="1">IFERROR(__xludf.DUMMYFUNCTION("IMPORTRANGE(""https://docs.google.com/spreadsheets/d/1-uDff_7J0KD5mKrp0Vvzr7lt3OU09vwQwhkpOPPYv2Y/edit?usp=sharing"",""งบพรบ!CP80"")"),40830)</f>
        <v>40830</v>
      </c>
      <c r="N178" s="47">
        <f ca="1">IFERROR(__xludf.DUMMYFUNCTION("IMPORTRANGE(""https://docs.google.com/spreadsheets/d/1-uDff_7J0KD5mKrp0Vvzr7lt3OU09vwQwhkpOPPYv2Y/edit?usp=sharing"",""งบพรบ!CR80"")"),36650)</f>
        <v>36650</v>
      </c>
      <c r="O178" s="47">
        <f ca="1">IF(L178&gt;0,N178*100/L178,0)</f>
        <v>187.08524757529352</v>
      </c>
      <c r="P178" s="47">
        <f ca="1">IF(M178&gt;0,N178*100/M178,0)</f>
        <v>89.762429586088658</v>
      </c>
      <c r="Q178" s="47">
        <f ca="1">IFERROR(__xludf.DUMMYFUNCTION("IMPORTRANGE(""https://docs.google.com/spreadsheets/d/1ItG2mGa2ceCfYo0BwxsXqNm01IGEUdYcSSLTEv9YCik/edit?usp=sharing"",""เบิกจ่ายกองทุน!DG80"")"),0)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IFERROR(__xludf.DUMMYFUNCTION("IMPORTRANGE(""https://docs.google.com/spreadsheets/d/1ItG2mGa2ceCfYo0BwxsXqNm01IGEUdYcSSLTEv9YCik/edit?usp=sharing"",""เบิกจ่ายกองทุน!DH80"")"),0)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IFERROR(__xludf.DUMMYFUNCTION("IMPORTRANGE(""https://docs.google.com/spreadsheets/d/1ItG2mGa2ceCfYo0BwxsXqNm01IGEUdYcSSLTEv9YCik/edit?usp=sharing"",""เบิกจ่ายกองทุน!DI80"")"),0)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IFERROR(__xludf.DUMMYFUNCTION("IMPORTRANGE(""https://docs.google.com/spreadsheets/d/1-uDff_7J0KD5mKrp0Vvzr7lt3OU09vwQwhkpOPPYv2Y/edit?usp=sharing"",""งบพรบ!CN80"")"),0)</f>
        <v>0</v>
      </c>
      <c r="M181" s="47">
        <f ca="1">IFERROR(__xludf.DUMMYFUNCTION("IMPORTRANGE(""https://docs.google.com/spreadsheets/d/1-uDff_7J0KD5mKrp0Vvzr7lt3OU09vwQwhkpOPPYv2Y/edit?usp=sharing"",""งบพรบ!CQ80"")"),0)</f>
        <v>0</v>
      </c>
      <c r="N181" s="47">
        <f ca="1">IFERROR(__xludf.DUMMYFUNCTION("IMPORTRANGE(""https://docs.google.com/spreadsheets/d/1-uDff_7J0KD5mKrp0Vvzr7lt3OU09vwQwhkpOPPYv2Y/edit?usp=sharing"",""งบพรบ!CS80"")"),0)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IFERROR(__xludf.DUMMYFUNCTION("IMPORTRANGE(""https://docs.google.com/spreadsheets/d/1eHaY18a8A9IcSdp1K8H6x8fbOy06t2VsZHhMHf-1x7Y/edit?usp=sharing"",""แผน!AA80"")"),17)</f>
        <v>17</v>
      </c>
      <c r="J183" s="167">
        <v>7</v>
      </c>
      <c r="K183" s="47">
        <f ca="1">IF(I183&gt;0,J183*100/I183,0)</f>
        <v>41.176470588235297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9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105500</v>
      </c>
      <c r="M186" s="132">
        <f ca="1">M187+M188</f>
        <v>105500</v>
      </c>
      <c r="N186" s="132">
        <f ca="1">N187+N188</f>
        <v>80514</v>
      </c>
      <c r="O186" s="132">
        <f ca="1">IF(L186&gt;0,N186*100/L186,0)</f>
        <v>76.316587677725124</v>
      </c>
      <c r="P186" s="132">
        <f ca="1">IF(M186&gt;0,N186*100/M186,0)</f>
        <v>76.316587677725124</v>
      </c>
      <c r="Q186" s="132">
        <f ca="1">Q187+Q188</f>
        <v>0</v>
      </c>
      <c r="R186" s="132">
        <f ca="1">R187+R188</f>
        <v>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105500</v>
      </c>
      <c r="M188" s="47">
        <f ca="1">M191+M194</f>
        <v>105500</v>
      </c>
      <c r="N188" s="47">
        <f ca="1">N191+N194</f>
        <v>80514</v>
      </c>
      <c r="O188" s="47">
        <f ca="1">IF(L188&gt;0,N188*100/L188,0)</f>
        <v>76.316587677725124</v>
      </c>
      <c r="P188" s="47">
        <f ca="1">IF(M188&gt;0,N188*100/M188,0)</f>
        <v>76.316587677725124</v>
      </c>
      <c r="Q188" s="47">
        <f ca="1">Q191+Q194</f>
        <v>0</v>
      </c>
      <c r="R188" s="47">
        <f ca="1">R191+R194</f>
        <v>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105500</v>
      </c>
      <c r="M189" s="47">
        <f ca="1">M190+M191</f>
        <v>105500</v>
      </c>
      <c r="N189" s="47">
        <f ca="1">N190+N191</f>
        <v>80514</v>
      </c>
      <c r="O189" s="47">
        <f ca="1">IF(L189&gt;0,N189*100/L189,0)</f>
        <v>76.316587677725124</v>
      </c>
      <c r="P189" s="47">
        <f ca="1">IF(M189&gt;0,N189*100/M189,0)</f>
        <v>76.316587677725124</v>
      </c>
      <c r="Q189" s="47">
        <f ca="1">Q190+Q191</f>
        <v>0</v>
      </c>
      <c r="R189" s="47">
        <f ca="1">R190+R191</f>
        <v>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IFERROR(__xludf.DUMMYFUNCTION("IMPORTRANGE(""https://docs.google.com/spreadsheets/d/1-uDff_7J0KD5mKrp0Vvzr7lt3OU09vwQwhkpOPPYv2Y/edit?usp=sharing"",""งบพรบ!CU80"")"),105500)</f>
        <v>105500</v>
      </c>
      <c r="M191" s="47">
        <f ca="1">IFERROR(__xludf.DUMMYFUNCTION("IMPORTRANGE(""https://docs.google.com/spreadsheets/d/1-uDff_7J0KD5mKrp0Vvzr7lt3OU09vwQwhkpOPPYv2Y/edit?usp=sharing"",""งบพรบ!CZ80"")"),105500)</f>
        <v>105500</v>
      </c>
      <c r="N191" s="47">
        <f ca="1">IFERROR(__xludf.DUMMYFUNCTION("IMPORTRANGE(""https://docs.google.com/spreadsheets/d/1-uDff_7J0KD5mKrp0Vvzr7lt3OU09vwQwhkpOPPYv2Y/edit?usp=sharing"",""งบพรบ!DB80"")"),80514)</f>
        <v>80514</v>
      </c>
      <c r="O191" s="47">
        <f ca="1">IF(L191&gt;0,N191*100/L191,0)</f>
        <v>76.316587677725124</v>
      </c>
      <c r="P191" s="47">
        <f ca="1">IF(M191&gt;0,N191*100/M191,0)</f>
        <v>76.316587677725124</v>
      </c>
      <c r="Q191" s="47">
        <f ca="1">IFERROR(__xludf.DUMMYFUNCTION("IMPORTRANGE(""https://docs.google.com/spreadsheets/d/1ItG2mGa2ceCfYo0BwxsXqNm01IGEUdYcSSLTEv9YCik/edit?usp=sharing"",""เบิกจ่ายกองทุน!BQ80"")"),0)</f>
        <v>0</v>
      </c>
      <c r="R191" s="47">
        <f ca="1">IFERROR(__xludf.DUMMYFUNCTION("IMPORTRANGE(""https://docs.google.com/spreadsheets/d/1ItG2mGa2ceCfYo0BwxsXqNm01IGEUdYcSSLTEv9YCik/edit?usp=sharing"",""เบิกจ่ายกองทุน!BR80"")"),0)</f>
        <v>0</v>
      </c>
      <c r="S191" s="47">
        <f ca="1">IFERROR(__xludf.DUMMYFUNCTION("IMPORTRANGE(""https://docs.google.com/spreadsheets/d/1ItG2mGa2ceCfYo0BwxsXqNm01IGEUdYcSSLTEv9YCik/edit?usp=sharing"",""เบิกจ่ายกองทุน!BS80"")"),0)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IFERROR(__xludf.DUMMYFUNCTION("IMPORTRANGE(""https://docs.google.com/spreadsheets/d/1-uDff_7J0KD5mKrp0Vvzr7lt3OU09vwQwhkpOPPYv2Y/edit?usp=sharing"",""งบพรบ!CX80"")"),0)</f>
        <v>0</v>
      </c>
      <c r="M194" s="47">
        <f ca="1">IFERROR(__xludf.DUMMYFUNCTION("IMPORTRANGE(""https://docs.google.com/spreadsheets/d/1-uDff_7J0KD5mKrp0Vvzr7lt3OU09vwQwhkpOPPYv2Y/edit?usp=sharing"",""งบพรบ!DA80"")"),0)</f>
        <v>0</v>
      </c>
      <c r="N194" s="47">
        <f ca="1">IFERROR(__xludf.DUMMYFUNCTION("IMPORTRANGE(""https://docs.google.com/spreadsheets/d/1-uDff_7J0KD5mKrp0Vvzr7lt3OU09vwQwhkpOPPYv2Y/edit?usp=sharing"",""งบพรบ!DC80"")"),0)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IFERROR(__xludf.DUMMYFUNCTION("IMPORTRANGE(""https://docs.google.com/spreadsheets/d/1ItG2mGa2ceCfYo0BwxsXqNm01IGEUdYcSSLTEv9YCik/edit?usp=sharing"",""เบิกจ่ายกองทุน!BT80"")"),0)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IFERROR(__xludf.DUMMYFUNCTION("IMPORTRANGE(""https://docs.google.com/spreadsheets/d/1ItG2mGa2ceCfYo0BwxsXqNm01IGEUdYcSSLTEv9YCik/edit?usp=sharing"",""เบิกจ่ายกองทุน!BU80"")"),0)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IFERROR(__xludf.DUMMYFUNCTION("IMPORTRANGE(""https://docs.google.com/spreadsheets/d/1ItG2mGa2ceCfYo0BwxsXqNm01IGEUdYcSSLTEv9YCik/edit?usp=sharing"",""เบิกจ่ายกองทุน!BV80"")"),0)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87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IFERROR(__xludf.DUMMYFUNCTION("IMPORTRANGE(""https://docs.google.com/spreadsheets/d/1eHaY18a8A9IcSdp1K8H6x8fbOy06t2VsZHhMHf-1x7Y/edit?usp=sharing"",""แผน!AB80"")"),6000)</f>
        <v>6000</v>
      </c>
      <c r="M196" s="46"/>
      <c r="N196" s="769">
        <v>1000</v>
      </c>
      <c r="O196" s="132">
        <f ca="1">IF(L196&gt;0,N196*100/L196,0)</f>
        <v>16.666666666666668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IFERROR(__xludf.DUMMYFUNCTION("IMPORTRANGE(""https://docs.google.com/spreadsheets/d/1eHaY18a8A9IcSdp1K8H6x8fbOy06t2VsZHhMHf-1x7Y/edit?usp=sharing"",""แผน!AE80"")"),4)</f>
        <v>4</v>
      </c>
      <c r="J198" s="167">
        <v>2</v>
      </c>
      <c r="K198" s="47">
        <f ca="1">IF(I198&gt;0,J198*100/I198,0)</f>
        <v>50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80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80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1</v>
      </c>
      <c r="J202" s="228">
        <f>J209</f>
        <v>1</v>
      </c>
      <c r="K202" s="229">
        <f ca="1">IF(I202&gt;0,J202*100/I202,0)</f>
        <v>100</v>
      </c>
      <c r="L202" s="687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13000</v>
      </c>
      <c r="M203" s="46"/>
      <c r="N203" s="132">
        <f>N204+N205+N206+N207</f>
        <v>8000</v>
      </c>
      <c r="O203" s="132">
        <f ca="1">IF(L203&gt;0,N203*100/L203,0)</f>
        <v>61.53846153846154</v>
      </c>
      <c r="P203" s="132">
        <f>IF(M203&gt;0,N203*100/M203,0)</f>
        <v>0</v>
      </c>
      <c r="Q203" s="768">
        <f ca="1">Q204+Q205+Q206+Q207</f>
        <v>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IFERROR(__xludf.DUMMYFUNCTION("IMPORTRANGE(""https://docs.google.com/spreadsheets/d/1eHaY18a8A9IcSdp1K8H6x8fbOy06t2VsZHhMHf-1x7Y/edit?usp=sharing"",""แผน!AG80"")"),1000)</f>
        <v>1000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IFERROR(__xludf.DUMMYFUNCTION("IMPORTRANGE(""https://docs.google.com/spreadsheets/d/1eHaY18a8A9IcSdp1K8H6x8fbOy06t2VsZHhMHf-1x7Y/edit?usp=sharing"",""แผน!AH80"")"),0)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IFERROR(__xludf.DUMMYFUNCTION("IMPORTRANGE(""https://docs.google.com/spreadsheets/d/1eHaY18a8A9IcSdp1K8H6x8fbOy06t2VsZHhMHf-1x7Y/edit?usp=sharing"",""แผน!AI80"")"),8000)</f>
        <v>8000</v>
      </c>
      <c r="M206" s="46"/>
      <c r="N206" s="743">
        <v>8000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IFERROR(__xludf.DUMMYFUNCTION("IMPORTRANGE(""https://docs.google.com/spreadsheets/d/1eHaY18a8A9IcSdp1K8H6x8fbOy06t2VsZHhMHf-1x7Y/edit?usp=sharing"",""แผน!LV80"")"),0)</f>
        <v>0</v>
      </c>
      <c r="R206" s="46"/>
      <c r="S206" s="743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IFERROR(__xludf.DUMMYFUNCTION("IMPORTRANGE(""https://docs.google.com/spreadsheets/d/1eHaY18a8A9IcSdp1K8H6x8fbOy06t2VsZHhMHf-1x7Y/edit?usp=sharing"",""แผน!AJ80"")"),4000)</f>
        <v>4000</v>
      </c>
      <c r="M207" s="46"/>
      <c r="N207" s="743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IFERROR(__xludf.DUMMYFUNCTION("IMPORTRANGE(""https://docs.google.com/spreadsheets/d/1eHaY18a8A9IcSdp1K8H6x8fbOy06t2VsZHhMHf-1x7Y/edit?usp=sharing"",""แผน!AK80"")"),1)</f>
        <v>1</v>
      </c>
      <c r="J209" s="167">
        <v>1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IFERROR(__xludf.DUMMYFUNCTION("IMPORTRANGE(""https://docs.google.com/spreadsheets/d/1eHaY18a8A9IcSdp1K8H6x8fbOy06t2VsZHhMHf-1x7Y/edit?usp=sharing"",""แผน!JX80"")"),1)</f>
        <v>1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IFERROR(__xludf.DUMMYFUNCTION("IMPORTRANGE(""https://docs.google.com/spreadsheets/d/1eHaY18a8A9IcSdp1K8H6x8fbOy06t2VsZHhMHf-1x7Y/edit?usp=sharing"",""แผน!JY80"")"),0)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7"/>
      <c r="M213" s="230"/>
      <c r="N213" s="230"/>
      <c r="O213" s="230"/>
      <c r="P213" s="230"/>
      <c r="Q213" s="687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IFERROR(__xludf.DUMMYFUNCTION("IMPORTRANGE(""https://docs.google.com/spreadsheets/d/1eHaY18a8A9IcSdp1K8H6x8fbOy06t2VsZHhMHf-1x7Y/edit?usp=sharing"",""แผน!AM80"")"),0)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IFERROR(__xludf.DUMMYFUNCTION("IMPORTRANGE(""https://docs.google.com/spreadsheets/d/1eHaY18a8A9IcSdp1K8H6x8fbOy06t2VsZHhMHf-1x7Y/edit?usp=sharing"",""แผน!AN80"")"),0)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IFERROR(__xludf.DUMMYFUNCTION("IMPORTRANGE(""https://docs.google.com/spreadsheets/d/1eHaY18a8A9IcSdp1K8H6x8fbOy06t2VsZHhMHf-1x7Y/edit?usp=sharing"",""แผน!AO80"")"),0)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IFERROR(__xludf.DUMMYFUNCTION("IMPORTRANGE(""https://docs.google.com/spreadsheets/d/1eHaY18a8A9IcSdp1K8H6x8fbOy06t2VsZHhMHf-1x7Y/edit?usp=sharing"",""แผน!LY80"")"),0)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IFERROR(__xludf.DUMMYFUNCTION("IMPORTRANGE(""https://docs.google.com/spreadsheets/d/1eHaY18a8A9IcSdp1K8H6x8fbOy06t2VsZHhMHf-1x7Y/edit?usp=sharing"",""แผน!AP80"")"),0)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IFERROR(__xludf.DUMMYFUNCTION("IMPORTRANGE(""https://docs.google.com/spreadsheets/d/1eHaY18a8A9IcSdp1K8H6x8fbOy06t2VsZHhMHf-1x7Y/edit?usp=sharing"",""แผน!AP80"")"),0)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12800</v>
      </c>
      <c r="J221" s="228">
        <f>J229</f>
        <v>0</v>
      </c>
      <c r="K221" s="229">
        <f ca="1">IF(I221&gt;0,J221*100/I221,0)</f>
        <v>0</v>
      </c>
      <c r="L221" s="687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IFERROR(__xludf.DUMMYFUNCTION("IMPORTRANGE(""https://docs.google.com/spreadsheets/d/1eHaY18a8A9IcSdp1K8H6x8fbOy06t2VsZHhMHf-1x7Y/edit?usp=sharing"",""แผน!AR80"")"),3000)</f>
        <v>3000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IFERROR(__xludf.DUMMYFUNCTION("IMPORTRANGE(""https://docs.google.com/spreadsheets/d/1eHaY18a8A9IcSdp1K8H6x8fbOy06t2VsZHhMHf-1x7Y/edit?usp=sharing"",""แผน!AS80"")"),1500)</f>
        <v>1500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IFERROR(__xludf.DUMMYFUNCTION("IMPORTRANGE(""https://docs.google.com/spreadsheets/d/1eHaY18a8A9IcSdp1K8H6x8fbOy06t2VsZHhMHf-1x7Y/edit?usp=sharing"",""แผน!AT80"")"),0)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IFERROR(__xludf.DUMMYFUNCTION("IMPORTRANGE(""https://docs.google.com/spreadsheets/d/1eHaY18a8A9IcSdp1K8H6x8fbOy06t2VsZHhMHf-1x7Y/edit?usp=sharing"",""แผน!AV80"")"),12800)</f>
        <v>12800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IFERROR(__xludf.DUMMYFUNCTION("IMPORTRANGE(""https://docs.google.com/spreadsheets/d/1eHaY18a8A9IcSdp1K8H6x8fbOy06t2VsZHhMHf-1x7Y/edit?usp=sharing"",""แผน!AV80"")"),12800)</f>
        <v>12800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IFERROR(__xludf.DUMMYFUNCTION("IMPORTRANGE(""https://docs.google.com/spreadsheets/d/1eHaY18a8A9IcSdp1K8H6x8fbOy06t2VsZHhMHf-1x7Y/edit?usp=sharing"",""แผน!AU80"")"),0)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7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1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7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IFERROR(__xludf.DUMMYFUNCTION("IMPORTRANGE(""https://docs.google.com/spreadsheets/d/1eHaY18a8A9IcSdp1K8H6x8fbOy06t2VsZHhMHf-1x7Y/edit?usp=sharing"",""แผน!AX80"")"),0)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IFERROR(__xludf.DUMMYFUNCTION("IMPORTRANGE(""https://docs.google.com/spreadsheets/d/1eHaY18a8A9IcSdp1K8H6x8fbOy06t2VsZHhMHf-1x7Y/edit?usp=sharing"",""แผน!AY80"")"),0)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IFERROR(__xludf.DUMMYFUNCTION("IMPORTRANGE(""https://docs.google.com/spreadsheets/d/1eHaY18a8A9IcSdp1K8H6x8fbOy06t2VsZHhMHf-1x7Y/edit?usp=sharing"",""แผน!AZ80"")"),0)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IFERROR(__xludf.DUMMYFUNCTION("IMPORTRANGE(""https://docs.google.com/spreadsheets/d/1eHaY18a8A9IcSdp1K8H6x8fbOy06t2VsZHhMHf-1x7Y/edit?usp=sharing"",""แผน!BA80"")"),0)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1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IFERROR(__xludf.DUMMYFUNCTION("IMPORTRANGE(""https://docs.google.com/spreadsheets/d/1eHaY18a8A9IcSdp1K8H6x8fbOy06t2VsZHhMHf-1x7Y/edit?usp=sharing"",""แผน!BG80"")"),0)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7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IFERROR(__xludf.DUMMYFUNCTION("IMPORTRANGE(""https://docs.google.com/spreadsheets/d/1eHaY18a8A9IcSdp1K8H6x8fbOy06t2VsZHhMHf-1x7Y/edit?usp=sharing"",""แผน!BB80"")"),0)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IFERROR(__xludf.DUMMYFUNCTION("IMPORTRANGE(""https://docs.google.com/spreadsheets/d/1eHaY18a8A9IcSdp1K8H6x8fbOy06t2VsZHhMHf-1x7Y/edit?usp=sharing"",""แผน!BC80"")"),0)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IFERROR(__xludf.DUMMYFUNCTION("IMPORTRANGE(""https://docs.google.com/spreadsheets/d/1eHaY18a8A9IcSdp1K8H6x8fbOy06t2VsZHhMHf-1x7Y/edit?usp=sharing"",""แผน!BD80"")"),0)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IFERROR(__xludf.DUMMYFUNCTION("IMPORTRANGE(""https://docs.google.com/spreadsheets/d/1eHaY18a8A9IcSdp1K8H6x8fbOy06t2VsZHhMHf-1x7Y/edit?usp=sharing"",""แผน!BE80"")"),0)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1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IFERROR(__xludf.DUMMYFUNCTION("IMPORTRANGE(""https://docs.google.com/spreadsheets/d/1eHaY18a8A9IcSdp1K8H6x8fbOy06t2VsZHhMHf-1x7Y/edit?usp=sharing"",""แผน!BH80"")"),0)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20</v>
      </c>
      <c r="J265" s="726">
        <f>J276</f>
        <v>0</v>
      </c>
      <c r="K265" s="725">
        <f ca="1">IF(I265&gt;0,J265*100/I265,0)</f>
        <v>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618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0</v>
      </c>
      <c r="O266" s="421">
        <f ca="1">IF(L266&gt;0,N266*100/L266,0)</f>
        <v>0</v>
      </c>
      <c r="P266" s="421">
        <f ca="1">IF(M266&gt;0,N266*100/M266,0)</f>
        <v>0</v>
      </c>
      <c r="Q266" s="421">
        <f ca="1">Q267+Q268</f>
        <v>47880</v>
      </c>
      <c r="R266" s="421">
        <f ca="1">R267+R268</f>
        <v>47880</v>
      </c>
      <c r="S266" s="421">
        <f ca="1">S267+S268</f>
        <v>0</v>
      </c>
      <c r="T266" s="421">
        <f ca="1">IF(Q266&gt;0,S266*100/Q266,0)</f>
        <v>0</v>
      </c>
      <c r="U266" s="421">
        <f ca="1">IF(R266&gt;0,S266*100/R266,0)</f>
        <v>0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0</v>
      </c>
      <c r="O268" s="331">
        <f ca="1">IF(L268&gt;0,N268*100/L268,0)</f>
        <v>0</v>
      </c>
      <c r="P268" s="331">
        <f ca="1">IF(M268&gt;0,N268*100/M268,0)</f>
        <v>0</v>
      </c>
      <c r="Q268" s="331">
        <f ca="1">Q271+Q274</f>
        <v>47880</v>
      </c>
      <c r="R268" s="331">
        <f ca="1">R271+R274</f>
        <v>47880</v>
      </c>
      <c r="S268" s="331">
        <f ca="1">S271+S274</f>
        <v>0</v>
      </c>
      <c r="T268" s="331">
        <f ca="1">IF(Q268&gt;0,S268*100/Q268,0)</f>
        <v>0</v>
      </c>
      <c r="U268" s="331">
        <f ca="1">IF(R268&gt;0,S268*100/R268,0)</f>
        <v>0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0</v>
      </c>
      <c r="O269" s="331">
        <f ca="1">IF(L269&gt;0,N269*100/L269,0)</f>
        <v>0</v>
      </c>
      <c r="P269" s="331">
        <f ca="1">IF(M269&gt;0,N269*100/M269,0)</f>
        <v>0</v>
      </c>
      <c r="Q269" s="331">
        <f ca="1">Q270+Q271</f>
        <v>47880</v>
      </c>
      <c r="R269" s="331">
        <f ca="1">R270+R271</f>
        <v>47880</v>
      </c>
      <c r="S269" s="331">
        <f ca="1">S270+S271</f>
        <v>0</v>
      </c>
      <c r="T269" s="331">
        <f ca="1">IF(Q269&gt;0,S269*100/Q269,0)</f>
        <v>0</v>
      </c>
      <c r="U269" s="331">
        <f ca="1">IF(R269&gt;0,S269*100/R269,0)</f>
        <v>0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IFERROR(__xludf.DUMMYFUNCTION("IMPORTRANGE(""https://docs.google.com/spreadsheets/d/1-uDff_7J0KD5mKrp0Vvzr7lt3OU09vwQwhkpOPPYv2Y/edit?usp=sharing"",""งบพรบ!DE80"")"),5000)</f>
        <v>5000</v>
      </c>
      <c r="M271" s="331">
        <f ca="1">IFERROR(__xludf.DUMMYFUNCTION("IMPORTRANGE(""https://docs.google.com/spreadsheets/d/1-uDff_7J0KD5mKrp0Vvzr7lt3OU09vwQwhkpOPPYv2Y/edit?usp=sharing"",""งบพรบ!DJ80"")"),5000)</f>
        <v>5000</v>
      </c>
      <c r="N271" s="331">
        <f ca="1">IFERROR(__xludf.DUMMYFUNCTION("IMPORTRANGE(""https://docs.google.com/spreadsheets/d/1-uDff_7J0KD5mKrp0Vvzr7lt3OU09vwQwhkpOPPYv2Y/edit?usp=sharing"",""งบพรบ!DL80"")"),0)</f>
        <v>0</v>
      </c>
      <c r="O271" s="331">
        <f ca="1">IF(L271&gt;0,N271*100/L271,0)</f>
        <v>0</v>
      </c>
      <c r="P271" s="331">
        <f ca="1">IF(M271&gt;0,N271*100/M271,0)</f>
        <v>0</v>
      </c>
      <c r="Q271" s="331">
        <f ca="1">IFERROR(__xludf.DUMMYFUNCTION("IMPORTRANGE(""https://docs.google.com/spreadsheets/d/1ItG2mGa2ceCfYo0BwxsXqNm01IGEUdYcSSLTEv9YCik/edit?usp=sharing"",""เบิกจ่ายกองทุน!AP80"")"),47880)</f>
        <v>47880</v>
      </c>
      <c r="R271" s="331">
        <f ca="1">IFERROR(__xludf.DUMMYFUNCTION("IMPORTRANGE(""https://docs.google.com/spreadsheets/d/1ItG2mGa2ceCfYo0BwxsXqNm01IGEUdYcSSLTEv9YCik/edit?usp=sharing"",""เบิกจ่ายกองทุน!AQ80"")"),47880)</f>
        <v>47880</v>
      </c>
      <c r="S271" s="331">
        <f ca="1">IFERROR(__xludf.DUMMYFUNCTION("IMPORTRANGE(""https://docs.google.com/spreadsheets/d/1ItG2mGa2ceCfYo0BwxsXqNm01IGEUdYcSSLTEv9YCik/edit?usp=sharing"",""เบิกจ่ายกองทุน!AR80"")"),0)</f>
        <v>0</v>
      </c>
      <c r="T271" s="331">
        <f ca="1">IF(Q271&gt;0,S271*100/Q271,0)</f>
        <v>0</v>
      </c>
      <c r="U271" s="331">
        <f ca="1">IF(R271&gt;0,S271*100/R271,0)</f>
        <v>0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IFERROR(__xludf.DUMMYFUNCTION("IMPORTRANGE(""https://docs.google.com/spreadsheets/d/1-uDff_7J0KD5mKrp0Vvzr7lt3OU09vwQwhkpOPPYv2Y/edit?usp=sharing"",""งบพรบ!DH80"")"),0)</f>
        <v>0</v>
      </c>
      <c r="M274" s="331">
        <f ca="1">IFERROR(__xludf.DUMMYFUNCTION("IMPORTRANGE(""https://docs.google.com/spreadsheets/d/1-uDff_7J0KD5mKrp0Vvzr7lt3OU09vwQwhkpOPPYv2Y/edit?usp=sharing"",""งบพรบ!DK80"")"),0)</f>
        <v>0</v>
      </c>
      <c r="N274" s="331">
        <f ca="1">IFERROR(__xludf.DUMMYFUNCTION("IMPORTRANGE(""https://docs.google.com/spreadsheets/d/1-uDff_7J0KD5mKrp0Vvzr7lt3OU09vwQwhkpOPPYv2Y/edit?usp=sharing"",""งบพรบ!DM80"")"),0)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423" t="s">
        <v>18</v>
      </c>
      <c r="D275" s="617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874"/>
      <c r="B276" s="873"/>
      <c r="C276" s="873"/>
      <c r="D276" s="872" t="s">
        <v>115</v>
      </c>
      <c r="E276" s="871"/>
      <c r="F276" s="871"/>
      <c r="G276" s="870"/>
      <c r="H276" s="869" t="s">
        <v>35</v>
      </c>
      <c r="I276" s="868">
        <f ca="1">IFERROR(__xludf.DUMMYFUNCTION("IMPORTRANGE(""https://docs.google.com/spreadsheets/d/1eHaY18a8A9IcSdp1K8H6x8fbOy06t2VsZHhMHf-1x7Y/edit?usp=sharing"",""แผน!EC80"")"),20)</f>
        <v>20</v>
      </c>
      <c r="J276" s="867">
        <v>0</v>
      </c>
      <c r="K276" s="866">
        <f ca="1">IF(I276&gt;0,J276*100/I276,0)</f>
        <v>0</v>
      </c>
      <c r="L276" s="553"/>
      <c r="M276" s="332"/>
      <c r="N276" s="332"/>
      <c r="O276" s="332"/>
      <c r="P276" s="332"/>
      <c r="Q276" s="332"/>
      <c r="R276" s="332"/>
      <c r="S276" s="332"/>
      <c r="T276" s="332"/>
      <c r="U276" s="332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IFERROR(__xludf.DUMMYFUNCTION("IMPORTRANGE(""https://docs.google.com/spreadsheets/d/1-uDff_7J0KD5mKrp0Vvzr7lt3OU09vwQwhkpOPPYv2Y/edit?usp=sharing"",""งบพรบ!DO80"")"),0)</f>
        <v>0</v>
      </c>
      <c r="M287" s="47">
        <f ca="1">IFERROR(__xludf.DUMMYFUNCTION("IMPORTRANGE(""https://docs.google.com/spreadsheets/d/1-uDff_7J0KD5mKrp0Vvzr7lt3OU09vwQwhkpOPPYv2Y/edit?usp=sharing"",""งบพรบ!DT80"")"),0)</f>
        <v>0</v>
      </c>
      <c r="N287" s="47">
        <f ca="1">IFERROR(__xludf.DUMMYFUNCTION("IMPORTRANGE(""https://docs.google.com/spreadsheets/d/1-uDff_7J0KD5mKrp0Vvzr7lt3OU09vwQwhkpOPPYv2Y/edit?usp=sharing"",""งบพรบ!DV80"")"),0)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IFERROR(__xludf.DUMMYFUNCTION("IMPORTRANGE(""https://docs.google.com/spreadsheets/d/1-uDff_7J0KD5mKrp0Vvzr7lt3OU09vwQwhkpOPPYv2Y/edit?usp=sharing"",""งบพรบ!DR80"")"),0)</f>
        <v>0</v>
      </c>
      <c r="M290" s="47">
        <f ca="1">IFERROR(__xludf.DUMMYFUNCTION("IMPORTRANGE(""https://docs.google.com/spreadsheets/d/1-uDff_7J0KD5mKrp0Vvzr7lt3OU09vwQwhkpOPPYv2Y/edit?usp=sharing"",""งบพรบ!DU80"")"),0)</f>
        <v>0</v>
      </c>
      <c r="N290" s="47">
        <f ca="1">IFERROR(__xludf.DUMMYFUNCTION("IMPORTRANGE(""https://docs.google.com/spreadsheets/d/1-uDff_7J0KD5mKrp0Vvzr7lt3OU09vwQwhkpOPPYv2Y/edit?usp=sharing"",""งบพรบ!DW80"")"),0)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IFERROR(__xludf.DUMMYFUNCTION("IMPORTRANGE(""https://docs.google.com/spreadsheets/d/1eHaY18a8A9IcSdp1K8H6x8fbOy06t2VsZHhMHf-1x7Y/edit?usp=sharing"",""แผน!EE80"")"),0)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IFERROR(__xludf.DUMMYFUNCTION("IMPORTRANGE(""https://docs.google.com/spreadsheets/d/1eHaY18a8A9IcSdp1K8H6x8fbOy06t2VsZHhMHf-1x7Y/edit?usp=sharing"",""แผน!ED80"")"),0)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IFERROR(__xludf.DUMMYFUNCTION("IMPORTRANGE(""https://docs.google.com/spreadsheets/d/1eHaY18a8A9IcSdp1K8H6x8fbOy06t2VsZHhMHf-1x7Y/edit?usp=sharing"",""แผน!ED80"")"),0)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IFERROR(__xludf.DUMMYFUNCTION("IMPORTRANGE(""https://docs.google.com/spreadsheets/d/1eHaY18a8A9IcSdp1K8H6x8fbOy06t2VsZHhMHf-1x7Y/edit?usp=sharing"",""แผน!ED80"")"),0)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1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1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700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20</v>
      </c>
      <c r="J302" s="310">
        <f>J314</f>
        <v>20</v>
      </c>
      <c r="K302" s="311">
        <f ca="1">IF(I302&gt;0,J302*100/I302,0)</f>
        <v>100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9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194611.99</v>
      </c>
      <c r="R303" s="132">
        <f ca="1">R304+R305</f>
        <v>194612</v>
      </c>
      <c r="S303" s="132">
        <f ca="1">S304+S305</f>
        <v>80572</v>
      </c>
      <c r="T303" s="132">
        <f ca="1">IF(Q303&gt;0,S303*100/Q303,0)</f>
        <v>41.401354561967125</v>
      </c>
      <c r="U303" s="132">
        <f ca="1">IF(R303&gt;0,S303*100/R303,0)</f>
        <v>41.401352434587793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194611.99</v>
      </c>
      <c r="R305" s="47">
        <f ca="1">R308+R311</f>
        <v>194612</v>
      </c>
      <c r="S305" s="47">
        <f ca="1">S308+S311</f>
        <v>80572</v>
      </c>
      <c r="T305" s="47">
        <f ca="1">IF(Q305&gt;0,S305*100/Q305,0)</f>
        <v>41.401354561967125</v>
      </c>
      <c r="U305" s="47">
        <f ca="1">IF(R305&gt;0,S305*100/R305,0)</f>
        <v>41.401352434587793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194611.99</v>
      </c>
      <c r="R306" s="47">
        <f ca="1">R307+R308</f>
        <v>194612</v>
      </c>
      <c r="S306" s="47">
        <f ca="1">S307+S308</f>
        <v>80572</v>
      </c>
      <c r="T306" s="47">
        <f ca="1">IF(Q306&gt;0,S306*100/Q306,0)</f>
        <v>41.401354561967125</v>
      </c>
      <c r="U306" s="47">
        <f ca="1">IF(R306&gt;0,S306*100/R306,0)</f>
        <v>41.401352434587793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IFERROR(__xludf.DUMMYFUNCTION("IMPORTRANGE(""https://docs.google.com/spreadsheets/d/1-uDff_7J0KD5mKrp0Vvzr7lt3OU09vwQwhkpOPPYv2Y/edit?usp=sharing"",""งบพรบ!DY80"")"),0)</f>
        <v>0</v>
      </c>
      <c r="M308" s="47">
        <f ca="1">IFERROR(__xludf.DUMMYFUNCTION("IMPORTRANGE(""https://docs.google.com/spreadsheets/d/1-uDff_7J0KD5mKrp0Vvzr7lt3OU09vwQwhkpOPPYv2Y/edit?usp=sharing"",""งบพรบ!ED80"")"),0)</f>
        <v>0</v>
      </c>
      <c r="N308" s="47">
        <f ca="1">IFERROR(__xludf.DUMMYFUNCTION("IMPORTRANGE(""https://docs.google.com/spreadsheets/d/1-uDff_7J0KD5mKrp0Vvzr7lt3OU09vwQwhkpOPPYv2Y/edit?usp=sharing"",""งบพรบ!EF80"")"),0)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IFERROR(__xludf.DUMMYFUNCTION("IMPORTRANGE(""https://docs.google.com/spreadsheets/d/1ItG2mGa2ceCfYo0BwxsXqNm01IGEUdYcSSLTEv9YCik/edit?usp=sharing"",""เบิกจ่ายกองทุน!BB80"")"),194611.99)</f>
        <v>194611.99</v>
      </c>
      <c r="R308" s="47">
        <f ca="1">IFERROR(__xludf.DUMMYFUNCTION("IMPORTRANGE(""https://docs.google.com/spreadsheets/d/1ItG2mGa2ceCfYo0BwxsXqNm01IGEUdYcSSLTEv9YCik/edit?usp=sharing"",""เบิกจ่ายกองทุน!BC80"")"),194612)</f>
        <v>194612</v>
      </c>
      <c r="S308" s="47">
        <f ca="1">IFERROR(__xludf.DUMMYFUNCTION("IMPORTRANGE(""https://docs.google.com/spreadsheets/d/1ItG2mGa2ceCfYo0BwxsXqNm01IGEUdYcSSLTEv9YCik/edit?usp=sharing"",""เบิกจ่ายกองทุน!BD80"")"),80572)</f>
        <v>80572</v>
      </c>
      <c r="T308" s="47">
        <f ca="1">IF(Q308&gt;0,S308*100/Q308,0)</f>
        <v>41.401354561967125</v>
      </c>
      <c r="U308" s="47">
        <f ca="1">IF(R308&gt;0,S308*100/R308,0)</f>
        <v>41.401352434587793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IFERROR(__xludf.DUMMYFUNCTION("IMPORTRANGE(""https://docs.google.com/spreadsheets/d/1-uDff_7J0KD5mKrp0Vvzr7lt3OU09vwQwhkpOPPYv2Y/edit?usp=sharing"",""งบพรบ!EB80"")"),0)</f>
        <v>0</v>
      </c>
      <c r="M311" s="47">
        <f ca="1">IFERROR(__xludf.DUMMYFUNCTION("IMPORTRANGE(""https://docs.google.com/spreadsheets/d/1-uDff_7J0KD5mKrp0Vvzr7lt3OU09vwQwhkpOPPYv2Y/edit?usp=sharing"",""งบพรบ!EE80"")"),0)</f>
        <v>0</v>
      </c>
      <c r="N311" s="47">
        <f ca="1">IFERROR(__xludf.DUMMYFUNCTION("IMPORTRANGE(""https://docs.google.com/spreadsheets/d/1-uDff_7J0KD5mKrp0Vvzr7lt3OU09vwQwhkpOPPYv2Y/edit?usp=sharing"",""งบพรบ!EG80"")"),0)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9"/>
      <c r="E313" s="19"/>
      <c r="F313" s="19"/>
      <c r="G313" s="20"/>
      <c r="H313" s="20"/>
      <c r="I313" s="21"/>
      <c r="J313" s="707"/>
      <c r="K313" s="22"/>
      <c r="L313" s="701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IFERROR(__xludf.DUMMYFUNCTION("IMPORTRANGE(""https://docs.google.com/spreadsheets/d/1eHaY18a8A9IcSdp1K8H6x8fbOy06t2VsZHhMHf-1x7Y/edit?usp=sharing"",""แผน!EF80"")"),20)</f>
        <v>20</v>
      </c>
      <c r="J314" s="167">
        <v>20</v>
      </c>
      <c r="K314" s="47">
        <f ca="1">IF(I314&gt;0,J314*100/I314,0)</f>
        <v>100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9"/>
      <c r="E315" s="19"/>
      <c r="F315" s="19"/>
      <c r="G315" s="20"/>
      <c r="H315" s="708"/>
      <c r="I315" s="707"/>
      <c r="J315" s="707"/>
      <c r="K315" s="706"/>
      <c r="L315" s="701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9"/>
      <c r="E316" s="19"/>
      <c r="F316" s="19"/>
      <c r="G316" s="20"/>
      <c r="H316" s="708"/>
      <c r="I316" s="707"/>
      <c r="J316" s="707"/>
      <c r="K316" s="706"/>
      <c r="L316" s="701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5"/>
      <c r="E317" s="19"/>
      <c r="F317" s="19"/>
      <c r="G317" s="20"/>
      <c r="H317" s="704"/>
      <c r="I317" s="703"/>
      <c r="J317" s="703"/>
      <c r="K317" s="702"/>
      <c r="L317" s="701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700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IFERROR(__xludf.DUMMYFUNCTION("IMPORTRANGE(""https://docs.google.com/spreadsheets/d/1-uDff_7J0KD5mKrp0Vvzr7lt3OU09vwQwhkpOPPYv2Y/edit?usp=sharing"",""งบพรบ!EI80"")"),0)</f>
        <v>0</v>
      </c>
      <c r="M325" s="47">
        <f ca="1">IFERROR(__xludf.DUMMYFUNCTION("IMPORTRANGE(""https://docs.google.com/spreadsheets/d/1-uDff_7J0KD5mKrp0Vvzr7lt3OU09vwQwhkpOPPYv2Y/edit?usp=sharing"",""งบพรบ!EN80"")"),0)</f>
        <v>0</v>
      </c>
      <c r="N325" s="47">
        <f ca="1">IFERROR(__xludf.DUMMYFUNCTION("IMPORTRANGE(""https://docs.google.com/spreadsheets/d/1-uDff_7J0KD5mKrp0Vvzr7lt3OU09vwQwhkpOPPYv2Y/edit?usp=sharing"",""งบพรบ!EP80"")"),0)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IFERROR(__xludf.DUMMYFUNCTION("IMPORTRANGE(""https://docs.google.com/spreadsheets/d/1-uDff_7J0KD5mKrp0Vvzr7lt3OU09vwQwhkpOPPYv2Y/edit?usp=sharing"",""งบพรบ!EL80"")"),0)</f>
        <v>0</v>
      </c>
      <c r="M328" s="47">
        <f ca="1">IFERROR(__xludf.DUMMYFUNCTION("IMPORTRANGE(""https://docs.google.com/spreadsheets/d/1-uDff_7J0KD5mKrp0Vvzr7lt3OU09vwQwhkpOPPYv2Y/edit?usp=sharing"",""งบพรบ!EO80"")"),0)</f>
        <v>0</v>
      </c>
      <c r="N328" s="47">
        <f ca="1">IFERROR(__xludf.DUMMYFUNCTION("IMPORTRANGE(""https://docs.google.com/spreadsheets/d/1-uDff_7J0KD5mKrp0Vvzr7lt3OU09vwQwhkpOPPYv2Y/edit?usp=sharing"",""งบพรบ!EQ80"")"),0)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IFERROR(__xludf.DUMMYFUNCTION("IMPORTRANGE(""https://docs.google.com/spreadsheets/d/1eHaY18a8A9IcSdp1K8H6x8fbOy06t2VsZHhMHf-1x7Y/edit?usp=sharing"",""แผน!EJ80"")"),0)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700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9">
        <f ca="1">I344</f>
        <v>200</v>
      </c>
      <c r="J332" s="698">
        <f ca="1">J344+J347+J348+J349+J353</f>
        <v>670</v>
      </c>
      <c r="K332" s="697">
        <f ca="1">IF(I332&gt;0,J332*100/I332,0)</f>
        <v>335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9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172000</v>
      </c>
      <c r="M333" s="132">
        <f ca="1">M334+M335</f>
        <v>172000</v>
      </c>
      <c r="N333" s="132">
        <f ca="1">N334+N335</f>
        <v>96270</v>
      </c>
      <c r="O333" s="132">
        <f ca="1">IF(L333&gt;0,N333*100/L333,0)</f>
        <v>55.970930232558139</v>
      </c>
      <c r="P333" s="132">
        <f ca="1">IF(M333&gt;0,N333*100/M333,0)</f>
        <v>55.970930232558139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172000</v>
      </c>
      <c r="M335" s="47">
        <f ca="1">M338+M341</f>
        <v>172000</v>
      </c>
      <c r="N335" s="47">
        <f ca="1">N338+N341</f>
        <v>96270</v>
      </c>
      <c r="O335" s="47">
        <f ca="1">IF(L335&gt;0,N335*100/L335,0)</f>
        <v>55.970930232558139</v>
      </c>
      <c r="P335" s="47">
        <f ca="1">IF(M335&gt;0,N335*100/M335,0)</f>
        <v>55.970930232558139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172000</v>
      </c>
      <c r="M336" s="47">
        <f ca="1">M337+M338</f>
        <v>172000</v>
      </c>
      <c r="N336" s="47">
        <f ca="1">N337+N338</f>
        <v>96270</v>
      </c>
      <c r="O336" s="47">
        <f ca="1">IF(L336&gt;0,N336*100/L336,0)</f>
        <v>55.970930232558139</v>
      </c>
      <c r="P336" s="47">
        <f ca="1">IF(M336&gt;0,N336*100/M336,0)</f>
        <v>55.970930232558139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IFERROR(__xludf.DUMMYFUNCTION("IMPORTRANGE(""https://docs.google.com/spreadsheets/d/1-uDff_7J0KD5mKrp0Vvzr7lt3OU09vwQwhkpOPPYv2Y/edit?usp=sharing"",""งบพรบ!ES80"")"),172000)</f>
        <v>172000</v>
      </c>
      <c r="M338" s="47">
        <f ca="1">IFERROR(__xludf.DUMMYFUNCTION("IMPORTRANGE(""https://docs.google.com/spreadsheets/d/1-uDff_7J0KD5mKrp0Vvzr7lt3OU09vwQwhkpOPPYv2Y/edit?usp=sharing"",""งบพรบ!EX80"")"),172000)</f>
        <v>172000</v>
      </c>
      <c r="N338" s="47">
        <f ca="1">IFERROR(__xludf.DUMMYFUNCTION("IMPORTRANGE(""https://docs.google.com/spreadsheets/d/1-uDff_7J0KD5mKrp0Vvzr7lt3OU09vwQwhkpOPPYv2Y/edit?usp=sharing"",""งบพรบ!EZ80"")"),96270)</f>
        <v>96270</v>
      </c>
      <c r="O338" s="47">
        <f ca="1">IF(L338&gt;0,N338*100/L338,0)</f>
        <v>55.970930232558139</v>
      </c>
      <c r="P338" s="47">
        <f ca="1">IF(M338&gt;0,N338*100/M338,0)</f>
        <v>55.970930232558139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IFERROR(__xludf.DUMMYFUNCTION("IMPORTRANGE(""https://docs.google.com/spreadsheets/d/1-uDff_7J0KD5mKrp0Vvzr7lt3OU09vwQwhkpOPPYv2Y/edit?usp=sharing"",""งบพรบ!EV80"")"),0)</f>
        <v>0</v>
      </c>
      <c r="M341" s="47">
        <f ca="1">IFERROR(__xludf.DUMMYFUNCTION("IMPORTRANGE(""https://docs.google.com/spreadsheets/d/1-uDff_7J0KD5mKrp0Vvzr7lt3OU09vwQwhkpOPPYv2Y/edit?usp=sharing"",""งบพรบ!EY80"")"),0)</f>
        <v>0</v>
      </c>
      <c r="N341" s="47">
        <f ca="1">IFERROR(__xludf.DUMMYFUNCTION("IMPORTRANGE(""https://docs.google.com/spreadsheets/d/1-uDff_7J0KD5mKrp0Vvzr7lt3OU09vwQwhkpOPPYv2Y/edit?usp=sharing"",""งบพรบ!FA80"")"),0)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6"/>
      <c r="B343" s="693"/>
      <c r="C343" s="695"/>
      <c r="D343" s="693"/>
      <c r="E343" s="694" t="s">
        <v>137</v>
      </c>
      <c r="F343" s="693"/>
      <c r="G343" s="692"/>
      <c r="H343" s="691" t="s">
        <v>35</v>
      </c>
      <c r="I343" s="690">
        <v>0</v>
      </c>
      <c r="J343" s="690">
        <f ca="1">J344+J347+J348+J349</f>
        <v>149</v>
      </c>
      <c r="K343" s="689">
        <v>0</v>
      </c>
      <c r="L343" s="687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IFERROR(__xludf.DUMMYFUNCTION("IMPORTRANGE(""https://docs.google.com/spreadsheets/d/1eHaY18a8A9IcSdp1K8H6x8fbOy06t2VsZHhMHf-1x7Y/edit?usp=sharing"",""แผน!EK80"")"),200)</f>
        <v>200</v>
      </c>
      <c r="J344" s="152">
        <f ca="1">IFERROR(__xludf.DUMMYFUNCTION("IMPORTRANGE(""https://docs.google.com/spreadsheets/d/1awYsYK3VOup2i3Pq_Yjnu8DRu_mYwSBnCR2QPthd0rU/edit?usp=sharing"",""ศูนย์ยกเว้นโฉนด!D80"")"),147)</f>
        <v>147</v>
      </c>
      <c r="K344" s="47">
        <f ca="1">IF(I344&gt;0,J344*100/I344,0)</f>
        <v>73.5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IFERROR(__xludf.DUMMYFUNCTION("IMPORTRANGE(""https://docs.google.com/spreadsheets/d/1eHaY18a8A9IcSdp1K8H6x8fbOy06t2VsZHhMHf-1x7Y/edit?usp=sharing"",""แผน!EL80"")"),1)</f>
        <v>1</v>
      </c>
      <c r="J346" s="152">
        <f ca="1">IFERROR(__xludf.DUMMYFUNCTION("IMPORTRANGE(""https://docs.google.com/spreadsheets/d/1awYsYK3VOup2i3Pq_Yjnu8DRu_mYwSBnCR2QPthd0rU/edit?usp=sharing"",""ศูนย์รวม!E80"")"),2)</f>
        <v>2</v>
      </c>
      <c r="K346" s="47">
        <f ca="1">IF(I346&gt;0,J346*100/I346,0)</f>
        <v>200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IFERROR(__xludf.DUMMYFUNCTION("IMPORTRANGE(""https://docs.google.com/spreadsheets/d/1awYsYK3VOup2i3Pq_Yjnu8DRu_mYwSBnCR2QPthd0rU/edit?usp=sharing"",""ศูนย์ยกเว้นโฉนด!F80"")"),0)</f>
        <v>0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IFERROR(__xludf.DUMMYFUNCTION("IMPORTRANGE(""https://docs.google.com/spreadsheets/d/1awYsYK3VOup2i3Pq_Yjnu8DRu_mYwSBnCR2QPthd0rU/edit?usp=sharing"",""ศูนย์ยกเว้นโฉนด!G80"")"),2)</f>
        <v>2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IFERROR(__xludf.DUMMYFUNCTION("IMPORTRANGE(""https://docs.google.com/spreadsheets/d/1awYsYK3VOup2i3Pq_Yjnu8DRu_mYwSBnCR2QPthd0rU/edit?usp=sharing"",""ศูนย์ยกเว้นโฉนด!H80"")"),0)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8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559</v>
      </c>
      <c r="K351" s="229">
        <v>0</v>
      </c>
      <c r="L351" s="687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IFERROR(__xludf.DUMMYFUNCTION("IMPORTRANGE(""https://docs.google.com/spreadsheets/d/1awYsYK3VOup2i3Pq_Yjnu8DRu_mYwSBnCR2QPthd0rU/edit?usp=sharing"",""โฉนดM3!G80"")"),38)</f>
        <v>38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IFERROR(__xludf.DUMMYFUNCTION("IMPORTRANGE(""https://docs.google.com/spreadsheets/d/1awYsYK3VOup2i3Pq_Yjnu8DRu_mYwSBnCR2QPthd0rU/edit?usp=sharing"",""โฉนดM3!H80"")"),521)</f>
        <v>521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9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847300</v>
      </c>
      <c r="M356" s="132">
        <f ca="1">M357+M358</f>
        <v>847300</v>
      </c>
      <c r="N356" s="132">
        <f ca="1">N357+N358</f>
        <v>525333.44999999995</v>
      </c>
      <c r="O356" s="132">
        <f ca="1">IF(L356&gt;0,N356*100/L356,0)</f>
        <v>62.000879263543013</v>
      </c>
      <c r="P356" s="132">
        <f ca="1">IF(M356&gt;0,N356*100/M356,0)</f>
        <v>62.000879263543013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847300</v>
      </c>
      <c r="M358" s="47">
        <f ca="1">M361+M364</f>
        <v>847300</v>
      </c>
      <c r="N358" s="47">
        <f ca="1">N361+N364</f>
        <v>525333.44999999995</v>
      </c>
      <c r="O358" s="47">
        <f ca="1">IF(L358&gt;0,N358*100/L358,0)</f>
        <v>62.000879263543013</v>
      </c>
      <c r="P358" s="47">
        <f ca="1">IF(M358&gt;0,N358*100/M358,0)</f>
        <v>62.000879263543013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847300</v>
      </c>
      <c r="M359" s="47">
        <f ca="1">M360+M361</f>
        <v>847300</v>
      </c>
      <c r="N359" s="47">
        <f ca="1">N360+N361</f>
        <v>525333.44999999995</v>
      </c>
      <c r="O359" s="47">
        <f ca="1">IF(L359&gt;0,N359*100/L359,0)</f>
        <v>62.000879263543013</v>
      </c>
      <c r="P359" s="47">
        <f ca="1">IF(M359&gt;0,N359*100/M359,0)</f>
        <v>62.000879263543013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IFERROR(__xludf.DUMMYFUNCTION("IMPORTRANGE(""https://docs.google.com/spreadsheets/d/1-uDff_7J0KD5mKrp0Vvzr7lt3OU09vwQwhkpOPPYv2Y/edit?usp=sharing"",""งบพรบ!FC80"")"),847300)</f>
        <v>847300</v>
      </c>
      <c r="M361" s="47">
        <f ca="1">IFERROR(__xludf.DUMMYFUNCTION("IMPORTRANGE(""https://docs.google.com/spreadsheets/d/1-uDff_7J0KD5mKrp0Vvzr7lt3OU09vwQwhkpOPPYv2Y/edit?usp=sharing"",""งบพรบ!FH80"")"),847300)</f>
        <v>847300</v>
      </c>
      <c r="N361" s="47">
        <f ca="1">IFERROR(__xludf.DUMMYFUNCTION("IMPORTRANGE(""https://docs.google.com/spreadsheets/d/1-uDff_7J0KD5mKrp0Vvzr7lt3OU09vwQwhkpOPPYv2Y/edit?usp=sharing"",""งบพรบ!FJ80"")"),525333.45)</f>
        <v>525333.44999999995</v>
      </c>
      <c r="O361" s="47">
        <f ca="1">IF(L361&gt;0,N361*100/L361,0)</f>
        <v>62.000879263543013</v>
      </c>
      <c r="P361" s="47">
        <f ca="1">IF(M361&gt;0,N361*100/M361,0)</f>
        <v>62.000879263543013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IFERROR(__xludf.DUMMYFUNCTION("IMPORTRANGE(""https://docs.google.com/spreadsheets/d/1-uDff_7J0KD5mKrp0Vvzr7lt3OU09vwQwhkpOPPYv2Y/edit?usp=sharing"",""งบพรบ!FF80"")"),0)</f>
        <v>0</v>
      </c>
      <c r="M364" s="47">
        <f ca="1">IFERROR(__xludf.DUMMYFUNCTION("IMPORTRANGE(""https://docs.google.com/spreadsheets/d/1-uDff_7J0KD5mKrp0Vvzr7lt3OU09vwQwhkpOPPYv2Y/edit?usp=sharing"",""งบพรบ!FI80"")"),0)</f>
        <v>0</v>
      </c>
      <c r="N364" s="47">
        <f ca="1">IFERROR(__xludf.DUMMYFUNCTION("IMPORTRANGE(""https://docs.google.com/spreadsheets/d/1-uDff_7J0KD5mKrp0Vvzr7lt3OU09vwQwhkpOPPYv2Y/edit?usp=sharing"",""งบพรบ!FK80"")"),0)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8" t="s">
        <v>149</v>
      </c>
      <c r="E365" s="225"/>
      <c r="F365" s="225"/>
      <c r="G365" s="226"/>
      <c r="H365" s="234" t="s">
        <v>35</v>
      </c>
      <c r="I365" s="228">
        <f ca="1">I371</f>
        <v>32</v>
      </c>
      <c r="J365" s="228">
        <f ca="1">J371</f>
        <v>34</v>
      </c>
      <c r="K365" s="229">
        <f ca="1">IF(I365&gt;0,J365*100/I365,0)</f>
        <v>106.25</v>
      </c>
      <c r="L365" s="687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IFERROR(__xludf.DUMMYFUNCTION("IMPORTRANGE(""https://docs.google.com/spreadsheets/d/1tdoBKaGub7dwA3U6UFTqxio9LNnvDCQjHKmttSEBsFQ/edit?usp=sharing"",""จัดที่ดิน!AB80"")"),39)</f>
        <v>39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IFERROR(__xludf.DUMMYFUNCTION("IMPORTRANGE(""https://docs.google.com/spreadsheets/d/1eHaY18a8A9IcSdp1K8H6x8fbOy06t2VsZHhMHf-1x7Y/edit?usp=sharing"",""แผน!EW80"")"),185)</f>
        <v>185</v>
      </c>
      <c r="J368" s="686">
        <f ca="1">IFERROR(__xludf.DUMMYFUNCTION("IMPORTRANGE(""https://docs.google.com/spreadsheets/d/1tdoBKaGub7dwA3U6UFTqxio9LNnvDCQjHKmttSEBsFQ/edit?usp=sharing"",""จัดที่ดิน!AC80"")"),156.25)</f>
        <v>156.25</v>
      </c>
      <c r="K368" s="47">
        <f ca="1">IF(I368&gt;0,J368*100/I368,0)</f>
        <v>84.459459459459453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IFERROR(__xludf.DUMMYFUNCTION("IMPORTRANGE(""https://docs.google.com/spreadsheets/d/1eHaY18a8A9IcSdp1K8H6x8fbOy06t2VsZHhMHf-1x7Y/edit?usp=sharing"",""แผน!EX80"")"),32)</f>
        <v>32</v>
      </c>
      <c r="J369" s="152">
        <f ca="1">IFERROR(__xludf.DUMMYFUNCTION("IMPORTRANGE(""https://docs.google.com/spreadsheets/d/1tdoBKaGub7dwA3U6UFTqxio9LNnvDCQjHKmttSEBsFQ/edit?usp=sharing"",""จัดที่ดิน!AD80"")"),37)</f>
        <v>37</v>
      </c>
      <c r="K369" s="47">
        <f ca="1">IF(I369&gt;0,J369*100/I369,0)</f>
        <v>115.625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6">
        <f ca="1">IFERROR(__xludf.DUMMYFUNCTION("IMPORTRANGE(""https://docs.google.com/spreadsheets/d/1tdoBKaGub7dwA3U6UFTqxio9LNnvDCQjHKmttSEBsFQ/edit?usp=sharing"",""จัดที่ดิน!AE80"")"),177.01)</f>
        <v>177.01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IFERROR(__xludf.DUMMYFUNCTION("IMPORTRANGE(""https://docs.google.com/spreadsheets/d/1eHaY18a8A9IcSdp1K8H6x8fbOy06t2VsZHhMHf-1x7Y/edit?usp=sharing"",""แผน!EY80"")"),32)</f>
        <v>32</v>
      </c>
      <c r="J371" s="152">
        <f ca="1">IFERROR(__xludf.DUMMYFUNCTION("IMPORTRANGE(""https://docs.google.com/spreadsheets/d/1tdoBKaGub7dwA3U6UFTqxio9LNnvDCQjHKmttSEBsFQ/edit?usp=sharing"",""จัดที่ดิน!AF80"")"),34)</f>
        <v>34</v>
      </c>
      <c r="K371" s="47">
        <f ca="1">IF(I371&gt;0,J371*100/I371,0)</f>
        <v>106.25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6">
        <f ca="1">IFERROR(__xludf.DUMMYFUNCTION("IMPORTRANGE(""https://docs.google.com/spreadsheets/d/1tdoBKaGub7dwA3U6UFTqxio9LNnvDCQjHKmttSEBsFQ/edit?usp=sharing"",""จัดที่ดิน!AG80"")"),172.72)</f>
        <v>172.72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5"/>
      <c r="B374" s="684" t="s">
        <v>153</v>
      </c>
      <c r="C374" s="683"/>
      <c r="D374" s="682"/>
      <c r="E374" s="681"/>
      <c r="F374" s="681"/>
      <c r="G374" s="680"/>
      <c r="H374" s="679" t="s">
        <v>46</v>
      </c>
      <c r="I374" s="678">
        <f ca="1">I386+I388</f>
        <v>300</v>
      </c>
      <c r="J374" s="678">
        <f ca="1">J386+J388</f>
        <v>127</v>
      </c>
      <c r="K374" s="677">
        <f ca="1">IF(I374&gt;0,J374*100/I374,0)</f>
        <v>42.333333333333336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45100</v>
      </c>
      <c r="M375" s="132">
        <f ca="1">M376+M377</f>
        <v>45100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18750</v>
      </c>
      <c r="R375" s="132">
        <f ca="1">R376+R377</f>
        <v>18750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45100</v>
      </c>
      <c r="M377" s="47">
        <f ca="1">M380+M383</f>
        <v>45100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18750</v>
      </c>
      <c r="R377" s="47">
        <f ca="1">R380+R383</f>
        <v>18750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45100</v>
      </c>
      <c r="M378" s="47">
        <f ca="1">M379+M380</f>
        <v>45100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18750</v>
      </c>
      <c r="R378" s="47">
        <f ca="1">R379+R380</f>
        <v>18750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IFERROR(__xludf.DUMMYFUNCTION("IMPORTRANGE(""https://docs.google.com/spreadsheets/d/1-uDff_7J0KD5mKrp0Vvzr7lt3OU09vwQwhkpOPPYv2Y/edit?usp=sharing"",""งบพรบ!IE80"")"),45100)</f>
        <v>45100</v>
      </c>
      <c r="M380" s="47">
        <f ca="1">IFERROR(__xludf.DUMMYFUNCTION("IMPORTRANGE(""https://docs.google.com/spreadsheets/d/1-uDff_7J0KD5mKrp0Vvzr7lt3OU09vwQwhkpOPPYv2Y/edit?usp=sharing"",""งบพรบ!IJ80"")"),45100)</f>
        <v>45100</v>
      </c>
      <c r="N380" s="47">
        <f ca="1">IFERROR(__xludf.DUMMYFUNCTION("IMPORTRANGE(""https://docs.google.com/spreadsheets/d/1-uDff_7J0KD5mKrp0Vvzr7lt3OU09vwQwhkpOPPYv2Y/edit?usp=sharing"",""งบพรบ!IL80"")"),0)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IFERROR(__xludf.DUMMYFUNCTION("IMPORTRANGE(""https://docs.google.com/spreadsheets/d/1ItG2mGa2ceCfYo0BwxsXqNm01IGEUdYcSSLTEv9YCik/edit?usp=sharing"",""เบิกจ่ายกองทุน!BW80"")"),18750)</f>
        <v>18750</v>
      </c>
      <c r="R380" s="47">
        <f ca="1">IFERROR(__xludf.DUMMYFUNCTION("IMPORTRANGE(""https://docs.google.com/spreadsheets/d/1ItG2mGa2ceCfYo0BwxsXqNm01IGEUdYcSSLTEv9YCik/edit?usp=sharing"",""เบิกจ่ายกองทุน!BX80"")"),18750)</f>
        <v>18750</v>
      </c>
      <c r="S380" s="47">
        <f ca="1">IFERROR(__xludf.DUMMYFUNCTION("IMPORTRANGE(""https://docs.google.com/spreadsheets/d/1ItG2mGa2ceCfYo0BwxsXqNm01IGEUdYcSSLTEv9YCik/edit?usp=sharing"",""เบิกจ่ายกองทุน!BY80"")"),0)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IFERROR(__xludf.DUMMYFUNCTION("IMPORTRANGE(""https://docs.google.com/spreadsheets/d/1-uDff_7J0KD5mKrp0Vvzr7lt3OU09vwQwhkpOPPYv2Y/edit?usp=sharing"",""งบพรบ!IH80"")"),0)</f>
        <v>0</v>
      </c>
      <c r="M383" s="47">
        <f ca="1">IFERROR(__xludf.DUMMYFUNCTION("IMPORTRANGE(""https://docs.google.com/spreadsheets/d/1-uDff_7J0KD5mKrp0Vvzr7lt3OU09vwQwhkpOPPYv2Y/edit?usp=sharing"",""งบพรบ!IK80"")"),0)</f>
        <v>0</v>
      </c>
      <c r="N383" s="47">
        <f ca="1">IFERROR(__xludf.DUMMYFUNCTION("IMPORTRANGE(""https://docs.google.com/spreadsheets/d/1-uDff_7J0KD5mKrp0Vvzr7lt3OU09vwQwhkpOPPYv2Y/edit?usp=sharing"",""งบพรบ!IM80"")"),0)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IFERROR(__xludf.DUMMYFUNCTION("IMPORTRANGE(""https://docs.google.com/spreadsheets/d/1w5rwWK1o49a35cNtocGL0gxDwhFSTZUQu90BiH9_zqM/edit?usp=sharing"",""RTK!H80"")"),23)</f>
        <v>23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IFERROR(__xludf.DUMMYFUNCTION("IMPORTRANGE(""https://docs.google.com/spreadsheets/d/1w5rwWK1o49a35cNtocGL0gxDwhFSTZUQu90BiH9_zqM/edit?usp=sharing"",""RTK!G80"")"),300)</f>
        <v>300</v>
      </c>
      <c r="J386" s="152">
        <f ca="1">IFERROR(__xludf.DUMMYFUNCTION("IMPORTRANGE(""https://docs.google.com/spreadsheets/d/1w5rwWK1o49a35cNtocGL0gxDwhFSTZUQu90BiH9_zqM/edit?usp=sharing"",""RTK!I80"")"),127)</f>
        <v>127</v>
      </c>
      <c r="K386" s="47">
        <f ca="1">IF(I386&gt;0,J386*100/I386,0)</f>
        <v>42.333333333333336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326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IFERROR(__xludf.DUMMYFUNCTION("IMPORTRANGE(""https://docs.google.com/spreadsheets/d/1w5rwWK1o49a35cNtocGL0gxDwhFSTZUQu90BiH9_zqM/edit?usp=sharing"",""RTK!L80"")"),0)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326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IFERROR(__xludf.DUMMYFUNCTION("IMPORTRANGE(""https://docs.google.com/spreadsheets/d/1w5rwWK1o49a35cNtocGL0gxDwhFSTZUQu90BiH9_zqM/edit?usp=sharing"",""RTK!K80"")"),0)</f>
        <v>0</v>
      </c>
      <c r="J388" s="330">
        <f ca="1">IFERROR(__xludf.DUMMYFUNCTION("IMPORTRANGE(""https://docs.google.com/spreadsheets/d/1w5rwWK1o49a35cNtocGL0gxDwhFSTZUQu90BiH9_zqM/edit?usp=sharing"",""RTK!M80"")"),0)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89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33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IFERROR(__xludf.DUMMYFUNCTION("IMPORTRANGE(""https://docs.google.com/spreadsheets/d/1ItG2mGa2ceCfYo0BwxsXqNm01IGEUdYcSSLTEv9YCik/edit?usp=sharing"",""เบิกจ่ายกองทุน!CL80"")"),0)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IFERROR(__xludf.DUMMYFUNCTION("IMPORTRANGE(""https://docs.google.com/spreadsheets/d/1ItG2mGa2ceCfYo0BwxsXqNm01IGEUdYcSSLTEv9YCik/edit?usp=sharing"",""เบิกจ่ายกองทุน!CM80"")"),0)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IFERROR(__xludf.DUMMYFUNCTION("IMPORTRANGE(""https://docs.google.com/spreadsheets/d/1ItG2mGa2ceCfYo0BwxsXqNm01IGEUdYcSSLTEv9YCik/edit?usp=sharing"",""เบิกจ่ายกองทุน!CN80"")"),0)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89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89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89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89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89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89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89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89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89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33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hidden="1" x14ac:dyDescent="0.3">
      <c r="A412" s="31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40" t="s">
        <v>18</v>
      </c>
      <c r="D413" s="650" t="s">
        <v>19</v>
      </c>
      <c r="E413" s="518"/>
      <c r="F413" s="518"/>
      <c r="G413" s="519"/>
      <c r="H413" s="341" t="s">
        <v>14</v>
      </c>
      <c r="I413" s="45"/>
      <c r="J413" s="45"/>
      <c r="K413" s="46"/>
      <c r="L413" s="550">
        <f ca="1">L414+L415</f>
        <v>0</v>
      </c>
      <c r="M413" s="132">
        <f ca="1">M414+M415</f>
        <v>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45" t="s">
        <v>158</v>
      </c>
      <c r="F414" s="159"/>
      <c r="G414" s="191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0</v>
      </c>
      <c r="M415" s="47">
        <f ca="1">M418+M421</f>
        <v>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0</v>
      </c>
      <c r="R415" s="47">
        <f ca="1">R418+R421</f>
        <v>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hidden="1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0</v>
      </c>
      <c r="M416" s="47">
        <f ca="1">M417+M418</f>
        <v>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IFERROR(__xludf.DUMMYFUNCTION("IMPORTRANGE(""https://docs.google.com/spreadsheets/d/1-uDff_7J0KD5mKrp0Vvzr7lt3OU09vwQwhkpOPPYv2Y/edit?usp=sharing"",""งบพรบ!IO80"")"),0)</f>
        <v>0</v>
      </c>
      <c r="M418" s="47">
        <f ca="1">IFERROR(__xludf.DUMMYFUNCTION("IMPORTRANGE(""https://docs.google.com/spreadsheets/d/1-uDff_7J0KD5mKrp0Vvzr7lt3OU09vwQwhkpOPPYv2Y/edit?usp=sharing"",""งบพรบ!IT80"")"),0)</f>
        <v>0</v>
      </c>
      <c r="N418" s="47">
        <f ca="1">IFERROR(__xludf.DUMMYFUNCTION("IMPORTRANGE(""https://docs.google.com/spreadsheets/d/1-uDff_7J0KD5mKrp0Vvzr7lt3OU09vwQwhkpOPPYv2Y/edit?usp=sharing"",""งบพรบ!IV80"")"),0)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IFERROR(__xludf.DUMMYFUNCTION("IMPORTRANGE(""https://docs.google.com/spreadsheets/d/1ItG2mGa2ceCfYo0BwxsXqNm01IGEUdYcSSLTEv9YCik/edit?usp=sharing"",""เบิกจ่ายกองทุน!BZ80"")"),0)</f>
        <v>0</v>
      </c>
      <c r="R418" s="47">
        <f ca="1">IFERROR(__xludf.DUMMYFUNCTION("IMPORTRANGE(""https://docs.google.com/spreadsheets/d/1ItG2mGa2ceCfYo0BwxsXqNm01IGEUdYcSSLTEv9YCik/edit?usp=sharing"",""เบิกจ่ายกองทุน!CA80"")"),0)</f>
        <v>0</v>
      </c>
      <c r="S418" s="47">
        <f ca="1">IFERROR(__xludf.DUMMYFUNCTION("IMPORTRANGE(""https://docs.google.com/spreadsheets/d/1ItG2mGa2ceCfYo0BwxsXqNm01IGEUdYcSSLTEv9YCik/edit?usp=sharing"",""เบิกจ่ายกองทุน!CB80"")"),0)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hidden="1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IFERROR(__xludf.DUMMYFUNCTION("IMPORTRANGE(""https://docs.google.com/spreadsheets/d/1-uDff_7J0KD5mKrp0Vvzr7lt3OU09vwQwhkpOPPYv2Y/edit?usp=sharing"",""งบพรบ!IR80"")"),0)</f>
        <v>0</v>
      </c>
      <c r="M421" s="47">
        <f ca="1">IFERROR(__xludf.DUMMYFUNCTION("IMPORTRANGE(""https://docs.google.com/spreadsheets/d/1-uDff_7J0KD5mKrp0Vvzr7lt3OU09vwQwhkpOPPYv2Y/edit?usp=sharing"",""งบพรบ!IU80"")"),0)</f>
        <v>0</v>
      </c>
      <c r="N421" s="47">
        <f ca="1">IFERROR(__xludf.DUMMYFUNCTION("IMPORTRANGE(""https://docs.google.com/spreadsheets/d/1-uDff_7J0KD5mKrp0Vvzr7lt3OU09vwQwhkpOPPYv2Y/edit?usp=sharing"",""งบพรบ!IW80"")"),0)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hidden="1" x14ac:dyDescent="0.3">
      <c r="A422" s="217"/>
      <c r="B422" s="159"/>
      <c r="C422" s="340" t="s">
        <v>18</v>
      </c>
      <c r="D422" s="674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217"/>
      <c r="B423" s="162" t="s">
        <v>160</v>
      </c>
      <c r="C423" s="159"/>
      <c r="D423" s="159"/>
      <c r="E423" s="159"/>
      <c r="F423" s="159"/>
      <c r="G423" s="191"/>
      <c r="H423" s="341" t="s">
        <v>46</v>
      </c>
      <c r="I423" s="147">
        <f ca="1">I440</f>
        <v>0</v>
      </c>
      <c r="J423" s="673">
        <f>J440</f>
        <v>0</v>
      </c>
      <c r="K423" s="132">
        <f ca="1">IF(I423&gt;0,J423*100/I423,0)</f>
        <v>0</v>
      </c>
      <c r="L423" s="546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IFERROR(__xludf.DUMMYFUNCTION("IMPORTRANGE(""https://docs.google.com/spreadsheets/d/1eHaY18a8A9IcSdp1K8H6x8fbOy06t2VsZHhMHf-1x7Y/edit?usp=sharing"",""แผน!HJ80"")"),0)</f>
        <v>0</v>
      </c>
      <c r="J424" s="670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IFERROR(__xludf.DUMMYFUNCTION("IMPORTRANGE(""https://docs.google.com/spreadsheets/d/1eHaY18a8A9IcSdp1K8H6x8fbOy06t2VsZHhMHf-1x7Y/edit?usp=sharing"",""แผน!HK80"")"),0)</f>
        <v>0</v>
      </c>
      <c r="J425" s="670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IFERROR(__xludf.DUMMYFUNCTION("IMPORTRANGE(""https://docs.google.com/spreadsheets/d/1eHaY18a8A9IcSdp1K8H6x8fbOy06t2VsZHhMHf-1x7Y/edit?usp=sharing"",""แผน!HJ80"")"),0)</f>
        <v>0</v>
      </c>
      <c r="J432" s="670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IFERROR(__xludf.DUMMYFUNCTION("IMPORTRANGE(""https://docs.google.com/spreadsheets/d/1eHaY18a8A9IcSdp1K8H6x8fbOy06t2VsZHhMHf-1x7Y/edit?usp=sharing"",""แผน!HK80"")"),0)</f>
        <v>0</v>
      </c>
      <c r="J433" s="670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IFERROR(__xludf.DUMMYFUNCTION("IMPORTRANGE(""https://docs.google.com/spreadsheets/d/1eHaY18a8A9IcSdp1K8H6x8fbOy06t2VsZHhMHf-1x7Y/edit?usp=sharing"",""แผน!HJ80"")"),0)</f>
        <v>0</v>
      </c>
      <c r="J440" s="670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IFERROR(__xludf.DUMMYFUNCTION("IMPORTRANGE(""https://docs.google.com/spreadsheets/d/1eHaY18a8A9IcSdp1K8H6x8fbOy06t2VsZHhMHf-1x7Y/edit?usp=sharing"",""แผน!HK80"")"),0)</f>
        <v>0</v>
      </c>
      <c r="J441" s="670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70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70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2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217"/>
      <c r="B456" s="162" t="s">
        <v>177</v>
      </c>
      <c r="C456" s="159"/>
      <c r="D456" s="159"/>
      <c r="E456" s="159"/>
      <c r="F456" s="159"/>
      <c r="G456" s="191"/>
      <c r="H456" s="341" t="s">
        <v>46</v>
      </c>
      <c r="I456" s="147">
        <f ca="1">I457</f>
        <v>0</v>
      </c>
      <c r="J456" s="667">
        <f>J457</f>
        <v>0</v>
      </c>
      <c r="K456" s="132">
        <f ca="1">IF(I456&gt;0,J456*100/I456,0)</f>
        <v>0</v>
      </c>
      <c r="L456" s="546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IFERROR(__xludf.DUMMYFUNCTION("IMPORTRANGE(""https://docs.google.com/spreadsheets/d/1eHaY18a8A9IcSdp1K8H6x8fbOy06t2VsZHhMHf-1x7Y/edit?usp=sharing"",""แผน!HL80"")"),0)</f>
        <v>0</v>
      </c>
      <c r="J457" s="670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IFERROR(__xludf.DUMMYFUNCTION("IMPORTRANGE(""https://docs.google.com/spreadsheets/d/1eHaY18a8A9IcSdp1K8H6x8fbOy06t2VsZHhMHf-1x7Y/edit?usp=sharing"",""แผน!HM80"")"),0)</f>
        <v>0</v>
      </c>
      <c r="J458" s="670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217"/>
      <c r="B475" s="349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667">
        <f>J478+J480</f>
        <v>0</v>
      </c>
      <c r="K475" s="132">
        <f>IF(I475&gt;0,J475*100/I475,0)</f>
        <v>0</v>
      </c>
      <c r="L475" s="546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657">
        <f>J478+J480</f>
        <v>0</v>
      </c>
      <c r="K476" s="132">
        <f>IF(I476&gt;0,J476*100/I476,0)</f>
        <v>0</v>
      </c>
      <c r="L476" s="546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657">
        <f>J479+J481</f>
        <v>0</v>
      </c>
      <c r="K477" s="132">
        <f>IF(I477&gt;0,J477*100/I477,0)</f>
        <v>0</v>
      </c>
      <c r="L477" s="546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657">
        <f>J486+J488+J490</f>
        <v>0</v>
      </c>
      <c r="K484" s="132">
        <f>IF(I484&gt;0,J484*100/I484,0)</f>
        <v>0</v>
      </c>
      <c r="L484" s="546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657">
        <f>J487+J489+J491</f>
        <v>0</v>
      </c>
      <c r="K485" s="132">
        <f>IF(I485&gt;0,J485*100/I485,0)</f>
        <v>0</v>
      </c>
      <c r="L485" s="546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650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IFERROR(__xludf.DUMMYFUNCTION("IMPORTRANGE(""https://docs.google.com/spreadsheets/d/1-uDff_7J0KD5mKrp0Vvzr7lt3OU09vwQwhkpOPPYv2Y/edit?usp=sharing"",""งบพรบ!HU80"")"),0)</f>
        <v>0</v>
      </c>
      <c r="M498" s="47">
        <f ca="1">IFERROR(__xludf.DUMMYFUNCTION("IMPORTRANGE(""https://docs.google.com/spreadsheets/d/1-uDff_7J0KD5mKrp0Vvzr7lt3OU09vwQwhkpOPPYv2Y/edit?usp=sharing"",""งบพรบ!HZ80"")"),0)</f>
        <v>0</v>
      </c>
      <c r="N498" s="47">
        <f ca="1">IFERROR(__xludf.DUMMYFUNCTION("IMPORTRANGE(""https://docs.google.com/spreadsheets/d/1-uDff_7J0KD5mKrp0Vvzr7lt3OU09vwQwhkpOPPYv2Y/edit?usp=sharing"",""งบพรบ!IB80"")"),0)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IFERROR(__xludf.DUMMYFUNCTION("IMPORTRANGE(""https://docs.google.com/spreadsheets/d/1ItG2mGa2ceCfYo0BwxsXqNm01IGEUdYcSSLTEv9YCik/edit?usp=sharing"",""เบิกจ่ายกองทุน!AD80"")"),0)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IFERROR(__xludf.DUMMYFUNCTION("IMPORTRANGE(""https://docs.google.com/spreadsheets/d/1ItG2mGa2ceCfYo0BwxsXqNm01IGEUdYcSSLTEv9YCik/edit?usp=sharing"",""เบิกจ่ายกองทุน!AE80"")"),0)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IFERROR(__xludf.DUMMYFUNCTION("IMPORTRANGE(""https://docs.google.com/spreadsheets/d/1ItG2mGa2ceCfYo0BwxsXqNm01IGEUdYcSSLTEv9YCik/edit?usp=sharing"",""เบิกจ่ายกองทุน!AF80"")"),0)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IFERROR(__xludf.DUMMYFUNCTION("IMPORTRANGE(""https://docs.google.com/spreadsheets/d/1-uDff_7J0KD5mKrp0Vvzr7lt3OU09vwQwhkpOPPYv2Y/edit?usp=sharing"",""งบพรบ!HX80"")"),0)</f>
        <v>0</v>
      </c>
      <c r="M501" s="47">
        <f ca="1">IFERROR(__xludf.DUMMYFUNCTION("IMPORTRANGE(""https://docs.google.com/spreadsheets/d/1-uDff_7J0KD5mKrp0Vvzr7lt3OU09vwQwhkpOPPYv2Y/edit?usp=sharing"",""งบพรบ!IA80"")"),0)</f>
        <v>0</v>
      </c>
      <c r="N501" s="47">
        <f ca="1">IFERROR(__xludf.DUMMYFUNCTION("IMPORTRANGE(""https://docs.google.com/spreadsheets/d/1-uDff_7J0KD5mKrp0Vvzr7lt3OU09vwQwhkpOPPYv2Y/edit?usp=sharing"",""งบพรบ!IC80"")"),0)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IFERROR(__xludf.DUMMYFUNCTION("IMPORTRANGE(""https://docs.google.com/spreadsheets/d/1eHaY18a8A9IcSdp1K8H6x8fbOy06t2VsZHhMHf-1x7Y/edit?usp=sharing"",""แผน!GX80"")"),0)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IFERROR(__xludf.DUMMYFUNCTION("IMPORTRANGE(""https://docs.google.com/spreadsheets/d/1eHaY18a8A9IcSdp1K8H6x8fbOy06t2VsZHhMHf-1x7Y/edit?usp=sharing"",""แผน!GY80"")"),0)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IFERROR(__xludf.DUMMYFUNCTION("IMPORTRANGE(""https://docs.google.com/spreadsheets/d/1eHaY18a8A9IcSdp1K8H6x8fbOy06t2VsZHhMHf-1x7Y/edit?usp=sharing"",""แผน!GZ80"")"),0)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IFERROR(__xludf.DUMMYFUNCTION("IMPORTRANGE(""https://docs.google.com/spreadsheets/d/1eHaY18a8A9IcSdp1K8H6x8fbOy06t2VsZHhMHf-1x7Y/edit?usp=sharing"",""แผน!HA80"")"),0)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IFERROR(__xludf.DUMMYFUNCTION("IMPORTRANGE(""https://docs.google.com/spreadsheets/d/1eHaY18a8A9IcSdp1K8H6x8fbOy06t2VsZHhMHf-1x7Y/edit?usp=sharing"",""แผน!HB80"")"),0)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IFERROR(__xludf.DUMMYFUNCTION("IMPORTRANGE(""https://docs.google.com/spreadsheets/d/1eHaY18a8A9IcSdp1K8H6x8fbOy06t2VsZHhMHf-1x7Y/edit?usp=sharing"",""แผน!HC80"")"),0)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29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26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25" t="s">
        <v>207</v>
      </c>
      <c r="C512" s="372"/>
      <c r="D512" s="373"/>
      <c r="E512" s="373"/>
      <c r="F512" s="373"/>
      <c r="G512" s="374"/>
      <c r="H512" s="824" t="s">
        <v>61</v>
      </c>
      <c r="I512" s="823">
        <f>I524</f>
        <v>0</v>
      </c>
      <c r="J512" s="823">
        <f>J524</f>
        <v>0</v>
      </c>
      <c r="K512" s="822">
        <f>IF(I512&gt;0,J512*100/I512,0)</f>
        <v>0</v>
      </c>
      <c r="L512" s="591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21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0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IFERROR(__xludf.DUMMYFUNCTION("IMPORTRANGE(""https://docs.google.com/spreadsheets/d/1-uDff_7J0KD5mKrp0Vvzr7lt3OU09vwQwhkpOPPYv2Y/edit?usp=sharing"",""งบพรบ!FM80"")"),0)</f>
        <v>0</v>
      </c>
      <c r="M518" s="47">
        <f ca="1">IFERROR(__xludf.DUMMYFUNCTION("IMPORTRANGE(""https://docs.google.com/spreadsheets/d/1-uDff_7J0KD5mKrp0Vvzr7lt3OU09vwQwhkpOPPYv2Y/edit?usp=sharing"",""งบพรบ!FR80"")"),0)</f>
        <v>0</v>
      </c>
      <c r="N518" s="47">
        <f ca="1">IFERROR(__xludf.DUMMYFUNCTION("IMPORTRANGE(""https://docs.google.com/spreadsheets/d/1-uDff_7J0KD5mKrp0Vvzr7lt3OU09vwQwhkpOPPYv2Y/edit?usp=sharing"",""งบพรบ!FT80"")"),0)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0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IFERROR(__xludf.DUMMYFUNCTION("IMPORTRANGE(""https://docs.google.com/spreadsheets/d/1-uDff_7J0KD5mKrp0Vvzr7lt3OU09vwQwhkpOPPYv2Y/edit?usp=sharing"",""งบพรบ!FP80"")"),0)</f>
        <v>0</v>
      </c>
      <c r="M521" s="47">
        <f ca="1">IFERROR(__xludf.DUMMYFUNCTION("IMPORTRANGE(""https://docs.google.com/spreadsheets/d/1-uDff_7J0KD5mKrp0Vvzr7lt3OU09vwQwhkpOPPYv2Y/edit?usp=sharing"",""งบพรบ!FS80"")"),0)</f>
        <v>0</v>
      </c>
      <c r="N521" s="47">
        <f ca="1">IFERROR(__xludf.DUMMYFUNCTION("IMPORTRANGE(""https://docs.google.com/spreadsheets/d/1-uDff_7J0KD5mKrp0Vvzr7lt3OU09vwQwhkpOPPYv2Y/edit?usp=sharing"",""งบพรบ!FU80"")"),0)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1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19" t="s">
        <v>209</v>
      </c>
      <c r="E524" s="264"/>
      <c r="F524" s="1"/>
      <c r="G524" s="53"/>
      <c r="H524" s="818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4"/>
      <c r="B525" s="613"/>
      <c r="C525" s="613"/>
      <c r="D525" s="612"/>
      <c r="E525" s="612"/>
      <c r="F525" s="612"/>
      <c r="G525" s="611"/>
      <c r="H525" s="610"/>
      <c r="I525" s="609"/>
      <c r="J525" s="609"/>
      <c r="K525" s="608"/>
      <c r="L525" s="589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89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89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89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89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89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89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2">
        <f>I545</f>
        <v>0</v>
      </c>
      <c r="J533" s="592">
        <f>J545</f>
        <v>0</v>
      </c>
      <c r="K533" s="377">
        <f>IF(I533&gt;0,J533*100/I533,0)</f>
        <v>0</v>
      </c>
      <c r="L533" s="591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IFERROR(__xludf.DUMMYFUNCTION("IMPORTRANGE(""https://docs.google.com/spreadsheets/d/1-uDff_7J0KD5mKrp0Vvzr7lt3OU09vwQwhkpOPPYv2Y/edit?usp=sharing"",""งบพรบ!FW80"")"),0)</f>
        <v>0</v>
      </c>
      <c r="M539" s="47">
        <f ca="1">IFERROR(__xludf.DUMMYFUNCTION("IMPORTRANGE(""https://docs.google.com/spreadsheets/d/1-uDff_7J0KD5mKrp0Vvzr7lt3OU09vwQwhkpOPPYv2Y/edit?usp=sharing"",""งบพรบ!GB80"")"),0)</f>
        <v>0</v>
      </c>
      <c r="N539" s="47">
        <f ca="1">IFERROR(__xludf.DUMMYFUNCTION("IMPORTRANGE(""https://docs.google.com/spreadsheets/d/1-uDff_7J0KD5mKrp0Vvzr7lt3OU09vwQwhkpOPPYv2Y/edit?usp=sharing"",""งบพรบ!GD80"")"),0)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IFERROR(__xludf.DUMMYFUNCTION("IMPORTRANGE(""https://docs.google.com/spreadsheets/d/1-uDff_7J0KD5mKrp0Vvzr7lt3OU09vwQwhkpOPPYv2Y/edit?usp=sharing"",""งบพรบ!FZ80"")"),0)</f>
        <v>0</v>
      </c>
      <c r="M542" s="47">
        <f ca="1">IFERROR(__xludf.DUMMYFUNCTION("IMPORTRANGE(""https://docs.google.com/spreadsheets/d/1-uDff_7J0KD5mKrp0Vvzr7lt3OU09vwQwhkpOPPYv2Y/edit?usp=sharing"",""งบพรบ!GC80"")"),0)</f>
        <v>0</v>
      </c>
      <c r="N542" s="47">
        <f ca="1">IFERROR(__xludf.DUMMYFUNCTION("IMPORTRANGE(""https://docs.google.com/spreadsheets/d/1-uDff_7J0KD5mKrp0Vvzr7lt3OU09vwQwhkpOPPYv2Y/edit?usp=sharing"",""งบพรบ!GE80"")"),0)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89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89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89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89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89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89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89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89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89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2">
        <f>I566</f>
        <v>0</v>
      </c>
      <c r="J554" s="592">
        <f>J566</f>
        <v>0</v>
      </c>
      <c r="K554" s="377">
        <f>IF(I554&gt;0,J554*100/I554,0)</f>
        <v>0</v>
      </c>
      <c r="L554" s="591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IFERROR(__xludf.DUMMYFUNCTION("IMPORTRANGE(""https://docs.google.com/spreadsheets/d/1-uDff_7J0KD5mKrp0Vvzr7lt3OU09vwQwhkpOPPYv2Y/edit?usp=sharing"",""งบพรบ!GG80"")"),0)</f>
        <v>0</v>
      </c>
      <c r="M560" s="47">
        <f ca="1">IFERROR(__xludf.DUMMYFUNCTION("IMPORTRANGE(""https://docs.google.com/spreadsheets/d/1-uDff_7J0KD5mKrp0Vvzr7lt3OU09vwQwhkpOPPYv2Y/edit?usp=sharing"",""งบพรบ!GL80"")"),0)</f>
        <v>0</v>
      </c>
      <c r="N560" s="47">
        <f ca="1">IFERROR(__xludf.DUMMYFUNCTION("IMPORTRANGE(""https://docs.google.com/spreadsheets/d/1-uDff_7J0KD5mKrp0Vvzr7lt3OU09vwQwhkpOPPYv2Y/edit?usp=sharing"",""งบพรบ!GN80"")"),0)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IFERROR(__xludf.DUMMYFUNCTION("IMPORTRANGE(""https://docs.google.com/spreadsheets/d/1-uDff_7J0KD5mKrp0Vvzr7lt3OU09vwQwhkpOPPYv2Y/edit?usp=sharing"",""งบพรบ!GJ80"")"),0)</f>
        <v>0</v>
      </c>
      <c r="M563" s="47">
        <f ca="1">IFERROR(__xludf.DUMMYFUNCTION("IMPORTRANGE(""https://docs.google.com/spreadsheets/d/1-uDff_7J0KD5mKrp0Vvzr7lt3OU09vwQwhkpOPPYv2Y/edit?usp=sharing"",""งบพรบ!GM80"")"),0)</f>
        <v>0</v>
      </c>
      <c r="N563" s="47">
        <f ca="1">IFERROR(__xludf.DUMMYFUNCTION("IMPORTRANGE(""https://docs.google.com/spreadsheets/d/1-uDff_7J0KD5mKrp0Vvzr7lt3OU09vwQwhkpOPPYv2Y/edit?usp=sharing"",""งบพรบ!GO80"")"),0)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89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89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89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89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89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89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89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89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89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2">
        <f>I587</f>
        <v>0</v>
      </c>
      <c r="J575" s="592">
        <f>J587</f>
        <v>0</v>
      </c>
      <c r="K575" s="377">
        <f>IF(I575&gt;0,J575*100/I575,0)</f>
        <v>0</v>
      </c>
      <c r="L575" s="591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IFERROR(__xludf.DUMMYFUNCTION("IMPORTRANGE(""https://docs.google.com/spreadsheets/d/1-uDff_7J0KD5mKrp0Vvzr7lt3OU09vwQwhkpOPPYv2Y/edit?usp=sharing"",""งบพรบ!GQ80"")"),0)</f>
        <v>0</v>
      </c>
      <c r="M581" s="47">
        <f ca="1">IFERROR(__xludf.DUMMYFUNCTION("IMPORTRANGE(""https://docs.google.com/spreadsheets/d/1-uDff_7J0KD5mKrp0Vvzr7lt3OU09vwQwhkpOPPYv2Y/edit?usp=sharing"",""งบพรบ!GV80"")"),0)</f>
        <v>0</v>
      </c>
      <c r="N581" s="47">
        <f ca="1">IFERROR(__xludf.DUMMYFUNCTION("IMPORTRANGE(""https://docs.google.com/spreadsheets/d/1-uDff_7J0KD5mKrp0Vvzr7lt3OU09vwQwhkpOPPYv2Y/edit?usp=sharing"",""งบพรบ!GX80"")"),0)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IFERROR(__xludf.DUMMYFUNCTION("IMPORTRANGE(""https://docs.google.com/spreadsheets/d/1-uDff_7J0KD5mKrp0Vvzr7lt3OU09vwQwhkpOPPYv2Y/edit?usp=sharing"",""งบพรบ!GT80"")"),0)</f>
        <v>0</v>
      </c>
      <c r="M584" s="47">
        <f ca="1">IFERROR(__xludf.DUMMYFUNCTION("IMPORTRANGE(""https://docs.google.com/spreadsheets/d/1-uDff_7J0KD5mKrp0Vvzr7lt3OU09vwQwhkpOPPYv2Y/edit?usp=sharing"",""งบพรบ!GW80"")"),0)</f>
        <v>0</v>
      </c>
      <c r="N584" s="47">
        <f ca="1">IFERROR(__xludf.DUMMYFUNCTION("IMPORTRANGE(""https://docs.google.com/spreadsheets/d/1-uDff_7J0KD5mKrp0Vvzr7lt3OU09vwQwhkpOPPYv2Y/edit?usp=sharing"",""งบพรบ!GY80"")"),0)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89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89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89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89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89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89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89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89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89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8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7" t="s">
        <v>217</v>
      </c>
      <c r="C597" s="183"/>
      <c r="D597" s="125"/>
      <c r="E597" s="28"/>
      <c r="F597" s="28"/>
      <c r="G597" s="28"/>
      <c r="H597" s="586" t="s">
        <v>99</v>
      </c>
      <c r="I597" s="193"/>
      <c r="J597" s="33"/>
      <c r="K597" s="34"/>
      <c r="L597" s="582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5"/>
      <c r="B598" s="584" t="s">
        <v>218</v>
      </c>
      <c r="C598" s="125"/>
      <c r="D598" s="28"/>
      <c r="E598" s="28"/>
      <c r="F598" s="28"/>
      <c r="G598" s="31"/>
      <c r="H598" s="583" t="s">
        <v>35</v>
      </c>
      <c r="I598" s="33"/>
      <c r="J598" s="33"/>
      <c r="K598" s="34"/>
      <c r="L598" s="582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IFERROR(__xludf.DUMMYFUNCTION("IMPORTRANGE(""https://docs.google.com/spreadsheets/d/1-uDff_7J0KD5mKrp0Vvzr7lt3OU09vwQwhkpOPPYv2Y/edit?usp=sharing"",""งบพรบ!HK80"")"),0)</f>
        <v>0</v>
      </c>
      <c r="M604" s="47">
        <f ca="1">IFERROR(__xludf.DUMMYFUNCTION("IMPORTRANGE(""https://docs.google.com/spreadsheets/d/1-uDff_7J0KD5mKrp0Vvzr7lt3OU09vwQwhkpOPPYv2Y/edit?usp=sharing"",""งบพรบ!HP80"")"),0)</f>
        <v>0</v>
      </c>
      <c r="N604" s="47">
        <f ca="1">IFERROR(__xludf.DUMMYFUNCTION("IMPORTRANGE(""https://docs.google.com/spreadsheets/d/1-uDff_7J0KD5mKrp0Vvzr7lt3OU09vwQwhkpOPPYv2Y/edit?usp=sharing"",""งบพรบ!HR80"")"),0)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IFERROR(__xludf.DUMMYFUNCTION("IMPORTRANGE(""https://docs.google.com/spreadsheets/d/1ItG2mGa2ceCfYo0BwxsXqNm01IGEUdYcSSLTEv9YCik/edit?usp=sharing"",""เบิกจ่ายกองทุน!AV80"")"),0)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IFERROR(__xludf.DUMMYFUNCTION("IMPORTRANGE(""https://docs.google.com/spreadsheets/d/1ItG2mGa2ceCfYo0BwxsXqNm01IGEUdYcSSLTEv9YCik/edit?usp=sharing"",""เบิกจ่ายกองทุน!AW80"")"),0)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IFERROR(__xludf.DUMMYFUNCTION("IMPORTRANGE(""https://docs.google.com/spreadsheets/d/1ItG2mGa2ceCfYo0BwxsXqNm01IGEUdYcSSLTEv9YCik/edit?usp=sharing"",""เบิกจ่ายกองทุน!AX80"")"),0)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IFERROR(__xludf.DUMMYFUNCTION("IMPORTRANGE(""https://docs.google.com/spreadsheets/d/1-uDff_7J0KD5mKrp0Vvzr7lt3OU09vwQwhkpOPPYv2Y/edit?usp=sharing"",""งบพรบ!HN80"")"),0)</f>
        <v>0</v>
      </c>
      <c r="M607" s="47">
        <f ca="1">IFERROR(__xludf.DUMMYFUNCTION("IMPORTRANGE(""https://docs.google.com/spreadsheets/d/1-uDff_7J0KD5mKrp0Vvzr7lt3OU09vwQwhkpOPPYv2Y/edit?usp=sharing"",""งบพรบ!HQ80"")"),0)</f>
        <v>0</v>
      </c>
      <c r="N607" s="47">
        <f ca="1">IFERROR(__xludf.DUMMYFUNCTION("IMPORTRANGE(""https://docs.google.com/spreadsheets/d/1-uDff_7J0KD5mKrp0Vvzr7lt3OU09vwQwhkpOPPYv2Y/edit?usp=sharing"",""งบพรบ!HS80"")"),0)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IFERROR(__xludf.DUMMYFUNCTION("IMPORTRANGE(""https://docs.google.com/spreadsheets/d/1ItG2mGa2ceCfYo0BwxsXqNm01IGEUdYcSSLTEv9YCik/edit?usp=sharing"",""เบิกจ่ายกองทุน!AY80"")"),0)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IFERROR(__xludf.DUMMYFUNCTION("IMPORTRANGE(""https://docs.google.com/spreadsheets/d/1ItG2mGa2ceCfYo0BwxsXqNm01IGEUdYcSSLTEv9YCik/edit?usp=sharing"",""เบิกจ่ายกองทุน!AZ80"")"),0)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IFERROR(__xludf.DUMMYFUNCTION("IMPORTRANGE(""https://docs.google.com/spreadsheets/d/1ItG2mGa2ceCfYo0BwxsXqNm01IGEUdYcSSLTEv9YCik/edit?usp=sharing"",""เบิกจ่ายกองทุน!BA80"")"),0)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1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0"/>
      <c r="B612" s="579"/>
      <c r="C612" s="579"/>
      <c r="D612" s="579"/>
      <c r="E612" s="578" t="s">
        <v>222</v>
      </c>
      <c r="F612" s="577"/>
      <c r="G612" s="576"/>
      <c r="H612" s="575" t="s">
        <v>35</v>
      </c>
      <c r="I612" s="574"/>
      <c r="J612" s="574"/>
      <c r="K612" s="573"/>
      <c r="L612" s="572"/>
      <c r="M612" s="571"/>
      <c r="N612" s="571"/>
      <c r="O612" s="571"/>
      <c r="P612" s="571"/>
      <c r="Q612" s="571"/>
      <c r="R612" s="571"/>
      <c r="S612" s="571"/>
      <c r="T612" s="571"/>
      <c r="U612" s="571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0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56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463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188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6800</v>
      </c>
      <c r="R616" s="132">
        <f ca="1">R617+R618</f>
        <v>6800</v>
      </c>
      <c r="S616" s="132">
        <f ca="1">S617+S618</f>
        <v>1240</v>
      </c>
      <c r="T616" s="132">
        <f ca="1">IF(Q616&gt;0,S616*100/Q616,0)</f>
        <v>18.235294117647058</v>
      </c>
      <c r="U616" s="132">
        <f ca="1">IF(R616&gt;0,S616*100/R616,0)</f>
        <v>18.235294117647058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6800</v>
      </c>
      <c r="R618" s="47">
        <f ca="1">R621+R624</f>
        <v>6800</v>
      </c>
      <c r="S618" s="47">
        <f ca="1">S621+S624</f>
        <v>1240</v>
      </c>
      <c r="T618" s="47">
        <f ca="1">IF(Q618&gt;0,S618*100/Q618,0)</f>
        <v>18.235294117647058</v>
      </c>
      <c r="U618" s="47">
        <f ca="1">IF(R618&gt;0,S618*100/R618,0)</f>
        <v>18.235294117647058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6800</v>
      </c>
      <c r="R619" s="47">
        <f ca="1">R620+R621</f>
        <v>6800</v>
      </c>
      <c r="S619" s="47">
        <f ca="1">S620+S621</f>
        <v>1240</v>
      </c>
      <c r="T619" s="47">
        <f ca="1">IF(Q619&gt;0,S619*100/Q619,0)</f>
        <v>18.235294117647058</v>
      </c>
      <c r="U619" s="47">
        <f ca="1">IF(R619&gt;0,S619*100/R619,0)</f>
        <v>18.235294117647058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IFERROR(__xludf.DUMMYFUNCTION("IMPORTRANGE(""https://docs.google.com/spreadsheets/d/1ItG2mGa2ceCfYo0BwxsXqNm01IGEUdYcSSLTEv9YCik/edit?usp=sharing"",""เบิกจ่ายกองทุน!F80"")"),6800)</f>
        <v>6800</v>
      </c>
      <c r="R621" s="47">
        <f ca="1">IFERROR(__xludf.DUMMYFUNCTION("IMPORTRANGE(""https://docs.google.com/spreadsheets/d/1ItG2mGa2ceCfYo0BwxsXqNm01IGEUdYcSSLTEv9YCik/edit?usp=sharing"",""เบิกจ่ายกองทุน!G80"")"),6800)</f>
        <v>6800</v>
      </c>
      <c r="S621" s="47">
        <f ca="1">IFERROR(__xludf.DUMMYFUNCTION("IMPORTRANGE(""https://docs.google.com/spreadsheets/d/1ItG2mGa2ceCfYo0BwxsXqNm01IGEUdYcSSLTEv9YCik/edit?usp=sharing"",""เบิกจ่ายกองทุน!H80"")"),1240)</f>
        <v>1240</v>
      </c>
      <c r="T621" s="47">
        <f ca="1">IF(Q621&gt;0,S621*100/Q621,0)</f>
        <v>18.235294117647058</v>
      </c>
      <c r="U621" s="47">
        <f ca="1">IF(R621&gt;0,S621*100/R621,0)</f>
        <v>18.235294117647058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IFERROR(__xludf.DUMMYFUNCTION("IMPORTRANGE(""https://docs.google.com/spreadsheets/d/1eHaY18a8A9IcSdp1K8H6x8fbOy06t2VsZHhMHf-1x7Y/edit?usp=sharing"",""แผน!ID80"")"),50)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IFERROR(__xludf.DUMMYFUNCTION("IMPORTRANGE(""https://docs.google.com/spreadsheets/d/1eHaY18a8A9IcSdp1K8H6x8fbOy06t2VsZHhMHf-1x7Y/edit?usp=sharing"",""แผน!IC80"")"),0)</f>
        <v>0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IFERROR(__xludf.DUMMYFUNCTION("IMPORTRANGE(""https://docs.google.com/spreadsheets/d/1eHaY18a8A9IcSdp1K8H6x8fbOy06t2VsZHhMHf-1x7Y/edit?usp=sharing"",""แผน!IC80"")"),0)</f>
        <v>0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IFERROR(__xludf.DUMMYFUNCTION("IMPORTRANGE(""https://docs.google.com/spreadsheets/d/1eHaY18a8A9IcSdp1K8H6x8fbOy06t2VsZHhMHf-1x7Y/edit?usp=sharing"",""แผน!IE80"")"),0)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63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8200</v>
      </c>
      <c r="R642" s="132">
        <f ca="1">R643+R644</f>
        <v>8200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8200</v>
      </c>
      <c r="R644" s="47">
        <f ca="1">R647+R650</f>
        <v>8200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8200</v>
      </c>
      <c r="R645" s="47">
        <f ca="1">R646+R647</f>
        <v>8200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IFERROR(__xludf.DUMMYFUNCTION("IMPORTRANGE(""https://docs.google.com/spreadsheets/d/1ItG2mGa2ceCfYo0BwxsXqNm01IGEUdYcSSLTEv9YCik/edit?usp=sharing"",""เบิกจ่ายกองทุน!I80"")"),8200)</f>
        <v>8200</v>
      </c>
      <c r="R647" s="47">
        <f ca="1">IFERROR(__xludf.DUMMYFUNCTION("IMPORTRANGE(""https://docs.google.com/spreadsheets/d/1ItG2mGa2ceCfYo0BwxsXqNm01IGEUdYcSSLTEv9YCik/edit?usp=sharing"",""เบิกจ่ายกองทุน!J80"")"),8200)</f>
        <v>8200</v>
      </c>
      <c r="S647" s="47">
        <f ca="1">IFERROR(__xludf.DUMMYFUNCTION("IMPORTRANGE(""https://docs.google.com/spreadsheets/d/1ItG2mGa2ceCfYo0BwxsXqNm01IGEUdYcSSLTEv9YCik/edit?usp=sharing"",""เบิกจ่ายกองทุน!K80"")"),0)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IFERROR(__xludf.DUMMYFUNCTION("IMPORTRANGE(""https://docs.google.com/spreadsheets/d/1eHaY18a8A9IcSdp1K8H6x8fbOy06t2VsZHhMHf-1x7Y/edit?usp=sharing"",""แผน!IF80"")"),0)</f>
        <v>0</v>
      </c>
      <c r="J652" s="152">
        <f ca="1">IFERROR(__xludf.DUMMYFUNCTION("IMPORTRANGE(""https://docs.google.com/spreadsheets/d/1tdoBKaGub7dwA3U6UFTqxio9LNnvDCQjHKmttSEBsFQ/edit?usp=sharing"",""จัดที่ดิน!AU80"")"),0)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IFERROR(__xludf.DUMMYFUNCTION("IMPORTRANGE(""https://docs.google.com/spreadsheets/d/1eHaY18a8A9IcSdp1K8H6x8fbOy06t2VsZHhMHf-1x7Y/edit?usp=sharing"",""แผน!IG80"")"),60)</f>
        <v>60</v>
      </c>
      <c r="J653" s="152">
        <f ca="1">IFERROR(__xludf.DUMMYFUNCTION("IMPORTRANGE(""https://docs.google.com/spreadsheets/d/1tdoBKaGub7dwA3U6UFTqxio9LNnvDCQjHKmttSEBsFQ/edit?usp=sharing"",""จัดที่ดิน!AW80"")"),0)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IFERROR(__xludf.DUMMYFUNCTION("IMPORTRANGE(""https://docs.google.com/spreadsheets/d/1eHaY18a8A9IcSdp1K8H6x8fbOy06t2VsZHhMHf-1x7Y/edit?usp=sharing"",""แผน!IH80"")"),0)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IFERROR(__xludf.DUMMYFUNCTION("IMPORTRANGE(""https://docs.google.com/spreadsheets/d/1eHaY18a8A9IcSdp1K8H6x8fbOy06t2VsZHhMHf-1x7Y/edit?usp=sharing"",""แผน!II80"")"),0)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IFERROR(__xludf.DUMMYFUNCTION("IMPORTRANGE(""https://docs.google.com/spreadsheets/d/1eHaY18a8A9IcSdp1K8H6x8fbOy06t2VsZHhMHf-1x7Y/edit?usp=sharing"",""แผน!IJ80"")"),0)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IFERROR(__xludf.DUMMYFUNCTION("IMPORTRANGE(""https://docs.google.com/spreadsheets/d/1eHaY18a8A9IcSdp1K8H6x8fbOy06t2VsZHhMHf-1x7Y/edit?usp=sharing"",""แผน!IK80"")"),0)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IFERROR(__xludf.DUMMYFUNCTION("IMPORTRANGE(""https://docs.google.com/spreadsheets/d/1tdoBKaGub7dwA3U6UFTqxio9LNnvDCQjHKmttSEBsFQ/edit?usp=sharing"",""จัดที่ดิน!AY80"")"),0)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IFERROR(__xludf.DUMMYFUNCTION("IMPORTRANGE(""https://docs.google.com/spreadsheets/d/1tdoBKaGub7dwA3U6UFTqxio9LNnvDCQjHKmttSEBsFQ/edit?usp=sharing"",""จัดที่ดิน!AZ80"")"),0)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IFERROR(__xludf.DUMMYFUNCTION("IMPORTRANGE(""https://docs.google.com/spreadsheets/d/1eHaY18a8A9IcSdp1K8H6x8fbOy06t2VsZHhMHf-1x7Y/edit?usp=sharing"",""แผน!IL80"")"),0)</f>
        <v>0</v>
      </c>
      <c r="J673" s="152">
        <f ca="1">IFERROR(__xludf.DUMMYFUNCTION("IMPORTRANGE(""https://docs.google.com/spreadsheets/d/1tdoBKaGub7dwA3U6UFTqxio9LNnvDCQjHKmttSEBsFQ/edit?usp=sharing"",""จัดที่ดิน!BA80"")"),0)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IFERROR(__xludf.DUMMYFUNCTION("IMPORTRANGE(""https://docs.google.com/spreadsheets/d/1eHaY18a8A9IcSdp1K8H6x8fbOy06t2VsZHhMHf-1x7Y/edit?usp=sharing"",""แผน!IM80"")"),0)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IFERROR(__xludf.DUMMYFUNCTION("IMPORTRANGE(""https://docs.google.com/spreadsheets/d/1eHaY18a8A9IcSdp1K8H6x8fbOy06t2VsZHhMHf-1x7Y/edit?usp=sharing"",""แผน!IN80"")"),0)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IFERROR(__xludf.DUMMYFUNCTION("IMPORTRANGE(""https://docs.google.com/spreadsheets/d/1eHaY18a8A9IcSdp1K8H6x8fbOy06t2VsZHhMHf-1x7Y/edit?usp=sharing"",""แผน!IO80"")"),0)</f>
        <v>0</v>
      </c>
      <c r="J676" s="152">
        <f ca="1">IFERROR(__xludf.DUMMYFUNCTION("IMPORTRANGE(""https://docs.google.com/spreadsheets/d/1tdoBKaGub7dwA3U6UFTqxio9LNnvDCQjHKmttSEBsFQ/edit?usp=sharing"",""จัดที่ดิน!BF80"")"),0)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IFERROR(__xludf.DUMMYFUNCTION("IMPORTRANGE(""https://docs.google.com/spreadsheets/d/1tdoBKaGub7dwA3U6UFTqxio9LNnvDCQjHKmttSEBsFQ/edit?usp=sharing"",""จัดที่ดิน!BG80"")"),0)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IFERROR(__xludf.DUMMYFUNCTION("IMPORTRANGE(""https://docs.google.com/spreadsheets/d/1eHaY18a8A9IcSdp1K8H6x8fbOy06t2VsZHhMHf-1x7Y/edit?usp=sharing"",""แผน!IP80"")"),0)</f>
        <v>0</v>
      </c>
      <c r="J678" s="152">
        <f ca="1">IFERROR(__xludf.DUMMYFUNCTION("IMPORTRANGE(""https://docs.google.com/spreadsheets/d/1tdoBKaGub7dwA3U6UFTqxio9LNnvDCQjHKmttSEBsFQ/edit?usp=sharing"",""จัดที่ดิน!BH80"")"),0)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IFERROR(__xludf.DUMMYFUNCTION("IMPORTRANGE(""https://docs.google.com/spreadsheets/d/1eHaY18a8A9IcSdp1K8H6x8fbOy06t2VsZHhMHf-1x7Y/edit?usp=sharing"",""แผน!IQ80"")"),0)</f>
        <v>0</v>
      </c>
      <c r="J679" s="152">
        <f ca="1">IFERROR(__xludf.DUMMYFUNCTION("IMPORTRANGE(""https://docs.google.com/spreadsheets/d/1tdoBKaGub7dwA3U6UFTqxio9LNnvDCQjHKmttSEBsFQ/edit?usp=sharing"",""จัดที่ดิน!BK80"")"),0)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IFERROR(__xludf.DUMMYFUNCTION("IMPORTRANGE(""https://docs.google.com/spreadsheets/d/1tdoBKaGub7dwA3U6UFTqxio9LNnvDCQjHKmttSEBsFQ/edit?usp=sharing"",""จัดที่ดิน!BL80"")"),0)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IFERROR(__xludf.DUMMYFUNCTION("IMPORTRANGE(""https://docs.google.com/spreadsheets/d/1eHaY18a8A9IcSdp1K8H6x8fbOy06t2VsZHhMHf-1x7Y/edit?usp=sharing"",""แผน!IR80"")"),0)</f>
        <v>0</v>
      </c>
      <c r="J681" s="152">
        <f ca="1">IFERROR(__xludf.DUMMYFUNCTION("IMPORTRANGE(""https://docs.google.com/spreadsheets/d/1tdoBKaGub7dwA3U6UFTqxio9LNnvDCQjHKmttSEBsFQ/edit?usp=sharing"",""จัดที่ดิน!BM80"")"),0)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IFERROR(__xludf.DUMMYFUNCTION("IMPORTRANGE(""https://docs.google.com/spreadsheets/d/1eHaY18a8A9IcSdp1K8H6x8fbOy06t2VsZHhMHf-1x7Y/edit?usp=sharing"",""แผน!IS80"")"),0)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hidden="1" x14ac:dyDescent="0.3">
      <c r="A689" s="456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hidden="1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0</v>
      </c>
      <c r="R690" s="132">
        <f ca="1">R691+R692</f>
        <v>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0</v>
      </c>
      <c r="R692" s="47">
        <f ca="1">R695+R698</f>
        <v>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hidden="1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0</v>
      </c>
      <c r="R693" s="47">
        <f ca="1">R694+R695</f>
        <v>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IFERROR(__xludf.DUMMYFUNCTION("IMPORTRANGE(""https://docs.google.com/spreadsheets/d/1ItG2mGa2ceCfYo0BwxsXqNm01IGEUdYcSSLTEv9YCik/edit?usp=sharing"",""เบิกจ่ายกองทุน!L80"")"),0)</f>
        <v>0</v>
      </c>
      <c r="R695" s="47">
        <f ca="1">IFERROR(__xludf.DUMMYFUNCTION("IMPORTRANGE(""https://docs.google.com/spreadsheets/d/1ItG2mGa2ceCfYo0BwxsXqNm01IGEUdYcSSLTEv9YCik/edit?usp=sharing"",""เบิกจ่ายกองทุน!M80"")"),0)</f>
        <v>0</v>
      </c>
      <c r="S695" s="47">
        <f ca="1">IFERROR(__xludf.DUMMYFUNCTION("IMPORTRANGE(""https://docs.google.com/spreadsheets/d/1ItG2mGa2ceCfYo0BwxsXqNm01IGEUdYcSSLTEv9YCik/edit?usp=sharing"",""เบิกจ่ายกองทุน!N80"")"),0)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hidden="1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hidden="1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hidden="1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IFERROR(__xludf.DUMMYFUNCTION("IMPORTRANGE(""https://docs.google.com/spreadsheets/d/1eHaY18a8A9IcSdp1K8H6x8fbOy06t2VsZHhMHf-1x7Y/edit?usp=sharing"",""แผน!LC80"")"),0)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hidden="1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hidden="1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hidden="1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IFERROR(__xludf.DUMMYFUNCTION("IMPORTRANGE(""https://docs.google.com/spreadsheets/d/1eHaY18a8A9IcSdp1K8H6x8fbOy06t2VsZHhMHf-1x7Y/edit?usp=sharing"",""แผน!LJ80"")"),0)</f>
        <v>0</v>
      </c>
      <c r="J703" s="152">
        <f ca="1">IFERROR(__xludf.DUMMYFUNCTION("IMPORTRANGE(""https://docs.google.com/spreadsheets/d/1tdoBKaGub7dwA3U6UFTqxio9LNnvDCQjHKmttSEBsFQ/edit?usp=sharing"",""จัดที่ดิน!AP80"")"),0)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IFERROR(__xludf.DUMMYFUNCTION("IMPORTRANGE(""https://docs.google.com/spreadsheets/d/1tdoBKaGub7dwA3U6UFTqxio9LNnvDCQjHKmttSEBsFQ/edit?usp=sharing"",""จัดที่ดิน!AQ80"")"),0)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IFERROR(__xludf.DUMMYFUNCTION("IMPORTRANGE(""https://docs.google.com/spreadsheets/d/1eHaY18a8A9IcSdp1K8H6x8fbOy06t2VsZHhMHf-1x7Y/edit?usp=sharing"",""แผน!LK80"")"),0)</f>
        <v>0</v>
      </c>
      <c r="J705" s="152">
        <f ca="1">IFERROR(__xludf.DUMMYFUNCTION("IMPORTRANGE(""https://docs.google.com/spreadsheets/d/1tdoBKaGub7dwA3U6UFTqxio9LNnvDCQjHKmttSEBsFQ/edit?usp=sharing"",""จัดที่ดิน!AR80"")"),0)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IFERROR(__xludf.DUMMYFUNCTION("IMPORTRANGE(""https://docs.google.com/spreadsheets/d/1tdoBKaGub7dwA3U6UFTqxio9LNnvDCQjHKmttSEBsFQ/edit?usp=sharing"",""จัดที่ดิน!AS80"")"),0)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IFERROR(__xludf.DUMMYFUNCTION("IMPORTRANGE(""https://docs.google.com/spreadsheets/d/1eHaY18a8A9IcSdp1K8H6x8fbOy06t2VsZHhMHf-1x7Y/edit?usp=sharing"",""แผน!LJ80"")"),0)</f>
        <v>0</v>
      </c>
      <c r="J707" s="152">
        <f ca="1">IFERROR(__xludf.DUMMYFUNCTION("IMPORTRANGE(""https://docs.google.com/spreadsheets/d/1tdoBKaGub7dwA3U6UFTqxio9LNnvDCQjHKmttSEBsFQ/edit?usp=sharing"",""จัดที่ดิน!BN80"")"),0)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IFERROR(__xludf.DUMMYFUNCTION("IMPORTRANGE(""https://docs.google.com/spreadsheets/d/1tdoBKaGub7dwA3U6UFTqxio9LNnvDCQjHKmttSEBsFQ/edit?usp=sharing"",""จัดที่ดิน!BO80"")"),0)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IFERROR(__xludf.DUMMYFUNCTION("IMPORTRANGE(""https://docs.google.com/spreadsheets/d/1eHaY18a8A9IcSdp1K8H6x8fbOy06t2VsZHhMHf-1x7Y/edit?usp=sharing"",""แผน!LK80"")"),0)</f>
        <v>0</v>
      </c>
      <c r="J709" s="152">
        <f ca="1">IFERROR(__xludf.DUMMYFUNCTION("IMPORTRANGE(""https://docs.google.com/spreadsheets/d/1tdoBKaGub7dwA3U6UFTqxio9LNnvDCQjHKmttSEBsFQ/edit?usp=sharing"",""จัดที่ดิน!BP80"")"),0)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hidden="1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IFERROR(__xludf.DUMMYFUNCTION("IMPORTRANGE(""https://docs.google.com/spreadsheets/d/1tdoBKaGub7dwA3U6UFTqxio9LNnvDCQjHKmttSEBsFQ/edit?usp=sharing"",""จัดที่ดิน!BQ80"")"),0)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56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56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56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IFERROR(__xludf.DUMMYFUNCTION("IMPORTRANGE(""https://docs.google.com/spreadsheets/d/1eHaY18a8A9IcSdp1K8H6x8fbOy06t2VsZHhMHf-1x7Y/edit?usp=sharing"",""แผน!GA80"")"),6)</f>
        <v>6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IFERROR(__xludf.DUMMYFUNCTION("IMPORTRANGE(""https://docs.google.com/spreadsheets/d/1eHaY18a8A9IcSdp1K8H6x8fbOy06t2VsZHhMHf-1x7Y/edit?usp=sharing"",""แผน!FZ80"")"),50)</f>
        <v>50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188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79606</v>
      </c>
      <c r="R728" s="132">
        <f ca="1">R729+R730</f>
        <v>79606</v>
      </c>
      <c r="S728" s="132">
        <f ca="1">S729+S730</f>
        <v>2500</v>
      </c>
      <c r="T728" s="132">
        <f ca="1">IF(Q728&gt;0,S728*100/Q728,0)</f>
        <v>3.1404667989850013</v>
      </c>
      <c r="U728" s="132">
        <f ca="1">IF(R728&gt;0,S728*100/R728,0)</f>
        <v>3.1404667989850013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79606</v>
      </c>
      <c r="R730" s="47">
        <f ca="1">R733+R736</f>
        <v>79606</v>
      </c>
      <c r="S730" s="47">
        <f ca="1">S733+S736</f>
        <v>2500</v>
      </c>
      <c r="T730" s="47">
        <f ca="1">IF(Q730&gt;0,S730*100/Q730,0)</f>
        <v>3.1404667989850013</v>
      </c>
      <c r="U730" s="47">
        <f ca="1">IF(R730&gt;0,S730*100/R730,0)</f>
        <v>3.1404667989850013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79606</v>
      </c>
      <c r="R731" s="47">
        <f ca="1">R732+R733</f>
        <v>79606</v>
      </c>
      <c r="S731" s="47">
        <f ca="1">S732+S733</f>
        <v>2500</v>
      </c>
      <c r="T731" s="47">
        <f ca="1">IF(Q731&gt;0,S731*100/Q731,0)</f>
        <v>3.1404667989850013</v>
      </c>
      <c r="U731" s="47">
        <f ca="1">IF(R731&gt;0,S731*100/R731,0)</f>
        <v>3.1404667989850013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IFERROR(__xludf.DUMMYFUNCTION("IMPORTRANGE(""https://docs.google.com/spreadsheets/d/1ItG2mGa2ceCfYo0BwxsXqNm01IGEUdYcSSLTEv9YCik/edit?usp=sharing"",""เบิกจ่ายกองทุน!O80"")"),79606)</f>
        <v>79606</v>
      </c>
      <c r="R733" s="47">
        <f ca="1">IFERROR(__xludf.DUMMYFUNCTION("IMPORTRANGE(""https://docs.google.com/spreadsheets/d/1ItG2mGa2ceCfYo0BwxsXqNm01IGEUdYcSSLTEv9YCik/edit?usp=sharing"",""เบิกจ่ายกองทุน!P80"")"),79606)</f>
        <v>79606</v>
      </c>
      <c r="S733" s="47">
        <f ca="1">IFERROR(__xludf.DUMMYFUNCTION("IMPORTRANGE(""https://docs.google.com/spreadsheets/d/1ItG2mGa2ceCfYo0BwxsXqNm01IGEUdYcSSLTEv9YCik/edit?usp=sharing"",""เบิกจ่ายกองทุน!Q80"")"),2500)</f>
        <v>2500</v>
      </c>
      <c r="T733" s="47">
        <f ca="1">IF(Q733&gt;0,S733*100/Q733,0)</f>
        <v>3.1404667989850013</v>
      </c>
      <c r="U733" s="47">
        <f ca="1">IF(R733&gt;0,S733*100/R733,0)</f>
        <v>3.1404667989850013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IFERROR(__xludf.DUMMYFUNCTION("IMPORTRANGE(""https://docs.google.com/spreadsheets/d/1eHaY18a8A9IcSdp1K8H6x8fbOy06t2VsZHhMHf-1x7Y/edit?usp=sharing"",""แผน!GB80"")"),40)</f>
        <v>40</v>
      </c>
      <c r="J740" s="554">
        <v>0</v>
      </c>
      <c r="K740" s="331">
        <f ca="1">IF(I740&gt;0,J740*100/I740,0)</f>
        <v>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IFERROR(__xludf.DUMMYFUNCTION("IMPORTRANGE(""https://docs.google.com/spreadsheets/d/1eHaY18a8A9IcSdp1K8H6x8fbOy06t2VsZHhMHf-1x7Y/edit?usp=sharing"",""แผน!GC80"")"),4)</f>
        <v>4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IFERROR(__xludf.DUMMYFUNCTION("IMPORTRANGE(""https://docs.google.com/spreadsheets/d/1eHaY18a8A9IcSdp1K8H6x8fbOy06t2VsZHhMHf-1x7Y/edit?usp=sharing"",""แผน!GD80"")"),10)</f>
        <v>10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IFERROR(__xludf.DUMMYFUNCTION("IMPORTRANGE(""https://docs.google.com/spreadsheets/d/1eHaY18a8A9IcSdp1K8H6x8fbOy06t2VsZHhMHf-1x7Y/edit?usp=sharing"",""แผน!GE80"")"),1)</f>
        <v>1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IFERROR(__xludf.DUMMYFUNCTION("IMPORTRANGE(""https://docs.google.com/spreadsheets/d/1eHaY18a8A9IcSdp1K8H6x8fbOy06t2VsZHhMHf-1x7Y/edit?usp=sharing"",""แผน!GF80"")"),1)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IFERROR(__xludf.DUMMYFUNCTION("IMPORTRANGE(""https://docs.google.com/spreadsheets/d/1eHaY18a8A9IcSdp1K8H6x8fbOy06t2VsZHhMHf-1x7Y/edit?usp=sharing"",""แผน!GB80"")"),40)</f>
        <v>40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IFERROR(__xludf.DUMMYFUNCTION("IMPORTRANGE(""https://docs.google.com/spreadsheets/d/1eHaY18a8A9IcSdp1K8H6x8fbOy06t2VsZHhMHf-1x7Y/edit?usp=sharing"",""แผน!GD80"")"),10)</f>
        <v>10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9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56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10</v>
      </c>
      <c r="J758" s="483">
        <f>J772</f>
        <v>10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20</v>
      </c>
      <c r="J759" s="483">
        <f>J774</f>
        <v>20</v>
      </c>
      <c r="K759" s="484">
        <f ca="1">IF(I759&gt;0,J759*100/I759,0)</f>
        <v>100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91360</v>
      </c>
      <c r="R760" s="132">
        <f ca="1">R761+R762</f>
        <v>91360</v>
      </c>
      <c r="S760" s="132">
        <f ca="1">S761+S762</f>
        <v>77420</v>
      </c>
      <c r="T760" s="132">
        <f ca="1">IF(Q760&gt;0,S760*100/Q760,0)</f>
        <v>84.741681260945711</v>
      </c>
      <c r="U760" s="132">
        <f ca="1">IF(R760&gt;0,S760*100/R760,0)</f>
        <v>84.741681260945711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91360</v>
      </c>
      <c r="R762" s="47">
        <f ca="1">R765+R768</f>
        <v>91360</v>
      </c>
      <c r="S762" s="47">
        <f ca="1">S765+S768</f>
        <v>77420</v>
      </c>
      <c r="T762" s="47">
        <f ca="1">IF(Q762&gt;0,S762*100/Q762,0)</f>
        <v>84.741681260945711</v>
      </c>
      <c r="U762" s="47">
        <f ca="1">IF(R762&gt;0,S762*100/R762,0)</f>
        <v>84.741681260945711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91360</v>
      </c>
      <c r="R763" s="47">
        <f ca="1">R764+R765</f>
        <v>91360</v>
      </c>
      <c r="S763" s="47">
        <f ca="1">S764+S765</f>
        <v>77420</v>
      </c>
      <c r="T763" s="47">
        <f ca="1">IF(Q763&gt;0,S763*100/Q763,0)</f>
        <v>84.741681260945711</v>
      </c>
      <c r="U763" s="47">
        <f ca="1">IF(R763&gt;0,S763*100/R763,0)</f>
        <v>84.741681260945711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IFERROR(__xludf.DUMMYFUNCTION("IMPORTRANGE(""https://docs.google.com/spreadsheets/d/1ItG2mGa2ceCfYo0BwxsXqNm01IGEUdYcSSLTEv9YCik/edit?usp=sharing"",""เบิกจ่ายกองทุน!AA80"")"),91360)</f>
        <v>91360</v>
      </c>
      <c r="R765" s="47">
        <f ca="1">IFERROR(__xludf.DUMMYFUNCTION("IMPORTRANGE(""https://docs.google.com/spreadsheets/d/1ItG2mGa2ceCfYo0BwxsXqNm01IGEUdYcSSLTEv9YCik/edit?usp=sharing"",""เบิกจ่ายกองทุน!AB80"")"),91360)</f>
        <v>91360</v>
      </c>
      <c r="S765" s="47">
        <f ca="1">IFERROR(__xludf.DUMMYFUNCTION("IMPORTRANGE(""https://docs.google.com/spreadsheets/d/1ItG2mGa2ceCfYo0BwxsXqNm01IGEUdYcSSLTEv9YCik/edit?usp=sharing"",""เบิกจ่ายกองทุน!AC80"")"),77420)</f>
        <v>77420</v>
      </c>
      <c r="T765" s="47">
        <f ca="1">IF(Q765&gt;0,S765*100/Q765,0)</f>
        <v>84.741681260945711</v>
      </c>
      <c r="U765" s="47">
        <f ca="1">IF(R765&gt;0,S765*100/R765,0)</f>
        <v>84.741681260945711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IFERROR(__xludf.DUMMYFUNCTION("IMPORTRANGE(""https://docs.google.com/spreadsheets/d/1eHaY18a8A9IcSdp1K8H6x8fbOy06t2VsZHhMHf-1x7Y/edit?usp=sharing"",""แผน!FI80"")"),0)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IFERROR(__xludf.DUMMYFUNCTION("IMPORTRANGE(""https://docs.google.com/spreadsheets/d/1eHaY18a8A9IcSdp1K8H6x8fbOy06t2VsZHhMHf-1x7Y/edit?usp=sharing"",""แผน!FQ80"")"),10)</f>
        <v>10</v>
      </c>
      <c r="J772" s="167">
        <v>10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IFERROR(__xludf.DUMMYFUNCTION("IMPORTRANGE(""https://docs.google.com/spreadsheets/d/1eHaY18a8A9IcSdp1K8H6x8fbOy06t2VsZHhMHf-1x7Y/edit?usp=sharing"",""แผน!FR80"")"),20)</f>
        <v>20</v>
      </c>
      <c r="J774" s="167">
        <v>20</v>
      </c>
      <c r="K774" s="47">
        <f ca="1">IF(I774&gt;0,J774*100/I774,0)</f>
        <v>100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IFERROR(__xludf.DUMMYFUNCTION("IMPORTRANGE(""https://docs.google.com/spreadsheets/d/1eHaY18a8A9IcSdp1K8H6x8fbOy06t2VsZHhMHf-1x7Y/edit?usp=sharing"",""แผน!FS80"")"),20)</f>
        <v>20</v>
      </c>
      <c r="J775" s="167">
        <v>20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IFERROR(__xludf.DUMMYFUNCTION("IMPORTRANGE(""https://docs.google.com/spreadsheets/d/1eHaY18a8A9IcSdp1K8H6x8fbOy06t2VsZHhMHf-1x7Y/edit?usp=sharing"",""แผน!FT80"")"),10)</f>
        <v>10</v>
      </c>
      <c r="J776" s="355">
        <v>10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IFERROR(__xludf.DUMMYFUNCTION("IMPORTRANGE(""https://docs.google.com/spreadsheets/d/10OvvATaaLtwErnr3qtWFcTmtbfpFEt5Bsqel9sXx0uE/edit?usp=sharing"",""งานกองทุน!D80"")"),486435.71)</f>
        <v>486435.71</v>
      </c>
      <c r="J778" s="152">
        <f ca="1">IFERROR(__xludf.DUMMYFUNCTION("IMPORTRANGE(""https://docs.google.com/spreadsheets/d/10OvvATaaLtwErnr3qtWFcTmtbfpFEt5Bsqel9sXx0uE/edit?usp=sharing"",""งานกองทุน!F80"")"),62960.41)</f>
        <v>62960.41</v>
      </c>
      <c r="K778" s="47">
        <f ca="1">IF(I778&gt;0,J778*100/I778,0)</f>
        <v>12.943212989029938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IFERROR(__xludf.DUMMYFUNCTION("IMPORTRANGE(""https://docs.google.com/spreadsheets/d/10OvvATaaLtwErnr3qtWFcTmtbfpFEt5Bsqel9sXx0uE/edit?usp=sharing"",""งานกองทุน!C80"")"),35)</f>
        <v>35</v>
      </c>
      <c r="J779" s="152">
        <f ca="1">IFERROR(__xludf.DUMMYFUNCTION("IMPORTRANGE(""https://docs.google.com/spreadsheets/d/10OvvATaaLtwErnr3qtWFcTmtbfpFEt5Bsqel9sXx0uE/edit?usp=sharing"",""งานกองทุน!E80"")"),14)</f>
        <v>14</v>
      </c>
      <c r="K779" s="47">
        <f ca="1">IF(I779&gt;0,J779*100/I779,0)</f>
        <v>40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IFERROR(__xludf.DUMMYFUNCTION("IMPORTRANGE(""https://docs.google.com/spreadsheets/d/10OvvATaaLtwErnr3qtWFcTmtbfpFEt5Bsqel9sXx0uE/edit?usp=sharing"",""งานกองทุน!I80"")"),1797886.18)</f>
        <v>1797886.18</v>
      </c>
      <c r="J780" s="152">
        <f ca="1">IFERROR(__xludf.DUMMYFUNCTION("IMPORTRANGE(""https://docs.google.com/spreadsheets/d/10OvvATaaLtwErnr3qtWFcTmtbfpFEt5Bsqel9sXx0uE/edit?usp=sharing"",""งานกองทุน!K80"")"),63002.49)</f>
        <v>63002.49</v>
      </c>
      <c r="K780" s="47">
        <f ca="1">IF(I780&gt;0,J780*100/I780,0)</f>
        <v>3.5042535340029146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IFERROR(__xludf.DUMMYFUNCTION("IMPORTRANGE(""https://docs.google.com/spreadsheets/d/10OvvATaaLtwErnr3qtWFcTmtbfpFEt5Bsqel9sXx0uE/edit?usp=sharing"",""งานกองทุน!H80"")"),124)</f>
        <v>124</v>
      </c>
      <c r="J781" s="152">
        <f ca="1">IFERROR(__xludf.DUMMYFUNCTION("IMPORTRANGE(""https://docs.google.com/spreadsheets/d/10OvvATaaLtwErnr3qtWFcTmtbfpFEt5Bsqel9sXx0uE/edit?usp=sharing"",""งานกองทุน!J80"")"),78)</f>
        <v>78</v>
      </c>
      <c r="K781" s="47">
        <f ca="1">IF(I781&gt;0,J781*100/I781,0)</f>
        <v>62.903225806451616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IFERROR(__xludf.DUMMYFUNCTION("IMPORTRANGE(""https://docs.google.com/spreadsheets/d/10OvvATaaLtwErnr3qtWFcTmtbfpFEt5Bsqel9sXx0uE/edit?usp=sharing"",""งานกองทุน!N80"")"),29208.33)</f>
        <v>29208.33</v>
      </c>
      <c r="J782" s="152">
        <f ca="1">IFERROR(__xludf.DUMMYFUNCTION("IMPORTRANGE(""https://docs.google.com/spreadsheets/d/10OvvATaaLtwErnr3qtWFcTmtbfpFEt5Bsqel9sXx0uE/edit?usp=sharing"",""งานกองทุน!P80"")"),1920.88)</f>
        <v>1920.88</v>
      </c>
      <c r="K782" s="47">
        <f ca="1">IF(I782&gt;0,J782*100/I782,0)</f>
        <v>6.5764800657894504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IFERROR(__xludf.DUMMYFUNCTION("IMPORTRANGE(""https://docs.google.com/spreadsheets/d/10OvvATaaLtwErnr3qtWFcTmtbfpFEt5Bsqel9sXx0uE/edit?usp=sharing"",""งานกองทุน!M80"")"),87)</f>
        <v>87</v>
      </c>
      <c r="J783" s="152">
        <f ca="1">IFERROR(__xludf.DUMMYFUNCTION("IMPORTRANGE(""https://docs.google.com/spreadsheets/d/10OvvATaaLtwErnr3qtWFcTmtbfpFEt5Bsqel9sXx0uE/edit?usp=sharing"",""งานกองทุน!O80"")"),4)</f>
        <v>4</v>
      </c>
      <c r="K783" s="47">
        <f ca="1">IF(I783&gt;0,J783*100/I783,0)</f>
        <v>4.5977011494252871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IFERROR(__xludf.DUMMYFUNCTION("IMPORTRANGE(""https://docs.google.com/spreadsheets/d/10OvvATaaLtwErnr3qtWFcTmtbfpFEt5Bsqel9sXx0uE/edit?usp=sharing"",""งานกองทุน!S80"")"),448000)</f>
        <v>448000</v>
      </c>
      <c r="J784" s="152">
        <f ca="1">IFERROR(__xludf.DUMMYFUNCTION("IMPORTRANGE(""https://docs.google.com/spreadsheets/d/10OvvATaaLtwErnr3qtWFcTmtbfpFEt5Bsqel9sXx0uE/edit?usp=sharing"",""งานกองทุน!U80"")"),134400)</f>
        <v>134400</v>
      </c>
      <c r="K784" s="47">
        <f ca="1">IF(I784&gt;0,J784*100/I784,0)</f>
        <v>30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IFERROR(__xludf.DUMMYFUNCTION("IMPORTRANGE(""https://docs.google.com/spreadsheets/d/10OvvATaaLtwErnr3qtWFcTmtbfpFEt5Bsqel9sXx0uE/edit?usp=sharing"",""งานกองทุน!R80"")"),16)</f>
        <v>16</v>
      </c>
      <c r="J785" s="197">
        <f ca="1">IFERROR(__xludf.DUMMYFUNCTION("IMPORTRANGE(""https://docs.google.com/spreadsheets/d/10OvvATaaLtwErnr3qtWFcTmtbfpFEt5Bsqel9sXx0uE/edit?usp=sharing"",""งานกองทุน!T80"")"),3)</f>
        <v>3</v>
      </c>
      <c r="K785" s="111">
        <f ca="1">IF(I785&gt;0,J785*100/I785,0)</f>
        <v>18.75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4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BAC4C-B5B2-4AFF-A62E-29541470DAAD}">
  <sheetPr codeName="Sheet8">
    <outlinePr summaryBelow="0" summaryRight="0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710937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20" width="19.28515625" bestFit="1" customWidth="1"/>
    <col min="21" max="21" width="21.28515625" bestFit="1" customWidth="1"/>
  </cols>
  <sheetData>
    <row r="1" spans="1:21" ht="19.5" x14ac:dyDescent="0.3">
      <c r="A1" s="817" t="s">
        <v>0</v>
      </c>
      <c r="B1" s="817"/>
      <c r="C1" s="817"/>
      <c r="D1" s="817"/>
      <c r="E1" s="817"/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7"/>
      <c r="R1" s="817"/>
      <c r="S1" s="817"/>
      <c r="T1" s="817"/>
      <c r="U1" s="817"/>
    </row>
    <row r="2" spans="1:21" s="897" customFormat="1" ht="19.5" x14ac:dyDescent="0.3">
      <c r="A2" s="817" t="s">
        <v>321</v>
      </c>
      <c r="B2" s="817"/>
      <c r="C2" s="817"/>
      <c r="D2" s="817"/>
      <c r="E2" s="817"/>
      <c r="F2" s="817"/>
      <c r="G2" s="817"/>
      <c r="H2" s="817"/>
      <c r="I2" s="817"/>
      <c r="J2" s="817"/>
      <c r="K2" s="817"/>
      <c r="L2" s="817"/>
      <c r="M2" s="817"/>
      <c r="N2" s="817"/>
      <c r="O2" s="817"/>
      <c r="P2" s="817"/>
      <c r="Q2" s="817"/>
      <c r="R2" s="817"/>
      <c r="S2" s="817"/>
      <c r="T2" s="817"/>
      <c r="U2" s="817"/>
    </row>
    <row r="3" spans="1:21" ht="19.5" x14ac:dyDescent="0.3">
      <c r="A3" s="817" t="s">
        <v>332</v>
      </c>
      <c r="B3" s="817"/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  <c r="S3" s="817"/>
      <c r="T3" s="817"/>
      <c r="U3" s="817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816"/>
      <c r="L4" s="815" t="s">
        <v>2</v>
      </c>
      <c r="M4" s="518"/>
      <c r="N4" s="518"/>
      <c r="O4" s="518"/>
      <c r="P4" s="519"/>
      <c r="Q4" s="814" t="s">
        <v>3</v>
      </c>
      <c r="R4" s="518"/>
      <c r="S4" s="518"/>
      <c r="T4" s="518"/>
      <c r="U4" s="519"/>
    </row>
    <row r="5" spans="1:21" ht="19.5" x14ac:dyDescent="0.3">
      <c r="A5" s="813" t="s">
        <v>4</v>
      </c>
      <c r="B5" s="522"/>
      <c r="C5" s="522"/>
      <c r="D5" s="522"/>
      <c r="E5" s="522"/>
      <c r="F5" s="522"/>
      <c r="G5" s="535"/>
      <c r="H5" s="812" t="s">
        <v>5</v>
      </c>
      <c r="I5" s="527" t="s">
        <v>6</v>
      </c>
      <c r="J5" s="518"/>
      <c r="K5" s="519"/>
      <c r="L5" s="811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0"/>
      <c r="I6" s="7" t="s">
        <v>9</v>
      </c>
      <c r="J6" s="8" t="s">
        <v>10</v>
      </c>
      <c r="K6" s="7" t="s">
        <v>11</v>
      </c>
      <c r="L6" s="809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2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1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1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1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1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1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1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1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1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08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7">
        <f ca="1">L19+L20</f>
        <v>5301970</v>
      </c>
      <c r="M18" s="35">
        <f ca="1">M19+M20</f>
        <v>5339670</v>
      </c>
      <c r="N18" s="35">
        <f ca="1">N19+N20</f>
        <v>1205398.74</v>
      </c>
      <c r="O18" s="35">
        <f ca="1">IF(L18&gt;0,N18*100/L18,0)</f>
        <v>22.734921925246653</v>
      </c>
      <c r="P18" s="35">
        <f ca="1">IF(M18&gt;0,N18*100/M18,0)</f>
        <v>22.574405159869428</v>
      </c>
      <c r="Q18" s="35">
        <f ca="1">Q19+Q20</f>
        <v>957372.22</v>
      </c>
      <c r="R18" s="35">
        <f ca="1">R19+R20</f>
        <v>949184.5</v>
      </c>
      <c r="S18" s="35">
        <f ca="1">S19+S20</f>
        <v>193339</v>
      </c>
      <c r="T18" s="35">
        <f ca="1">IF(Q18&gt;0,S18*100/Q18,0)</f>
        <v>20.194757687871913</v>
      </c>
      <c r="U18" s="35">
        <f ca="1">IF(R18&gt;0,S18*100/R18,0)</f>
        <v>20.368958827288058</v>
      </c>
    </row>
    <row r="19" spans="1:21" ht="18.75" hidden="1" x14ac:dyDescent="0.25">
      <c r="A19" s="27"/>
      <c r="B19" s="28"/>
      <c r="C19" s="28"/>
      <c r="D19" s="28"/>
      <c r="E19" s="806" t="s">
        <v>20</v>
      </c>
      <c r="F19" s="28"/>
      <c r="G19" s="31"/>
      <c r="H19" s="805" t="s">
        <v>14</v>
      </c>
      <c r="I19" s="33"/>
      <c r="J19" s="33"/>
      <c r="K19" s="34"/>
      <c r="L19" s="804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3">
        <f ca="1">L23+L26</f>
        <v>5301970</v>
      </c>
      <c r="M20" s="39">
        <f ca="1">M23+M26</f>
        <v>5339670</v>
      </c>
      <c r="N20" s="39">
        <f ca="1">N23+N26</f>
        <v>1205398.74</v>
      </c>
      <c r="O20" s="39">
        <f ca="1">IF(L20&gt;0,N20*100/L20,0)</f>
        <v>22.734921925246653</v>
      </c>
      <c r="P20" s="39">
        <f ca="1">IF(M20&gt;0,N20*100/M20,0)</f>
        <v>22.574405159869428</v>
      </c>
      <c r="Q20" s="39">
        <f ca="1">Q23+Q26</f>
        <v>957372.22</v>
      </c>
      <c r="R20" s="39">
        <f ca="1">R23+R26</f>
        <v>949184.5</v>
      </c>
      <c r="S20" s="39">
        <f ca="1">S23+S26</f>
        <v>193339</v>
      </c>
      <c r="T20" s="39">
        <f ca="1">IF(Q20&gt;0,S20*100/Q20,0)</f>
        <v>20.194757687871913</v>
      </c>
      <c r="U20" s="39">
        <f ca="1">IF(R20&gt;0,S20*100/R20,0)</f>
        <v>20.368958827288058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2101970</v>
      </c>
      <c r="M21" s="47">
        <f ca="1">M22+M23</f>
        <v>2139670</v>
      </c>
      <c r="N21" s="47">
        <f ca="1">N22+N23</f>
        <v>1205398.74</v>
      </c>
      <c r="O21" s="47">
        <f ca="1">IF(L21&gt;0,N21*100/L21,0)</f>
        <v>57.346143855526009</v>
      </c>
      <c r="P21" s="47">
        <f ca="1">IF(M21&gt;0,N21*100/M21,0)</f>
        <v>56.335731210887658</v>
      </c>
      <c r="Q21" s="47">
        <f ca="1">Q22+Q23</f>
        <v>957372.22</v>
      </c>
      <c r="R21" s="47">
        <f ca="1">R22+R23</f>
        <v>949184.5</v>
      </c>
      <c r="S21" s="47">
        <f ca="1">S22+S23</f>
        <v>193339</v>
      </c>
      <c r="T21" s="47">
        <f ca="1">IF(Q21&gt;0,S21*100/Q21,0)</f>
        <v>20.194757687871913</v>
      </c>
      <c r="U21" s="47">
        <f ca="1">IF(R21&gt;0,S21*100/R21,0)</f>
        <v>20.368958827288058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L49+L64+L77+L99+L130+L144+L162+L191+L178+L271+L287+L308+L325+L338+L361+L518</f>
        <v>2101970</v>
      </c>
      <c r="M23" s="47">
        <f ca="1">M49+M64+M77+M99+M130+M144+M162+M191+M178+M271+M287+M308+M325+M338+M361+M518</f>
        <v>2139670</v>
      </c>
      <c r="N23" s="47">
        <f ca="1">N49+N64+N77+N99+N130+N144+N162+N191+N178+N271+N287+N308+N325+N338+N361+N518</f>
        <v>1205398.74</v>
      </c>
      <c r="O23" s="47">
        <f ca="1">IF(L23&gt;0,N23*100/L23,0)</f>
        <v>57.346143855526009</v>
      </c>
      <c r="P23" s="47">
        <f ca="1">IF(M23&gt;0,N23*100/M23,0)</f>
        <v>56.335731210887658</v>
      </c>
      <c r="Q23" s="47">
        <f ca="1">Q77+Q99+Q122+Q144+Q162+Q178+Q191+Q271+Q287+Q308+Q338+Q380+Q397+Q418+Q498+Q604+Q621+Q647+Q695+Q719+Q733+Q765</f>
        <v>957372.22</v>
      </c>
      <c r="R23" s="47">
        <f ca="1">R77+R99+R122+R144+R162+R178+R191+R271+R287+R308+R338+R380+R397+R418+R498+R604+R621+R647+R695+R719+R733+R765</f>
        <v>949184.5</v>
      </c>
      <c r="S23" s="47">
        <f ca="1">S77+S99+S122+S144+S162+S178+S191+S271+S287+S308+S338+S380+S397+S418+S498+S604+S621+S647+S695+S719+S733+S765</f>
        <v>193339</v>
      </c>
      <c r="T23" s="47">
        <f ca="1">IF(Q23&gt;0,S23*100/Q23,0)</f>
        <v>20.194757687871913</v>
      </c>
      <c r="U23" s="47">
        <f ca="1">IF(R23&gt;0,S23*100/R23,0)</f>
        <v>20.368958827288058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3200000</v>
      </c>
      <c r="M24" s="47">
        <f ca="1">M25+M26</f>
        <v>3200000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L52+L67+L80+L102+L133+L147+L165+L194+L181+L274+L290+L311+L328+L341+L364+L521</f>
        <v>3200000</v>
      </c>
      <c r="M26" s="47">
        <f ca="1">M52+M67+M80+M102+M133+M147+M165+M194+M181+M274+M290+M311+M328+M341+M364+M521</f>
        <v>3200000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2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1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1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1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1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1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1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1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1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1">
        <f ca="1">L44+L59+L72+L94+L125+L139+L157+L173+L186+L266+L282+L303+L320+L333+L356</f>
        <v>5301970</v>
      </c>
      <c r="M40" s="800">
        <f ca="1">M44+M59+M72+M94+M125+M139+M157+M173+M186+M266+M282+M303+M320+M333+M356</f>
        <v>5339670</v>
      </c>
      <c r="N40" s="800">
        <f ca="1">N44+N59+N72+N94+N125+N139+N157+N173+N186+N266+N282+N303+N320+N333+N356</f>
        <v>1205398.74</v>
      </c>
      <c r="O40" s="800">
        <f ca="1">IF(L40&gt;0,N40*100/L40,0)</f>
        <v>22.734921925246653</v>
      </c>
      <c r="P40" s="800">
        <f ca="1">IF(M40&gt;0,N40*100/M40,0)</f>
        <v>22.574405159869428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99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1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207420</v>
      </c>
      <c r="M44" s="79">
        <f ca="1">M45+M46</f>
        <v>210070</v>
      </c>
      <c r="N44" s="79">
        <f ca="1">N45+N46</f>
        <v>158302.57999999999</v>
      </c>
      <c r="O44" s="79">
        <f ca="1">IF(L44&gt;0,N44*100/L44,0)</f>
        <v>76.319824510654698</v>
      </c>
      <c r="P44" s="79">
        <f ca="1">IF(M44&gt;0,N44*100/M44,0)</f>
        <v>75.357061931737036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207420</v>
      </c>
      <c r="M46" s="83">
        <f ca="1">M49+M52</f>
        <v>210070</v>
      </c>
      <c r="N46" s="83">
        <f ca="1">N49+N52</f>
        <v>158302.57999999999</v>
      </c>
      <c r="O46" s="83">
        <f ca="1">IF(L46&gt;0,N46*100/L46,0)</f>
        <v>76.319824510654698</v>
      </c>
      <c r="P46" s="83">
        <f ca="1">IF(M46&gt;0,N46*100/M46,0)</f>
        <v>75.357061931737036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207420</v>
      </c>
      <c r="M47" s="47">
        <f ca="1">M48+M49</f>
        <v>210070</v>
      </c>
      <c r="N47" s="47">
        <f ca="1">N48+N49</f>
        <v>158302.57999999999</v>
      </c>
      <c r="O47" s="47">
        <f ca="1">IF(L47&gt;0,N47*100/L47,0)</f>
        <v>76.319824510654698</v>
      </c>
      <c r="P47" s="47">
        <f ca="1">IF(M47&gt;0,N47*100/M47,0)</f>
        <v>75.357061931737036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IFERROR(__xludf.DUMMYFUNCTION("IMPORTRANGE(""https://docs.google.com/spreadsheets/d/1-uDff_7J0KD5mKrp0Vvzr7lt3OU09vwQwhkpOPPYv2Y/edit?usp=sharing"",""งบพรบ!P81"")"),207420)</f>
        <v>207420</v>
      </c>
      <c r="M49" s="47">
        <f ca="1">IFERROR(__xludf.DUMMYFUNCTION("IMPORTRANGE(""https://docs.google.com/spreadsheets/d/1-uDff_7J0KD5mKrp0Vvzr7lt3OU09vwQwhkpOPPYv2Y/edit?usp=sharing"",""งบพรบ!V81"")"),210070)</f>
        <v>210070</v>
      </c>
      <c r="N49" s="47">
        <f ca="1">IFERROR(__xludf.DUMMYFUNCTION("IMPORTRANGE(""https://docs.google.com/spreadsheets/d/1-uDff_7J0KD5mKrp0Vvzr7lt3OU09vwQwhkpOPPYv2Y/edit?usp=sharing"",""งบพรบ!Y81"")"),158302.58)</f>
        <v>158302.57999999999</v>
      </c>
      <c r="O49" s="47">
        <f ca="1">IF(L49&gt;0,N49*100/L49,0)</f>
        <v>76.319824510654698</v>
      </c>
      <c r="P49" s="47">
        <f ca="1">IF(M49&gt;0,N49*100/M49,0)</f>
        <v>75.357061931737036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IFERROR(__xludf.DUMMYFUNCTION("IMPORTRANGE(""https://docs.google.com/spreadsheets/d/1-uDff_7J0KD5mKrp0Vvzr7lt3OU09vwQwhkpOPPYv2Y/edit?usp=sharing"",""งบพรบ!S81"")"),0)</f>
        <v>0</v>
      </c>
      <c r="M52" s="47">
        <f ca="1">IFERROR(__xludf.DUMMYFUNCTION("IMPORTRANGE(""https://docs.google.com/spreadsheets/d/1-uDff_7J0KD5mKrp0Vvzr7lt3OU09vwQwhkpOPPYv2Y/edit?usp=sharing"",""งบพรบ!W81"")"),0)</f>
        <v>0</v>
      </c>
      <c r="N52" s="47">
        <f ca="1">IFERROR(__xludf.DUMMYFUNCTION("IMPORTRANGE(""https://docs.google.com/spreadsheets/d/1-uDff_7J0KD5mKrp0Vvzr7lt3OU09vwQwhkpOPPYv2Y/edit?usp=sharing"",""งบพรบ!Z81"")"),0)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4127800</v>
      </c>
      <c r="M59" s="106">
        <f ca="1">M60+M61</f>
        <v>4127800</v>
      </c>
      <c r="N59" s="106">
        <f ca="1">N60+N61</f>
        <v>595670.84</v>
      </c>
      <c r="O59" s="106">
        <f ca="1">IF(L59&gt;0,N59*100/L59,0)</f>
        <v>14.430709821212268</v>
      </c>
      <c r="P59" s="106">
        <f ca="1">IF(M59&gt;0,N59*100/M59,0)</f>
        <v>14.430709821212268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4127800</v>
      </c>
      <c r="M61" s="109">
        <f ca="1">M64+M67</f>
        <v>4127800</v>
      </c>
      <c r="N61" s="109">
        <f ca="1">N64+N67</f>
        <v>595670.84</v>
      </c>
      <c r="O61" s="109">
        <f ca="1">IF(L61&gt;0,N61*100/L61,0)</f>
        <v>14.430709821212268</v>
      </c>
      <c r="P61" s="109">
        <f ca="1">IF(M61&gt;0,N61*100/M61,0)</f>
        <v>14.430709821212268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927800</v>
      </c>
      <c r="M62" s="47">
        <f ca="1">M63+M64</f>
        <v>927800</v>
      </c>
      <c r="N62" s="47">
        <f ca="1">N63+N64</f>
        <v>595670.84</v>
      </c>
      <c r="O62" s="47">
        <f ca="1">IF(L62&gt;0,N62*100/L62,0)</f>
        <v>64.202504850183232</v>
      </c>
      <c r="P62" s="47">
        <f ca="1">IF(M62&gt;0,N62*100/M62,0)</f>
        <v>64.202504850183232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IFERROR(__xludf.DUMMYFUNCTION("IMPORTRANGE(""https://docs.google.com/spreadsheets/d/1-uDff_7J0KD5mKrp0Vvzr7lt3OU09vwQwhkpOPPYv2Y/edit?usp=sharing"",""งบพรบ!AC81"")"),927800)</f>
        <v>927800</v>
      </c>
      <c r="M64" s="47">
        <f ca="1">IFERROR(__xludf.DUMMYFUNCTION("IMPORTRANGE(""https://docs.google.com/spreadsheets/d/1-uDff_7J0KD5mKrp0Vvzr7lt3OU09vwQwhkpOPPYv2Y/edit?usp=sharing"",""งบพรบ!AH81"")"),927800)</f>
        <v>927800</v>
      </c>
      <c r="N64" s="47">
        <f ca="1">IFERROR(__xludf.DUMMYFUNCTION("IMPORTRANGE(""https://docs.google.com/spreadsheets/d/1-uDff_7J0KD5mKrp0Vvzr7lt3OU09vwQwhkpOPPYv2Y/edit?usp=sharing"",""งบพรบ!AJ81"")"),595670.84)</f>
        <v>595670.84</v>
      </c>
      <c r="O64" s="47">
        <f ca="1">IF(L64&gt;0,N64*100/L64,0)</f>
        <v>64.202504850183232</v>
      </c>
      <c r="P64" s="47">
        <f ca="1">IF(M64&gt;0,N64*100/M64,0)</f>
        <v>64.202504850183232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3200000</v>
      </c>
      <c r="M65" s="47">
        <f ca="1">M66+M67</f>
        <v>3200000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IFERROR(__xludf.DUMMYFUNCTION("IMPORTRANGE(""https://docs.google.com/spreadsheets/d/1-uDff_7J0KD5mKrp0Vvzr7lt3OU09vwQwhkpOPPYv2Y/edit?usp=sharing"",""งบพรบ!AF81"")"),3200000)</f>
        <v>3200000</v>
      </c>
      <c r="M67" s="111">
        <f ca="1">IFERROR(__xludf.DUMMYFUNCTION("IMPORTRANGE(""https://docs.google.com/spreadsheets/d/1-uDff_7J0KD5mKrp0Vvzr7lt3OU09vwQwhkpOPPYv2Y/edit?usp=sharing"",""งบพรบ!AI81"")"),3200000)</f>
        <v>3200000</v>
      </c>
      <c r="N67" s="111">
        <f ca="1">IFERROR(__xludf.DUMMYFUNCTION("IMPORTRANGE(""https://docs.google.com/spreadsheets/d/1-uDff_7J0KD5mKrp0Vvzr7lt3OU09vwQwhkpOPPYv2Y/edit?usp=sharing"",""งบพรบ!AK81"")"),0)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hidden="1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0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IFERROR(__xludf.DUMMYFUNCTION("IMPORTRANGE(""https://docs.google.com/spreadsheets/d/1-uDff_7J0KD5mKrp0Vvzr7lt3OU09vwQwhkpOPPYv2Y/edit?usp=sharing"",""งบพรบ!AM81"")"),0)</f>
        <v>0</v>
      </c>
      <c r="M77" s="47">
        <f ca="1">IFERROR(__xludf.DUMMYFUNCTION("IMPORTRANGE(""https://docs.google.com/spreadsheets/d/1-uDff_7J0KD5mKrp0Vvzr7lt3OU09vwQwhkpOPPYv2Y/edit?usp=sharing"",""งบพรบ!AR81"")"),0)</f>
        <v>0</v>
      </c>
      <c r="N77" s="47">
        <f ca="1">IFERROR(__xludf.DUMMYFUNCTION("IMPORTRANGE(""https://docs.google.com/spreadsheets/d/1-uDff_7J0KD5mKrp0Vvzr7lt3OU09vwQwhkpOPPYv2Y/edit?usp=sharing"",""งบพรบ!AT81"")"),0)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IFERROR(__xludf.DUMMYFUNCTION("IMPORTRANGE(""https://docs.google.com/spreadsheets/d/1ItG2mGa2ceCfYo0BwxsXqNm01IGEUdYcSSLTEv9YCik/edit?usp=sharing"",""เบิกจ่ายกองทุน!BH81"")"),0)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IFERROR(__xludf.DUMMYFUNCTION("IMPORTRANGE(""https://docs.google.com/spreadsheets/d/1ItG2mGa2ceCfYo0BwxsXqNm01IGEUdYcSSLTEv9YCik/edit?usp=sharing"",""เบิกจ่ายกองทุน!BI81"")"),0)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IFERROR(__xludf.DUMMYFUNCTION("IMPORTRANGE(""https://docs.google.com/spreadsheets/d/1ItG2mGa2ceCfYo0BwxsXqNm01IGEUdYcSSLTEv9YCik/edit?usp=sharing"",""เบิกจ่ายกองทุน!BJ81"")"),0)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IFERROR(__xludf.DUMMYFUNCTION("IMPORTRANGE(""https://docs.google.com/spreadsheets/d/1-uDff_7J0KD5mKrp0Vvzr7lt3OU09vwQwhkpOPPYv2Y/edit?usp=sharing"",""งบพรบ!AP81"")"),0)</f>
        <v>0</v>
      </c>
      <c r="M80" s="47">
        <f ca="1">IFERROR(__xludf.DUMMYFUNCTION("IMPORTRANGE(""https://docs.google.com/spreadsheets/d/1-uDff_7J0KD5mKrp0Vvzr7lt3OU09vwQwhkpOPPYv2Y/edit?usp=sharing"",""งบพรบ!AS81"")"),0)</f>
        <v>0</v>
      </c>
      <c r="N80" s="47">
        <f ca="1">IFERROR(__xludf.DUMMYFUNCTION("IMPORTRANGE(""https://docs.google.com/spreadsheets/d/1-uDff_7J0KD5mKrp0Vvzr7lt3OU09vwQwhkpOPPYv2Y/edit?usp=sharing"",""งบพรบ!AU81"")"),0)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IFERROR(__xludf.DUMMYFUNCTION("IMPORTRANGE(""https://docs.google.com/spreadsheets/d/1ItG2mGa2ceCfYo0BwxsXqNm01IGEUdYcSSLTEv9YCik/edit?usp=sharing"",""เบิกจ่ายกองทุน!BK81"")"),0)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IFERROR(__xludf.DUMMYFUNCTION("IMPORTRANGE(""https://docs.google.com/spreadsheets/d/1ItG2mGa2ceCfYo0BwxsXqNm01IGEUdYcSSLTEv9YCik/edit?usp=sharing"",""เบิกจ่ายกองทุน!BL81"")"),0)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IFERROR(__xludf.DUMMYFUNCTION("IMPORTRANGE(""https://docs.google.com/spreadsheets/d/1ItG2mGa2ceCfYo0BwxsXqNm01IGEUdYcSSLTEv9YCik/edit?usp=sharing"",""เบิกจ่ายกองทุน!BM81"")"),0)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IFERROR(__xludf.DUMMYFUNCTION("IMPORTRANGE(""https://docs.google.com/spreadsheets/d/1eHaY18a8A9IcSdp1K8H6x8fbOy06t2VsZHhMHf-1x7Y/edit?usp=sharing"",""แผน!H81"")"),0)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IFERROR(__xludf.DUMMYFUNCTION("IMPORTRANGE(""https://docs.google.com/spreadsheets/d/1eHaY18a8A9IcSdp1K8H6x8fbOy06t2VsZHhMHf-1x7Y/edit?usp=sharing"",""แผน!I81"")"),0)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IFERROR(__xludf.DUMMYFUNCTION("IMPORTRANGE(""https://docs.google.com/spreadsheets/d/1eHaY18a8A9IcSdp1K8H6x8fbOy06t2VsZHhMHf-1x7Y/edit?usp=sharing"",""แผน!F81"")"),0)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IFERROR(__xludf.DUMMYFUNCTION("IMPORTRANGE(""https://docs.google.com/spreadsheets/d/1eHaY18a8A9IcSdp1K8H6x8fbOy06t2VsZHhMHf-1x7Y/edit?usp=sharing"",""แผน!G81"")"),0)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IFERROR(__xludf.DUMMYFUNCTION("IMPORTRANGE(""https://docs.google.com/spreadsheets/d/1eHaY18a8A9IcSdp1K8H6x8fbOy06t2VsZHhMHf-1x7Y/edit?usp=sharing"",""แผน!D81"")"),0)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IFERROR(__xludf.DUMMYFUNCTION("IMPORTRANGE(""https://docs.google.com/spreadsheets/d/1eHaY18a8A9IcSdp1K8H6x8fbOy06t2VsZHhMHf-1x7Y/edit?usp=sharing"",""แผน!E81"")"),0)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IFERROR(__xludf.DUMMYFUNCTION("IMPORTRANGE(""https://docs.google.com/spreadsheets/d/1eHaY18a8A9IcSdp1K8H6x8fbOy06t2VsZHhMHf-1x7Y/edit?usp=sharing"",""แผน!J81"")"),0)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30</v>
      </c>
      <c r="K92" s="35">
        <f ca="1">IF(I92&gt;0,J92*100/I92,0)</f>
        <v>100</v>
      </c>
      <c r="L92" s="58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10</v>
      </c>
      <c r="K93" s="35">
        <f ca="1">IF(I93&gt;0,J93*100/I93,0)</f>
        <v>100</v>
      </c>
      <c r="L93" s="58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590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6000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730</v>
      </c>
      <c r="T94" s="132">
        <f ca="1">IF(Q94&gt;0,S94*100/Q94,0)</f>
        <v>0.86472399905235731</v>
      </c>
      <c r="U94" s="132">
        <f ca="1">IF(R94&gt;0,S94*100/R94,0)</f>
        <v>0.86472399905235731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6000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84420</v>
      </c>
      <c r="R96" s="47">
        <f ca="1">R99+R102</f>
        <v>84420</v>
      </c>
      <c r="S96" s="47">
        <f ca="1">S99+S102</f>
        <v>730</v>
      </c>
      <c r="T96" s="47">
        <f ca="1">IF(Q96&gt;0,S96*100/Q96,0)</f>
        <v>0.86472399905235731</v>
      </c>
      <c r="U96" s="47">
        <f ca="1">IF(R96&gt;0,S96*100/R96,0)</f>
        <v>0.86472399905235731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6000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84420</v>
      </c>
      <c r="R97" s="47">
        <f ca="1">R98+R99</f>
        <v>84420</v>
      </c>
      <c r="S97" s="47">
        <f ca="1">S98+S99</f>
        <v>730</v>
      </c>
      <c r="T97" s="47">
        <f ca="1">IF(Q97&gt;0,S97*100/Q97,0)</f>
        <v>0.86472399905235731</v>
      </c>
      <c r="U97" s="47">
        <f ca="1">IF(R97&gt;0,S97*100/R97,0)</f>
        <v>0.86472399905235731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IFERROR(__xludf.DUMMYFUNCTION("IMPORTRANGE(""https://docs.google.com/spreadsheets/d/1-uDff_7J0KD5mKrp0Vvzr7lt3OU09vwQwhkpOPPYv2Y/edit?usp=sharing"",""งบพรบ!AW81"")"),0)</f>
        <v>0</v>
      </c>
      <c r="M99" s="47">
        <f ca="1">IFERROR(__xludf.DUMMYFUNCTION("IMPORTRANGE(""https://docs.google.com/spreadsheets/d/1-uDff_7J0KD5mKrp0Vvzr7lt3OU09vwQwhkpOPPYv2Y/edit?usp=sharing"",""งบพรบ!BB81"")"),6000)</f>
        <v>6000</v>
      </c>
      <c r="N99" s="47">
        <f ca="1">IFERROR(__xludf.DUMMYFUNCTION("IMPORTRANGE(""https://docs.google.com/spreadsheets/d/1-uDff_7J0KD5mKrp0Vvzr7lt3OU09vwQwhkpOPPYv2Y/edit?usp=sharing"",""งบพรบ!BD81"")"),0)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IFERROR(__xludf.DUMMYFUNCTION("IMPORTRANGE(""https://docs.google.com/spreadsheets/d/1ItG2mGa2ceCfYo0BwxsXqNm01IGEUdYcSSLTEv9YCik/edit?usp=sharing"",""เบิกจ่ายกองทุน!AJ81"")"),84420)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IFERROR(__xludf.DUMMYFUNCTION("IMPORTRANGE(""https://docs.google.com/spreadsheets/d/1ItG2mGa2ceCfYo0BwxsXqNm01IGEUdYcSSLTEv9YCik/edit?usp=sharing"",""เบิกจ่ายกองทุน!AK81"")"),84420)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IFERROR(__xludf.DUMMYFUNCTION("IMPORTRANGE(""https://docs.google.com/spreadsheets/d/1ItG2mGa2ceCfYo0BwxsXqNm01IGEUdYcSSLTEv9YCik/edit?usp=sharing"",""เบิกจ่ายกองทุน!AL81"")"),730)</f>
        <v>730</v>
      </c>
      <c r="T99" s="47">
        <f ca="1">IF(Q99&gt;0,S99*100/Q99,0)</f>
        <v>0.86472399905235731</v>
      </c>
      <c r="U99" s="47">
        <f ca="1">IF(R99&gt;0,S99*100/R99,0)</f>
        <v>0.86472399905235731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IFERROR(__xludf.DUMMYFUNCTION("IMPORTRANGE(""https://docs.google.com/spreadsheets/d/1-uDff_7J0KD5mKrp0Vvzr7lt3OU09vwQwhkpOPPYv2Y/edit?usp=sharing"",""งบพรบ!AZ81"")"),0)</f>
        <v>0</v>
      </c>
      <c r="M102" s="47">
        <f ca="1">IFERROR(__xludf.DUMMYFUNCTION("IMPORTRANGE(""https://docs.google.com/spreadsheets/d/1-uDff_7J0KD5mKrp0Vvzr7lt3OU09vwQwhkpOPPYv2Y/edit?usp=sharing"",""งบพรบ!BC81"")"),0)</f>
        <v>0</v>
      </c>
      <c r="N102" s="47">
        <f ca="1">IFERROR(__xludf.DUMMYFUNCTION("IMPORTRANGE(""https://docs.google.com/spreadsheets/d/1-uDff_7J0KD5mKrp0Vvzr7lt3OU09vwQwhkpOPPYv2Y/edit?usp=sharing"",""งบพรบ!BE81"")"),0)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1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1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1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IFERROR(__xludf.DUMMYFUNCTION("IMPORTRANGE(""https://docs.google.com/spreadsheets/d/1eHaY18a8A9IcSdp1K8H6x8fbOy06t2VsZHhMHf-1x7Y/edit?usp=sharing"",""แผน!N81"")"),30)</f>
        <v>30</v>
      </c>
      <c r="J108" s="167">
        <v>30</v>
      </c>
      <c r="K108" s="47">
        <f ca="1">IF(I108&gt;0,J108*100/I108,0)</f>
        <v>100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IFERROR(__xludf.DUMMYFUNCTION("IMPORTRANGE(""https://docs.google.com/spreadsheets/d/1eHaY18a8A9IcSdp1K8H6x8fbOy06t2VsZHhMHf-1x7Y/edit?usp=sharing"",""แผน!O81"")"),10)</f>
        <v>10</v>
      </c>
      <c r="J109" s="167">
        <v>10</v>
      </c>
      <c r="K109" s="47">
        <f ca="1">IF(I109&gt;0,J109*100/I109,0)</f>
        <v>100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1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1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1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IFERROR(__xludf.DUMMYFUNCTION("IMPORTRANGE(""https://docs.google.com/spreadsheets/d/1eHaY18a8A9IcSdp1K8H6x8fbOy06t2VsZHhMHf-1x7Y/edit?usp=sharing"",""แผน!N81"")"),30)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IFERROR(__xludf.DUMMYFUNCTION("IMPORTRANGE(""https://docs.google.com/spreadsheets/d/1eHaY18a8A9IcSdp1K8H6x8fbOy06t2VsZHhMHf-1x7Y/edit?usp=sharing"",""แผน!O81"")"),10)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8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9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92224</v>
      </c>
      <c r="T117" s="132">
        <f ca="1">IF(Q117&gt;0,S117*100/Q117,0)</f>
        <v>48.168808106131827</v>
      </c>
      <c r="U117" s="132">
        <f ca="1">IF(R117&gt;0,S117*100/R117,0)</f>
        <v>48.168808106131827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191460</v>
      </c>
      <c r="R119" s="47">
        <f ca="1">R122+R125</f>
        <v>191460</v>
      </c>
      <c r="S119" s="47">
        <f ca="1">S122+S125</f>
        <v>92224</v>
      </c>
      <c r="T119" s="47">
        <f ca="1">IF(Q119&gt;0,S119*100/Q119,0)</f>
        <v>48.168808106131827</v>
      </c>
      <c r="U119" s="47">
        <f ca="1">IF(R119&gt;0,S119*100/R119,0)</f>
        <v>48.168808106131827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92224</v>
      </c>
      <c r="T120" s="47">
        <f ca="1">IF(Q120&gt;0,S120*100/Q120,0)</f>
        <v>48.168808106131827</v>
      </c>
      <c r="U120" s="47">
        <f ca="1">IF(R120&gt;0,S120*100/R120,0)</f>
        <v>48.168808106131827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IFERROR(__xludf.DUMMYFUNCTION("IMPORTRANGE(""https://docs.google.com/spreadsheets/d/1-uDff_7J0KD5mKrp0Vvzr7lt3OU09vwQwhkpOPPYv2Y/edit?usp=sharing"",""งบพรบ!BG81"")"),0)</f>
        <v>0</v>
      </c>
      <c r="M122" s="47">
        <f ca="1">IFERROR(__xludf.DUMMYFUNCTION("IMPORTRANGE(""https://docs.google.com/spreadsheets/d/1-uDff_7J0KD5mKrp0Vvzr7lt3OU09vwQwhkpOPPYv2Y/edit?usp=sharing"",""งบพรบ!BL81"")"),0)</f>
        <v>0</v>
      </c>
      <c r="N122" s="47">
        <f ca="1">IFERROR(__xludf.DUMMYFUNCTION("IMPORTRANGE(""https://docs.google.com/spreadsheets/d/1-uDff_7J0KD5mKrp0Vvzr7lt3OU09vwQwhkpOPPYv2Y/edit?usp=sharing"",""งบพรบ!BN81"")"),0)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IFERROR(__xludf.DUMMYFUNCTION("IMPORTRANGE(""https://docs.google.com/spreadsheets/d/1ItG2mGa2ceCfYo0BwxsXqNm01IGEUdYcSSLTEv9YCik/edit?usp=sharing"",""เบิกจ่ายกองทุน!U81"")"),191460)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IFERROR(__xludf.DUMMYFUNCTION("IMPORTRANGE(""https://docs.google.com/spreadsheets/d/1ItG2mGa2ceCfYo0BwxsXqNm01IGEUdYcSSLTEv9YCik/edit?usp=sharing"",""เบิกจ่ายกองทุน!V81"")"),191460)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IFERROR(__xludf.DUMMYFUNCTION("IMPORTRANGE(""https://docs.google.com/spreadsheets/d/1ItG2mGa2ceCfYo0BwxsXqNm01IGEUdYcSSLTEv9YCik/edit?usp=sharing"",""เบิกจ่ายกองทุน!W81"")"),92224)</f>
        <v>92224</v>
      </c>
      <c r="T122" s="47">
        <f ca="1">IF(Q122&gt;0,S122*100/Q122,0)</f>
        <v>48.168808106131827</v>
      </c>
      <c r="U122" s="47">
        <f ca="1">IF(R122&gt;0,S122*100/R122,0)</f>
        <v>48.168808106131827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IFERROR(__xludf.DUMMYFUNCTION("IMPORTRANGE(""https://docs.google.com/spreadsheets/d/1-uDff_7J0KD5mKrp0Vvzr7lt3OU09vwQwhkpOPPYv2Y/edit?usp=sharing"",""งบพรบ!BJ81"")"),0)</f>
        <v>0</v>
      </c>
      <c r="M125" s="47">
        <f ca="1">IFERROR(__xludf.DUMMYFUNCTION("IMPORTRANGE(""https://docs.google.com/spreadsheets/d/1-uDff_7J0KD5mKrp0Vvzr7lt3OU09vwQwhkpOPPYv2Y/edit?usp=sharing"",""งบพรบ!BM81"")"),0)</f>
        <v>0</v>
      </c>
      <c r="N125" s="47">
        <f ca="1">IFERROR(__xludf.DUMMYFUNCTION("IMPORTRANGE(""https://docs.google.com/spreadsheets/d/1-uDff_7J0KD5mKrp0Vvzr7lt3OU09vwQwhkpOPPYv2Y/edit?usp=sharing"",""งบพรบ!BO81"")"),0)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IFERROR(__xludf.DUMMYFUNCTION("IMPORTRANGE(""https://docs.google.com/spreadsheets/d/1ItG2mGa2ceCfYo0BwxsXqNm01IGEUdYcSSLTEv9YCik/edit?usp=sharing"",""เบิกจ่ายกองทุน!X81"")"),0)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IFERROR(__xludf.DUMMYFUNCTION("IMPORTRANGE(""https://docs.google.com/spreadsheets/d/1ItG2mGa2ceCfYo0BwxsXqNm01IGEUdYcSSLTEv9YCik/edit?usp=sharing"",""เบิกจ่ายกองทุน!Y81"")"),0)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IFERROR(__xludf.DUMMYFUNCTION("IMPORTRANGE(""https://docs.google.com/spreadsheets/d/1ItG2mGa2ceCfYo0BwxsXqNm01IGEUdYcSSLTEv9YCik/edit?usp=sharing"",""เบิกจ่ายกองทุน!Z81"")"),0)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IFERROR(__xludf.DUMMYFUNCTION("IMPORTRANGE(""https://docs.google.com/spreadsheets/d/1eHaY18a8A9IcSdp1K8H6x8fbOy06t2VsZHhMHf-1x7Y/edit?usp=sharing"",""แผน!FF81"")"),15)</f>
        <v>15</v>
      </c>
      <c r="J127" s="167">
        <v>15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IFERROR(__xludf.DUMMYFUNCTION("IMPORTRANGE(""https://docs.google.com/spreadsheets/d/1eHaY18a8A9IcSdp1K8H6x8fbOy06t2VsZHhMHf-1x7Y/edit?usp=sharing"",""แผน!FG81"")"),0)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IFERROR(__xludf.DUMMYFUNCTION("IMPORTRANGE(""https://docs.google.com/spreadsheets/d/1eHaY18a8A9IcSdp1K8H6x8fbOy06t2VsZHhMHf-1x7Y/edit?usp=sharing"",""แผน!FH81"")"),15)</f>
        <v>15</v>
      </c>
      <c r="J129" s="167">
        <v>15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IFERROR(__xludf.DUMMYFUNCTION("IMPORTRANGE(""https://docs.google.com/spreadsheets/d/1eHaY18a8A9IcSdp1K8H6x8fbOy06t2VsZHhMHf-1x7Y/edit?usp=sharing"",""แผน!FI81"")"),0)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1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IFERROR(__xludf.DUMMYFUNCTION("IMPORTRANGE(""https://docs.google.com/spreadsheets/d/1-uDff_7J0KD5mKrp0Vvzr7lt3OU09vwQwhkpOPPYv2Y/edit?usp=sharing"",""งบพรบ!BQ81"")"),0)</f>
        <v>0</v>
      </c>
      <c r="M144" s="47">
        <f ca="1">IFERROR(__xludf.DUMMYFUNCTION("IMPORTRANGE(""https://docs.google.com/spreadsheets/d/1-uDff_7J0KD5mKrp0Vvzr7lt3OU09vwQwhkpOPPYv2Y/edit?usp=sharing"",""งบพรบ!BV81"")"),0)</f>
        <v>0</v>
      </c>
      <c r="N144" s="47">
        <f ca="1">IFERROR(__xludf.DUMMYFUNCTION("IMPORTRANGE(""https://docs.google.com/spreadsheets/d/1-uDff_7J0KD5mKrp0Vvzr7lt3OU09vwQwhkpOPPYv2Y/edit?usp=sharing"",""งบพรบ!BX81"")"),0)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IFERROR(__xludf.DUMMYFUNCTION("IMPORTRANGE(""https://docs.google.com/spreadsheets/d/1ItG2mGa2ceCfYo0BwxsXqNm01IGEUdYcSSLTEv9YCik/edit?usp=sharing"",""เบิกจ่ายกองทุน!CF81"")"),0)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IFERROR(__xludf.DUMMYFUNCTION("IMPORTRANGE(""https://docs.google.com/spreadsheets/d/1ItG2mGa2ceCfYo0BwxsXqNm01IGEUdYcSSLTEv9YCik/edit?usp=sharing"",""เบิกจ่ายกองทุน!CG81"")"),0)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IFERROR(__xludf.DUMMYFUNCTION("IMPORTRANGE(""https://docs.google.com/spreadsheets/d/1ItG2mGa2ceCfYo0BwxsXqNm01IGEUdYcSSLTEv9YCik/edit?usp=sharing"",""เบิกจ่ายกองทุน!CH81"")"),0)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IFERROR(__xludf.DUMMYFUNCTION("IMPORTRANGE(""https://docs.google.com/spreadsheets/d/1-uDff_7J0KD5mKrp0Vvzr7lt3OU09vwQwhkpOPPYv2Y/edit?usp=sharing"",""งบพรบ!BT81"")"),0)</f>
        <v>0</v>
      </c>
      <c r="M147" s="47">
        <f ca="1">IFERROR(__xludf.DUMMYFUNCTION("IMPORTRANGE(""https://docs.google.com/spreadsheets/d/1-uDff_7J0KD5mKrp0Vvzr7lt3OU09vwQwhkpOPPYv2Y/edit?usp=sharing"",""งบพรบ!BW81"")"),0)</f>
        <v>0</v>
      </c>
      <c r="N147" s="47">
        <f ca="1">IFERROR(__xludf.DUMMYFUNCTION("IMPORTRANGE(""https://docs.google.com/spreadsheets/d/1-uDff_7J0KD5mKrp0Vvzr7lt3OU09vwQwhkpOPPYv2Y/edit?usp=sharing"",""งบพรบ!BY81"")"),0)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IFERROR(__xludf.DUMMYFUNCTION("IMPORTRANGE(""https://docs.google.com/spreadsheets/d/1ItG2mGa2ceCfYo0BwxsXqNm01IGEUdYcSSLTEv9YCik/edit?usp=sharing"",""เบิกจ่ายกองทุน!CI81"")"),0)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IFERROR(__xludf.DUMMYFUNCTION("IMPORTRANGE(""https://docs.google.com/spreadsheets/d/1ItG2mGa2ceCfYo0BwxsXqNm01IGEUdYcSSLTEv9YCik/edit?usp=sharing"",""เบิกจ่ายกองทุน!CJ81"")"),0)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IFERROR(__xludf.DUMMYFUNCTION("IMPORTRANGE(""https://docs.google.com/spreadsheets/d/1ItG2mGa2ceCfYo0BwxsXqNm01IGEUdYcSSLTEv9YCik/edit?usp=sharing"",""เบิกจ่ายกองทุน!CK81"")"),0)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IFERROR(__xludf.DUMMYFUNCTION("IMPORTRANGE(""https://docs.google.com/spreadsheets/d/1eHaY18a8A9IcSdp1K8H6x8fbOy06t2VsZHhMHf-1x7Y/edit?usp=sharing"",""แผน!U81"")"),0)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IFERROR(__xludf.DUMMYFUNCTION("IMPORTRANGE(""https://docs.google.com/spreadsheets/d/1eHaY18a8A9IcSdp1K8H6x8fbOy06t2VsZHhMHf-1x7Y/edit?usp=sharing"",""แผน!V81"")"),0)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IFERROR(__xludf.DUMMYFUNCTION("IMPORTRANGE(""https://docs.google.com/spreadsheets/d/1eHaY18a8A9IcSdp1K8H6x8fbOy06t2VsZHhMHf-1x7Y/edit?usp=sharing"",""แผน!W81"")"),0)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IFERROR(__xludf.DUMMYFUNCTION("IMPORTRANGE(""https://docs.google.com/spreadsheets/d/1eHaY18a8A9IcSdp1K8H6x8fbOy06t2VsZHhMHf-1x7Y/edit?usp=sharing"",""แผน!X81"")"),0)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IFERROR(__xludf.DUMMYFUNCTION("IMPORTRANGE(""https://docs.google.com/spreadsheets/d/1eHaY18a8A9IcSdp1K8H6x8fbOy06t2VsZHhMHf-1x7Y/edit?usp=sharing"",""แผน!Y81"")"),0)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59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12060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12060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12060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IFERROR(__xludf.DUMMYFUNCTION("IMPORTRANGE(""https://docs.google.com/spreadsheets/d/1-uDff_7J0KD5mKrp0Vvzr7lt3OU09vwQwhkpOPPYv2Y/edit?usp=sharing"",""งบพรบ!CA81"")"),0)</f>
        <v>0</v>
      </c>
      <c r="M162" s="47">
        <f ca="1">IFERROR(__xludf.DUMMYFUNCTION("IMPORTRANGE(""https://docs.google.com/spreadsheets/d/1-uDff_7J0KD5mKrp0Vvzr7lt3OU09vwQwhkpOPPYv2Y/edit?usp=sharing"",""งบพรบ!CF81"")"),12060)</f>
        <v>12060</v>
      </c>
      <c r="N162" s="47">
        <f ca="1">IFERROR(__xludf.DUMMYFUNCTION("IMPORTRANGE(""https://docs.google.com/spreadsheets/d/1-uDff_7J0KD5mKrp0Vvzr7lt3OU09vwQwhkpOPPYv2Y/edit?usp=sharing"",""งบพรบ!CH81"")"),0)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IFERROR(__xludf.DUMMYFUNCTION("IMPORTRANGE(""https://docs.google.com/spreadsheets/d/1ItG2mGa2ceCfYo0BwxsXqNm01IGEUdYcSSLTEv9YCik/edit?usp=sharing"",""เบิกจ่ายกองทุน!AM81"")"),0)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IFERROR(__xludf.DUMMYFUNCTION("IMPORTRANGE(""https://docs.google.com/spreadsheets/d/1ItG2mGa2ceCfYo0BwxsXqNm01IGEUdYcSSLTEv9YCik/edit?usp=sharing"",""เบิกจ่ายกองทุน!AN81"")"),0)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IFERROR(__xludf.DUMMYFUNCTION("IMPORTRANGE(""https://docs.google.com/spreadsheets/d/1ItG2mGa2ceCfYo0BwxsXqNm01IGEUdYcSSLTEv9YCik/edit?usp=sharing"",""เบิกจ่ายกองทุน!AO81"")"),0)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IFERROR(__xludf.DUMMYFUNCTION("IMPORTRANGE(""https://docs.google.com/spreadsheets/d/1-uDff_7J0KD5mKrp0Vvzr7lt3OU09vwQwhkpOPPYv2Y/edit?usp=sharing"",""งบพรบ!CD81"")"),0)</f>
        <v>0</v>
      </c>
      <c r="M165" s="47">
        <f ca="1">IFERROR(__xludf.DUMMYFUNCTION("IMPORTRANGE(""https://docs.google.com/spreadsheets/d/1-uDff_7J0KD5mKrp0Vvzr7lt3OU09vwQwhkpOPPYv2Y/edit?usp=sharing"",""งบพรบ!CG81"")"),0)</f>
        <v>0</v>
      </c>
      <c r="N165" s="47">
        <f ca="1">IFERROR(__xludf.DUMMYFUNCTION("IMPORTRANGE(""https://docs.google.com/spreadsheets/d/1-uDff_7J0KD5mKrp0Vvzr7lt3OU09vwQwhkpOPPYv2Y/edit?usp=sharing"",""งบพรบ!CI81"")"),0)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IFERROR(__xludf.DUMMYFUNCTION("IMPORTRANGE(""https://docs.google.com/spreadsheets/d/1eHaY18a8A9IcSdp1K8H6x8fbOy06t2VsZHhMHf-1x7Y/edit?usp=sharing"",""แผน!Z81"")"),0)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IFERROR(__xludf.DUMMYFUNCTION("IMPORTRANGE(""https://docs.google.com/spreadsheets/d/1eHaY18a8A9IcSdp1K8H6x8fbOy06t2VsZHhMHf-1x7Y/edit?usp=sharing"",""แผน!Z81"")"),0)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IFERROR(__xludf.DUMMYFUNCTION("IMPORTRANGE(""https://docs.google.com/spreadsheets/d/1eHaY18a8A9IcSdp1K8H6x8fbOy06t2VsZHhMHf-1x7Y/edit?usp=sharing"",""แผน!Z81"")"),0)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59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36580</v>
      </c>
      <c r="N173" s="132">
        <f ca="1">N174+N175</f>
        <v>34540</v>
      </c>
      <c r="O173" s="132">
        <f ca="1">IF(L173&gt;0,N173*100/L173,0)</f>
        <v>176.31444614599286</v>
      </c>
      <c r="P173" s="132">
        <f ca="1">IF(M173&gt;0,N173*100/M173,0)</f>
        <v>94.42318206670312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36580</v>
      </c>
      <c r="N175" s="47">
        <f ca="1">N178+N181</f>
        <v>34540</v>
      </c>
      <c r="O175" s="47">
        <f ca="1">IF(L175&gt;0,N175*100/L175,0)</f>
        <v>176.31444614599286</v>
      </c>
      <c r="P175" s="47">
        <f ca="1">IF(M175&gt;0,N175*100/M175,0)</f>
        <v>94.42318206670312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36580</v>
      </c>
      <c r="N176" s="47">
        <f ca="1">N177+N178</f>
        <v>34540</v>
      </c>
      <c r="O176" s="47">
        <f ca="1">IF(L176&gt;0,N176*100/L176,0)</f>
        <v>176.31444614599286</v>
      </c>
      <c r="P176" s="47">
        <f ca="1">IF(M176&gt;0,N176*100/M176,0)</f>
        <v>94.42318206670312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IFERROR(__xludf.DUMMYFUNCTION("IMPORTRANGE(""https://docs.google.com/spreadsheets/d/1-uDff_7J0KD5mKrp0Vvzr7lt3OU09vwQwhkpOPPYv2Y/edit?usp=sharing"",""งบพรบ!CK81"")"),19590)</f>
        <v>19590</v>
      </c>
      <c r="M178" s="47">
        <f ca="1">IFERROR(__xludf.DUMMYFUNCTION("IMPORTRANGE(""https://docs.google.com/spreadsheets/d/1-uDff_7J0KD5mKrp0Vvzr7lt3OU09vwQwhkpOPPYv2Y/edit?usp=sharing"",""งบพรบ!CP81"")"),36580)</f>
        <v>36580</v>
      </c>
      <c r="N178" s="47">
        <f ca="1">IFERROR(__xludf.DUMMYFUNCTION("IMPORTRANGE(""https://docs.google.com/spreadsheets/d/1-uDff_7J0KD5mKrp0Vvzr7lt3OU09vwQwhkpOPPYv2Y/edit?usp=sharing"",""งบพรบ!CR81"")"),34540)</f>
        <v>34540</v>
      </c>
      <c r="O178" s="47">
        <f ca="1">IF(L178&gt;0,N178*100/L178,0)</f>
        <v>176.31444614599286</v>
      </c>
      <c r="P178" s="47">
        <f ca="1">IF(M178&gt;0,N178*100/M178,0)</f>
        <v>94.42318206670312</v>
      </c>
      <c r="Q178" s="47">
        <f ca="1">IFERROR(__xludf.DUMMYFUNCTION("IMPORTRANGE(""https://docs.google.com/spreadsheets/d/1ItG2mGa2ceCfYo0BwxsXqNm01IGEUdYcSSLTEv9YCik/edit?usp=sharing"",""เบิกจ่ายกองทุน!DG81"")"),0)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IFERROR(__xludf.DUMMYFUNCTION("IMPORTRANGE(""https://docs.google.com/spreadsheets/d/1ItG2mGa2ceCfYo0BwxsXqNm01IGEUdYcSSLTEv9YCik/edit?usp=sharing"",""เบิกจ่ายกองทุน!DH81"")"),0)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IFERROR(__xludf.DUMMYFUNCTION("IMPORTRANGE(""https://docs.google.com/spreadsheets/d/1ItG2mGa2ceCfYo0BwxsXqNm01IGEUdYcSSLTEv9YCik/edit?usp=sharing"",""เบิกจ่ายกองทุน!DI81"")"),0)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IFERROR(__xludf.DUMMYFUNCTION("IMPORTRANGE(""https://docs.google.com/spreadsheets/d/1-uDff_7J0KD5mKrp0Vvzr7lt3OU09vwQwhkpOPPYv2Y/edit?usp=sharing"",""งบพรบ!CN81"")"),0)</f>
        <v>0</v>
      </c>
      <c r="M181" s="47">
        <f ca="1">IFERROR(__xludf.DUMMYFUNCTION("IMPORTRANGE(""https://docs.google.com/spreadsheets/d/1-uDff_7J0KD5mKrp0Vvzr7lt3OU09vwQwhkpOPPYv2Y/edit?usp=sharing"",""งบพรบ!CQ81"")"),0)</f>
        <v>0</v>
      </c>
      <c r="N181" s="47">
        <f ca="1">IFERROR(__xludf.DUMMYFUNCTION("IMPORTRANGE(""https://docs.google.com/spreadsheets/d/1-uDff_7J0KD5mKrp0Vvzr7lt3OU09vwQwhkpOPPYv2Y/edit?usp=sharing"",""งบพรบ!CS81"")"),0)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IFERROR(__xludf.DUMMYFUNCTION("IMPORTRANGE(""https://docs.google.com/spreadsheets/d/1eHaY18a8A9IcSdp1K8H6x8fbOy06t2VsZHhMHf-1x7Y/edit?usp=sharing"",""แผน!AA81"")"),7)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9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105500</v>
      </c>
      <c r="M186" s="132">
        <f ca="1">M187+M188</f>
        <v>105500</v>
      </c>
      <c r="N186" s="132">
        <f ca="1">N187+N188</f>
        <v>88770.5</v>
      </c>
      <c r="O186" s="132">
        <f ca="1">IF(L186&gt;0,N186*100/L186,0)</f>
        <v>84.142654028436013</v>
      </c>
      <c r="P186" s="132">
        <f ca="1">IF(M186&gt;0,N186*100/M186,0)</f>
        <v>84.142654028436013</v>
      </c>
      <c r="Q186" s="132">
        <f ca="1">Q187+Q188</f>
        <v>28000</v>
      </c>
      <c r="R186" s="132">
        <f ca="1">R187+R188</f>
        <v>28000</v>
      </c>
      <c r="S186" s="132">
        <f ca="1">S187+S188</f>
        <v>28000</v>
      </c>
      <c r="T186" s="132">
        <f ca="1">IF(Q186&gt;0,S186*100/Q186,0)</f>
        <v>100</v>
      </c>
      <c r="U186" s="132">
        <f ca="1">IF(R186&gt;0,S186*100/R186,0)</f>
        <v>100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105500</v>
      </c>
      <c r="M188" s="47">
        <f ca="1">M191+M194</f>
        <v>105500</v>
      </c>
      <c r="N188" s="47">
        <f ca="1">N191+N194</f>
        <v>88770.5</v>
      </c>
      <c r="O188" s="47">
        <f ca="1">IF(L188&gt;0,N188*100/L188,0)</f>
        <v>84.142654028436013</v>
      </c>
      <c r="P188" s="47">
        <f ca="1">IF(M188&gt;0,N188*100/M188,0)</f>
        <v>84.142654028436013</v>
      </c>
      <c r="Q188" s="47">
        <f ca="1">Q191+Q194</f>
        <v>28000</v>
      </c>
      <c r="R188" s="47">
        <f ca="1">R191+R194</f>
        <v>28000</v>
      </c>
      <c r="S188" s="47">
        <f ca="1">S191+S194</f>
        <v>28000</v>
      </c>
      <c r="T188" s="47">
        <f ca="1">IF(Q188&gt;0,S188*100/Q188,0)</f>
        <v>100</v>
      </c>
      <c r="U188" s="47">
        <f ca="1">IF(R188&gt;0,S188*100/R188,0)</f>
        <v>100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105500</v>
      </c>
      <c r="M189" s="47">
        <f ca="1">M190+M191</f>
        <v>105500</v>
      </c>
      <c r="N189" s="47">
        <f ca="1">N190+N191</f>
        <v>88770.5</v>
      </c>
      <c r="O189" s="47">
        <f ca="1">IF(L189&gt;0,N189*100/L189,0)</f>
        <v>84.142654028436013</v>
      </c>
      <c r="P189" s="47">
        <f ca="1">IF(M189&gt;0,N189*100/M189,0)</f>
        <v>84.142654028436013</v>
      </c>
      <c r="Q189" s="47">
        <f ca="1">Q190+Q191</f>
        <v>28000</v>
      </c>
      <c r="R189" s="47">
        <f ca="1">R190+R191</f>
        <v>28000</v>
      </c>
      <c r="S189" s="47">
        <f ca="1">S190+S191</f>
        <v>28000</v>
      </c>
      <c r="T189" s="47">
        <f ca="1">IF(Q189&gt;0,S189*100/Q189,0)</f>
        <v>100</v>
      </c>
      <c r="U189" s="47">
        <f ca="1">IF(R189&gt;0,S189*100/R189,0)</f>
        <v>100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IFERROR(__xludf.DUMMYFUNCTION("IMPORTRANGE(""https://docs.google.com/spreadsheets/d/1-uDff_7J0KD5mKrp0Vvzr7lt3OU09vwQwhkpOPPYv2Y/edit?usp=sharing"",""งบพรบ!CU81"")"),105500)</f>
        <v>105500</v>
      </c>
      <c r="M191" s="47">
        <f ca="1">IFERROR(__xludf.DUMMYFUNCTION("IMPORTRANGE(""https://docs.google.com/spreadsheets/d/1-uDff_7J0KD5mKrp0Vvzr7lt3OU09vwQwhkpOPPYv2Y/edit?usp=sharing"",""งบพรบ!CZ81"")"),105500)</f>
        <v>105500</v>
      </c>
      <c r="N191" s="47">
        <f ca="1">IFERROR(__xludf.DUMMYFUNCTION("IMPORTRANGE(""https://docs.google.com/spreadsheets/d/1-uDff_7J0KD5mKrp0Vvzr7lt3OU09vwQwhkpOPPYv2Y/edit?usp=sharing"",""งบพรบ!DB81"")"),88770.5)</f>
        <v>88770.5</v>
      </c>
      <c r="O191" s="47">
        <f ca="1">IF(L191&gt;0,N191*100/L191,0)</f>
        <v>84.142654028436013</v>
      </c>
      <c r="P191" s="47">
        <f ca="1">IF(M191&gt;0,N191*100/M191,0)</f>
        <v>84.142654028436013</v>
      </c>
      <c r="Q191" s="47">
        <f ca="1">IFERROR(__xludf.DUMMYFUNCTION("IMPORTRANGE(""https://docs.google.com/spreadsheets/d/1ItG2mGa2ceCfYo0BwxsXqNm01IGEUdYcSSLTEv9YCik/edit?usp=sharing"",""เบิกจ่ายกองทุน!BQ81"")"),28000)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IFERROR(__xludf.DUMMYFUNCTION("IMPORTRANGE(""https://docs.google.com/spreadsheets/d/1ItG2mGa2ceCfYo0BwxsXqNm01IGEUdYcSSLTEv9YCik/edit?usp=sharing"",""เบิกจ่ายกองทุน!BR81"")"),28000)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IFERROR(__xludf.DUMMYFUNCTION("IMPORTRANGE(""https://docs.google.com/spreadsheets/d/1ItG2mGa2ceCfYo0BwxsXqNm01IGEUdYcSSLTEv9YCik/edit?usp=sharing"",""เบิกจ่ายกองทุน!BS81"")"),28000)</f>
        <v>28000</v>
      </c>
      <c r="T191" s="47">
        <f ca="1">IF(Q191&gt;0,S191*100/Q191,0)</f>
        <v>100</v>
      </c>
      <c r="U191" s="47">
        <f ca="1">IF(R191&gt;0,S191*100/R191,0)</f>
        <v>100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IFERROR(__xludf.DUMMYFUNCTION("IMPORTRANGE(""https://docs.google.com/spreadsheets/d/1-uDff_7J0KD5mKrp0Vvzr7lt3OU09vwQwhkpOPPYv2Y/edit?usp=sharing"",""งบพรบ!CX81"")"),0)</f>
        <v>0</v>
      </c>
      <c r="M194" s="47">
        <f ca="1">IFERROR(__xludf.DUMMYFUNCTION("IMPORTRANGE(""https://docs.google.com/spreadsheets/d/1-uDff_7J0KD5mKrp0Vvzr7lt3OU09vwQwhkpOPPYv2Y/edit?usp=sharing"",""งบพรบ!DA81"")"),0)</f>
        <v>0</v>
      </c>
      <c r="N194" s="47">
        <f ca="1">IFERROR(__xludf.DUMMYFUNCTION("IMPORTRANGE(""https://docs.google.com/spreadsheets/d/1-uDff_7J0KD5mKrp0Vvzr7lt3OU09vwQwhkpOPPYv2Y/edit?usp=sharing"",""งบพรบ!DC81"")"),0)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IFERROR(__xludf.DUMMYFUNCTION("IMPORTRANGE(""https://docs.google.com/spreadsheets/d/1ItG2mGa2ceCfYo0BwxsXqNm01IGEUdYcSSLTEv9YCik/edit?usp=sharing"",""เบิกจ่ายกองทุน!BT81"")"),0)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IFERROR(__xludf.DUMMYFUNCTION("IMPORTRANGE(""https://docs.google.com/spreadsheets/d/1ItG2mGa2ceCfYo0BwxsXqNm01IGEUdYcSSLTEv9YCik/edit?usp=sharing"",""เบิกจ่ายกองทุน!BU81"")"),0)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IFERROR(__xludf.DUMMYFUNCTION("IMPORTRANGE(""https://docs.google.com/spreadsheets/d/1ItG2mGa2ceCfYo0BwxsXqNm01IGEUdYcSSLTEv9YCik/edit?usp=sharing"",""เบิกจ่ายกองทุน!BV81"")"),0)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87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IFERROR(__xludf.DUMMYFUNCTION("IMPORTRANGE(""https://docs.google.com/spreadsheets/d/1eHaY18a8A9IcSdp1K8H6x8fbOy06t2VsZHhMHf-1x7Y/edit?usp=sharing"",""แผน!AB81"")"),6000)</f>
        <v>6000</v>
      </c>
      <c r="M196" s="46"/>
      <c r="N196" s="769">
        <v>1000</v>
      </c>
      <c r="O196" s="132">
        <f ca="1">IF(L196&gt;0,N196*100/L196,0)</f>
        <v>16.666666666666668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IFERROR(__xludf.DUMMYFUNCTION("IMPORTRANGE(""https://docs.google.com/spreadsheets/d/1eHaY18a8A9IcSdp1K8H6x8fbOy06t2VsZHhMHf-1x7Y/edit?usp=sharing"",""แผน!AE81"")"),4)</f>
        <v>4</v>
      </c>
      <c r="J198" s="167">
        <v>2</v>
      </c>
      <c r="K198" s="47">
        <f ca="1">IF(I198&gt;0,J198*100/I198,0)</f>
        <v>50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128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128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2</v>
      </c>
      <c r="K202" s="229">
        <f ca="1">IF(I202&gt;0,J202*100/I202,0)</f>
        <v>100</v>
      </c>
      <c r="L202" s="687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 t="e">
        <f ca="1">L204+L205+L206+L207</f>
        <v>#VALUE!</v>
      </c>
      <c r="M203" s="46"/>
      <c r="N203" s="132">
        <f>N204+N205+N206+N207</f>
        <v>9000</v>
      </c>
      <c r="O203" s="132" t="e">
        <f ca="1">IF(L203&gt;0,N203*100/L203,0)</f>
        <v>#VALUE!</v>
      </c>
      <c r="P203" s="132">
        <f>IF(M203&gt;0,N203*100/M203,0)</f>
        <v>0</v>
      </c>
      <c r="Q203" s="768">
        <f ca="1">Q204+Q205+Q206+Q207</f>
        <v>28000</v>
      </c>
      <c r="R203" s="177"/>
      <c r="S203" s="767">
        <f>S204+S205+S206+S207</f>
        <v>28000</v>
      </c>
      <c r="T203" s="767">
        <f ca="1">IF(Q203&gt;0,S203*100/Q203,0)</f>
        <v>100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IFERROR(__xludf.DUMMYFUNCTION("IMPORTRANGE(""https://docs.google.com/spreadsheets/d/1eHaY18a8A9IcSdp1K8H6x8fbOy06t2VsZHhMHf-1x7Y/edit?usp=sharing"",""แผน!AG81"")"),2000)</f>
        <v>2000</v>
      </c>
      <c r="M204" s="46"/>
      <c r="N204" s="743">
        <v>1000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IFERROR(__xludf.DUMMYFUNCTION("IMPORTRANGE(""https://docs.google.com/spreadsheets/d/1eHaY18a8A9IcSdp1K8H6x8fbOy06t2VsZHhMHf-1x7Y/edit?usp=sharing"",""แผน!AH81"")"),0)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 t="str">
        <f ca="1">IFERROR(__xludf.DUMMYFUNCTION("IMPORTRANGE(""https://docs.google.com/spreadsheets/d/1eHaY18a8A9IcSdp1K8H6x8fbOy06t2VsZHhMHf-1x7Y/edit?usp=sharing"",""แผน!AI81"")"),"")</f>
        <v/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IFERROR(__xludf.DUMMYFUNCTION("IMPORTRANGE(""https://docs.google.com/spreadsheets/d/1eHaY18a8A9IcSdp1K8H6x8fbOy06t2VsZHhMHf-1x7Y/edit?usp=sharing"",""แผน!LV81"")"),28000)</f>
        <v>28000</v>
      </c>
      <c r="R206" s="46"/>
      <c r="S206" s="743">
        <v>28000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IFERROR(__xludf.DUMMYFUNCTION("IMPORTRANGE(""https://docs.google.com/spreadsheets/d/1eHaY18a8A9IcSdp1K8H6x8fbOy06t2VsZHhMHf-1x7Y/edit?usp=sharing"",""แผน!AJ81"")"),11000)</f>
        <v>11000</v>
      </c>
      <c r="M207" s="46"/>
      <c r="N207" s="743">
        <v>8000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IFERROR(__xludf.DUMMYFUNCTION("IMPORTRANGE(""https://docs.google.com/spreadsheets/d/1eHaY18a8A9IcSdp1K8H6x8fbOy06t2VsZHhMHf-1x7Y/edit?usp=sharing"",""แผน!AK81"")"),2)</f>
        <v>2</v>
      </c>
      <c r="J209" s="167">
        <v>2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IFERROR(__xludf.DUMMYFUNCTION("IMPORTRANGE(""https://docs.google.com/spreadsheets/d/1eHaY18a8A9IcSdp1K8H6x8fbOy06t2VsZHhMHf-1x7Y/edit?usp=sharing"",""แผน!JX81"")"),2)</f>
        <v>2</v>
      </c>
      <c r="J211" s="167">
        <v>2</v>
      </c>
      <c r="K211" s="153">
        <f ca="1">IF(I211&gt;0,J211*100/I211,0)</f>
        <v>100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IFERROR(__xludf.DUMMYFUNCTION("IMPORTRANGE(""https://docs.google.com/spreadsheets/d/1eHaY18a8A9IcSdp1K8H6x8fbOy06t2VsZHhMHf-1x7Y/edit?usp=sharing"",""แผน!JY81"")"),1)</f>
        <v>1</v>
      </c>
      <c r="J212" s="167">
        <v>1</v>
      </c>
      <c r="K212" s="153">
        <f ca="1">IF(I212&gt;0,J212*100/I212,0)</f>
        <v>100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7"/>
      <c r="M213" s="230"/>
      <c r="N213" s="230"/>
      <c r="O213" s="230"/>
      <c r="P213" s="230"/>
      <c r="Q213" s="687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IFERROR(__xludf.DUMMYFUNCTION("IMPORTRANGE(""https://docs.google.com/spreadsheets/d/1eHaY18a8A9IcSdp1K8H6x8fbOy06t2VsZHhMHf-1x7Y/edit?usp=sharing"",""แผน!AM81"")"),0)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IFERROR(__xludf.DUMMYFUNCTION("IMPORTRANGE(""https://docs.google.com/spreadsheets/d/1eHaY18a8A9IcSdp1K8H6x8fbOy06t2VsZHhMHf-1x7Y/edit?usp=sharing"",""แผน!AN81"")"),0)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IFERROR(__xludf.DUMMYFUNCTION("IMPORTRANGE(""https://docs.google.com/spreadsheets/d/1eHaY18a8A9IcSdp1K8H6x8fbOy06t2VsZHhMHf-1x7Y/edit?usp=sharing"",""แผน!AO81"")"),0)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IFERROR(__xludf.DUMMYFUNCTION("IMPORTRANGE(""https://docs.google.com/spreadsheets/d/1eHaY18a8A9IcSdp1K8H6x8fbOy06t2VsZHhMHf-1x7Y/edit?usp=sharing"",""แผน!LY81"")"),0)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IFERROR(__xludf.DUMMYFUNCTION("IMPORTRANGE(""https://docs.google.com/spreadsheets/d/1eHaY18a8A9IcSdp1K8H6x8fbOy06t2VsZHhMHf-1x7Y/edit?usp=sharing"",""แผน!AP81"")"),0)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IFERROR(__xludf.DUMMYFUNCTION("IMPORTRANGE(""https://docs.google.com/spreadsheets/d/1eHaY18a8A9IcSdp1K8H6x8fbOy06t2VsZHhMHf-1x7Y/edit?usp=sharing"",""แผน!AP81"")"),0)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20000</v>
      </c>
      <c r="J221" s="228">
        <f>J229</f>
        <v>0</v>
      </c>
      <c r="K221" s="229">
        <f ca="1">IF(I221&gt;0,J221*100/I221,0)</f>
        <v>0</v>
      </c>
      <c r="L221" s="687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IFERROR(__xludf.DUMMYFUNCTION("IMPORTRANGE(""https://docs.google.com/spreadsheets/d/1eHaY18a8A9IcSdp1K8H6x8fbOy06t2VsZHhMHf-1x7Y/edit?usp=sharing"",""แผน!AR81"")"),3000)</f>
        <v>3000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IFERROR(__xludf.DUMMYFUNCTION("IMPORTRANGE(""https://docs.google.com/spreadsheets/d/1eHaY18a8A9IcSdp1K8H6x8fbOy06t2VsZHhMHf-1x7Y/edit?usp=sharing"",""แผน!AS81"")"),1500)</f>
        <v>1500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IFERROR(__xludf.DUMMYFUNCTION("IMPORTRANGE(""https://docs.google.com/spreadsheets/d/1eHaY18a8A9IcSdp1K8H6x8fbOy06t2VsZHhMHf-1x7Y/edit?usp=sharing"",""แผน!AT81"")"),0)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IFERROR(__xludf.DUMMYFUNCTION("IMPORTRANGE(""https://docs.google.com/spreadsheets/d/1eHaY18a8A9IcSdp1K8H6x8fbOy06t2VsZHhMHf-1x7Y/edit?usp=sharing"",""แผน!AV81"")"),20000)</f>
        <v>20000</v>
      </c>
      <c r="J228" s="167">
        <v>20000</v>
      </c>
      <c r="K228" s="153">
        <f ca="1">IF(I228&gt;0,J228*100/I228,0)</f>
        <v>100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IFERROR(__xludf.DUMMYFUNCTION("IMPORTRANGE(""https://docs.google.com/spreadsheets/d/1eHaY18a8A9IcSdp1K8H6x8fbOy06t2VsZHhMHf-1x7Y/edit?usp=sharing"",""แผน!AV81"")"),20000)</f>
        <v>20000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IFERROR(__xludf.DUMMYFUNCTION("IMPORTRANGE(""https://docs.google.com/spreadsheets/d/1eHaY18a8A9IcSdp1K8H6x8fbOy06t2VsZHhMHf-1x7Y/edit?usp=sharing"",""แผน!AU81"")"),0)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7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1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7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IFERROR(__xludf.DUMMYFUNCTION("IMPORTRANGE(""https://docs.google.com/spreadsheets/d/1eHaY18a8A9IcSdp1K8H6x8fbOy06t2VsZHhMHf-1x7Y/edit?usp=sharing"",""แผน!AX81"")"),0)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IFERROR(__xludf.DUMMYFUNCTION("IMPORTRANGE(""https://docs.google.com/spreadsheets/d/1eHaY18a8A9IcSdp1K8H6x8fbOy06t2VsZHhMHf-1x7Y/edit?usp=sharing"",""แผน!AY81"")"),0)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IFERROR(__xludf.DUMMYFUNCTION("IMPORTRANGE(""https://docs.google.com/spreadsheets/d/1eHaY18a8A9IcSdp1K8H6x8fbOy06t2VsZHhMHf-1x7Y/edit?usp=sharing"",""แผน!AZ81"")"),0)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IFERROR(__xludf.DUMMYFUNCTION("IMPORTRANGE(""https://docs.google.com/spreadsheets/d/1eHaY18a8A9IcSdp1K8H6x8fbOy06t2VsZHhMHf-1x7Y/edit?usp=sharing"",""แผน!BA81"")"),0)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1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IFERROR(__xludf.DUMMYFUNCTION("IMPORTRANGE(""https://docs.google.com/spreadsheets/d/1eHaY18a8A9IcSdp1K8H6x8fbOy06t2VsZHhMHf-1x7Y/edit?usp=sharing"",""แผน!BG81"")"),0)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7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IFERROR(__xludf.DUMMYFUNCTION("IMPORTRANGE(""https://docs.google.com/spreadsheets/d/1eHaY18a8A9IcSdp1K8H6x8fbOy06t2VsZHhMHf-1x7Y/edit?usp=sharing"",""แผน!BB81"")"),0)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IFERROR(__xludf.DUMMYFUNCTION("IMPORTRANGE(""https://docs.google.com/spreadsheets/d/1eHaY18a8A9IcSdp1K8H6x8fbOy06t2VsZHhMHf-1x7Y/edit?usp=sharing"",""แผน!BC81"")"),0)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IFERROR(__xludf.DUMMYFUNCTION("IMPORTRANGE(""https://docs.google.com/spreadsheets/d/1eHaY18a8A9IcSdp1K8H6x8fbOy06t2VsZHhMHf-1x7Y/edit?usp=sharing"",""แผน!BD81"")"),0)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IFERROR(__xludf.DUMMYFUNCTION("IMPORTRANGE(""https://docs.google.com/spreadsheets/d/1eHaY18a8A9IcSdp1K8H6x8fbOy06t2VsZHhMHf-1x7Y/edit?usp=sharing"",""แผน!BE81"")"),0)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1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IFERROR(__xludf.DUMMYFUNCTION("IMPORTRANGE(""https://docs.google.com/spreadsheets/d/1eHaY18a8A9IcSdp1K8H6x8fbOy06t2VsZHhMHf-1x7Y/edit?usp=sharing"",""แผน!BH81"")"),0)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32"/>
      <c r="M264" s="731"/>
      <c r="N264" s="731"/>
      <c r="O264" s="731"/>
      <c r="P264" s="731"/>
      <c r="Q264" s="731"/>
      <c r="R264" s="731"/>
      <c r="S264" s="731"/>
      <c r="T264" s="731"/>
      <c r="U264" s="731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0</v>
      </c>
      <c r="K265" s="725">
        <f ca="1">IF(I265&gt;0,J265*100/I265,0)</f>
        <v>0</v>
      </c>
      <c r="L265" s="724"/>
      <c r="M265" s="723"/>
      <c r="N265" s="723"/>
      <c r="O265" s="723"/>
      <c r="P265" s="723"/>
      <c r="Q265" s="723"/>
      <c r="R265" s="723"/>
      <c r="S265" s="723"/>
      <c r="T265" s="723"/>
      <c r="U265" s="723"/>
    </row>
    <row r="266" spans="1:21" ht="19.5" x14ac:dyDescent="0.3">
      <c r="A266" s="416"/>
      <c r="B266" s="424"/>
      <c r="C266" s="618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2">
        <f ca="1">L267+L268</f>
        <v>5000</v>
      </c>
      <c r="M266" s="421">
        <f ca="1">M267+M268</f>
        <v>5000</v>
      </c>
      <c r="N266" s="421">
        <f ca="1">N267+N268</f>
        <v>0</v>
      </c>
      <c r="O266" s="421">
        <f ca="1">IF(L266&gt;0,N266*100/L266,0)</f>
        <v>0</v>
      </c>
      <c r="P266" s="421">
        <f ca="1">IF(M266&gt;0,N266*100/M266,0)</f>
        <v>0</v>
      </c>
      <c r="Q266" s="421">
        <f ca="1">Q267+Q268</f>
        <v>50660</v>
      </c>
      <c r="R266" s="421">
        <f ca="1">R267+R268</f>
        <v>50660</v>
      </c>
      <c r="S266" s="421">
        <f ca="1">S267+S268</f>
        <v>1950</v>
      </c>
      <c r="T266" s="421">
        <f ca="1">IF(Q266&gt;0,S266*100/Q266,0)</f>
        <v>3.8491906829846032</v>
      </c>
      <c r="U266" s="421">
        <f ca="1">IF(R266&gt;0,S266*100/R266,0)</f>
        <v>3.8491906829846032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1">
        <f ca="1">L271+L274</f>
        <v>5000</v>
      </c>
      <c r="M268" s="331">
        <f ca="1">M271+M274</f>
        <v>5000</v>
      </c>
      <c r="N268" s="331">
        <f ca="1">N271+N274</f>
        <v>0</v>
      </c>
      <c r="O268" s="331">
        <f ca="1">IF(L268&gt;0,N268*100/L268,0)</f>
        <v>0</v>
      </c>
      <c r="P268" s="331">
        <f ca="1">IF(M268&gt;0,N268*100/M268,0)</f>
        <v>0</v>
      </c>
      <c r="Q268" s="331">
        <f ca="1">Q271+Q274</f>
        <v>50660</v>
      </c>
      <c r="R268" s="331">
        <f ca="1">R271+R274</f>
        <v>50660</v>
      </c>
      <c r="S268" s="331">
        <f ca="1">S271+S274</f>
        <v>1950</v>
      </c>
      <c r="T268" s="331">
        <f ca="1">IF(Q268&gt;0,S268*100/Q268,0)</f>
        <v>3.8491906829846032</v>
      </c>
      <c r="U268" s="331">
        <f ca="1">IF(R268&gt;0,S268*100/R268,0)</f>
        <v>3.8491906829846032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1">
        <f ca="1">L270+L271</f>
        <v>5000</v>
      </c>
      <c r="M269" s="331">
        <f ca="1">M270+M271</f>
        <v>5000</v>
      </c>
      <c r="N269" s="331">
        <f ca="1">N270+N271</f>
        <v>0</v>
      </c>
      <c r="O269" s="331">
        <f ca="1">IF(L269&gt;0,N269*100/L269,0)</f>
        <v>0</v>
      </c>
      <c r="P269" s="331">
        <f ca="1">IF(M269&gt;0,N269*100/M269,0)</f>
        <v>0</v>
      </c>
      <c r="Q269" s="331">
        <f ca="1">Q270+Q271</f>
        <v>50660</v>
      </c>
      <c r="R269" s="331">
        <f ca="1">R270+R271</f>
        <v>50660</v>
      </c>
      <c r="S269" s="331">
        <f ca="1">S270+S271</f>
        <v>1950</v>
      </c>
      <c r="T269" s="331">
        <f ca="1">IF(Q269&gt;0,S269*100/Q269,0)</f>
        <v>3.8491906829846032</v>
      </c>
      <c r="U269" s="331">
        <f ca="1">IF(R269&gt;0,S269*100/R269,0)</f>
        <v>3.8491906829846032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1">
        <f ca="1">IFERROR(__xludf.DUMMYFUNCTION("IMPORTRANGE(""https://docs.google.com/spreadsheets/d/1-uDff_7J0KD5mKrp0Vvzr7lt3OU09vwQwhkpOPPYv2Y/edit?usp=sharing"",""งบพรบ!DE81"")"),5000)</f>
        <v>5000</v>
      </c>
      <c r="M271" s="331">
        <f ca="1">IFERROR(__xludf.DUMMYFUNCTION("IMPORTRANGE(""https://docs.google.com/spreadsheets/d/1-uDff_7J0KD5mKrp0Vvzr7lt3OU09vwQwhkpOPPYv2Y/edit?usp=sharing"",""งบพรบ!DJ81"")"),5000)</f>
        <v>5000</v>
      </c>
      <c r="N271" s="331">
        <f ca="1">IFERROR(__xludf.DUMMYFUNCTION("IMPORTRANGE(""https://docs.google.com/spreadsheets/d/1-uDff_7J0KD5mKrp0Vvzr7lt3OU09vwQwhkpOPPYv2Y/edit?usp=sharing"",""งบพรบ!DL81"")"),0)</f>
        <v>0</v>
      </c>
      <c r="O271" s="331">
        <f ca="1">IF(L271&gt;0,N271*100/L271,0)</f>
        <v>0</v>
      </c>
      <c r="P271" s="331">
        <f ca="1">IF(M271&gt;0,N271*100/M271,0)</f>
        <v>0</v>
      </c>
      <c r="Q271" s="331">
        <f ca="1">IFERROR(__xludf.DUMMYFUNCTION("IMPORTRANGE(""https://docs.google.com/spreadsheets/d/1ItG2mGa2ceCfYo0BwxsXqNm01IGEUdYcSSLTEv9YCik/edit?usp=sharing"",""เบิกจ่ายกองทุน!AP81"")"),50660)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IFERROR(__xludf.DUMMYFUNCTION("IMPORTRANGE(""https://docs.google.com/spreadsheets/d/1ItG2mGa2ceCfYo0BwxsXqNm01IGEUdYcSSLTEv9YCik/edit?usp=sharing"",""เบิกจ่ายกองทุน!AQ81"")"),50660)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IFERROR(__xludf.DUMMYFUNCTION("IMPORTRANGE(""https://docs.google.com/spreadsheets/d/1ItG2mGa2ceCfYo0BwxsXqNm01IGEUdYcSSLTEv9YCik/edit?usp=sharing"",""เบิกจ่ายกองทุน!AR81"")"),1950)</f>
        <v>1950</v>
      </c>
      <c r="T271" s="331">
        <f ca="1">IF(Q271&gt;0,S271*100/Q271,0)</f>
        <v>3.8491906829846032</v>
      </c>
      <c r="U271" s="331">
        <f ca="1">IF(R271&gt;0,S271*100/R271,0)</f>
        <v>3.8491906829846032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1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1">
        <f ca="1">IFERROR(__xludf.DUMMYFUNCTION("IMPORTRANGE(""https://docs.google.com/spreadsheets/d/1-uDff_7J0KD5mKrp0Vvzr7lt3OU09vwQwhkpOPPYv2Y/edit?usp=sharing"",""งบพรบ!DH81"")"),0)</f>
        <v>0</v>
      </c>
      <c r="M274" s="331">
        <f ca="1">IFERROR(__xludf.DUMMYFUNCTION("IMPORTRANGE(""https://docs.google.com/spreadsheets/d/1-uDff_7J0KD5mKrp0Vvzr7lt3OU09vwQwhkpOPPYv2Y/edit?usp=sharing"",""งบพรบ!DK81"")"),0)</f>
        <v>0</v>
      </c>
      <c r="N274" s="331">
        <f ca="1">IFERROR(__xludf.DUMMYFUNCTION("IMPORTRANGE(""https://docs.google.com/spreadsheets/d/1-uDff_7J0KD5mKrp0Vvzr7lt3OU09vwQwhkpOPPYv2Y/edit?usp=sharing"",""งบพรบ!DM81"")"),0)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423" t="s">
        <v>18</v>
      </c>
      <c r="D275" s="617" t="s">
        <v>38</v>
      </c>
      <c r="E275" s="435"/>
      <c r="F275" s="435"/>
      <c r="G275" s="436"/>
      <c r="H275" s="439"/>
      <c r="I275" s="428"/>
      <c r="J275" s="428"/>
      <c r="K275" s="429"/>
      <c r="L275" s="720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9"/>
      <c r="B276" s="342"/>
      <c r="C276" s="342"/>
      <c r="D276" s="718" t="s">
        <v>115</v>
      </c>
      <c r="E276" s="388"/>
      <c r="F276" s="388"/>
      <c r="G276" s="390"/>
      <c r="H276" s="717" t="s">
        <v>35</v>
      </c>
      <c r="I276" s="392">
        <f ca="1">IFERROR(__xludf.DUMMYFUNCTION("IMPORTRANGE(""https://docs.google.com/spreadsheets/d/1eHaY18a8A9IcSdp1K8H6x8fbOy06t2VsZHhMHf-1x7Y/edit?usp=sharing"",""แผน!EC81"")"),22)</f>
        <v>22</v>
      </c>
      <c r="J276" s="175">
        <v>0</v>
      </c>
      <c r="K276" s="176">
        <f ca="1">IF(I276&gt;0,J276*100/I276,0)</f>
        <v>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6" t="s">
        <v>116</v>
      </c>
      <c r="E277" s="266"/>
      <c r="F277" s="266"/>
      <c r="G277" s="267"/>
      <c r="H277" s="715" t="s">
        <v>35</v>
      </c>
      <c r="I277" s="498">
        <v>0</v>
      </c>
      <c r="J277" s="498">
        <v>0</v>
      </c>
      <c r="K277" s="714">
        <v>0</v>
      </c>
      <c r="L277" s="713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IFERROR(__xludf.DUMMYFUNCTION("IMPORTRANGE(""https://docs.google.com/spreadsheets/d/1-uDff_7J0KD5mKrp0Vvzr7lt3OU09vwQwhkpOPPYv2Y/edit?usp=sharing"",""งบพรบ!DO81"")"),0)</f>
        <v>0</v>
      </c>
      <c r="M287" s="47">
        <f ca="1">IFERROR(__xludf.DUMMYFUNCTION("IMPORTRANGE(""https://docs.google.com/spreadsheets/d/1-uDff_7J0KD5mKrp0Vvzr7lt3OU09vwQwhkpOPPYv2Y/edit?usp=sharing"",""งบพรบ!DT81"")"),0)</f>
        <v>0</v>
      </c>
      <c r="N287" s="47">
        <f ca="1">IFERROR(__xludf.DUMMYFUNCTION("IMPORTRANGE(""https://docs.google.com/spreadsheets/d/1-uDff_7J0KD5mKrp0Vvzr7lt3OU09vwQwhkpOPPYv2Y/edit?usp=sharing"",""งบพรบ!DV81"")"),0)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IFERROR(__xludf.DUMMYFUNCTION("IMPORTRANGE(""https://docs.google.com/spreadsheets/d/1-uDff_7J0KD5mKrp0Vvzr7lt3OU09vwQwhkpOPPYv2Y/edit?usp=sharing"",""งบพรบ!DR81"")"),0)</f>
        <v>0</v>
      </c>
      <c r="M290" s="47">
        <f ca="1">IFERROR(__xludf.DUMMYFUNCTION("IMPORTRANGE(""https://docs.google.com/spreadsheets/d/1-uDff_7J0KD5mKrp0Vvzr7lt3OU09vwQwhkpOPPYv2Y/edit?usp=sharing"",""งบพรบ!DU81"")"),0)</f>
        <v>0</v>
      </c>
      <c r="N290" s="47">
        <f ca="1">IFERROR(__xludf.DUMMYFUNCTION("IMPORTRANGE(""https://docs.google.com/spreadsheets/d/1-uDff_7J0KD5mKrp0Vvzr7lt3OU09vwQwhkpOPPYv2Y/edit?usp=sharing"",""งบพรบ!DW81"")"),0)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IFERROR(__xludf.DUMMYFUNCTION("IMPORTRANGE(""https://docs.google.com/spreadsheets/d/1eHaY18a8A9IcSdp1K8H6x8fbOy06t2VsZHhMHf-1x7Y/edit?usp=sharing"",""แผน!EE81"")"),0)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IFERROR(__xludf.DUMMYFUNCTION("IMPORTRANGE(""https://docs.google.com/spreadsheets/d/1eHaY18a8A9IcSdp1K8H6x8fbOy06t2VsZHhMHf-1x7Y/edit?usp=sharing"",""แผน!ED81"")"),0)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IFERROR(__xludf.DUMMYFUNCTION("IMPORTRANGE(""https://docs.google.com/spreadsheets/d/1eHaY18a8A9IcSdp1K8H6x8fbOy06t2VsZHhMHf-1x7Y/edit?usp=sharing"",""แผน!ED81"")"),0)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IFERROR(__xludf.DUMMYFUNCTION("IMPORTRANGE(""https://docs.google.com/spreadsheets/d/1eHaY18a8A9IcSdp1K8H6x8fbOy06t2VsZHhMHf-1x7Y/edit?usp=sharing"",""แผน!ED81"")"),0)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1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1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700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9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226234.22</v>
      </c>
      <c r="R303" s="132">
        <f ca="1">R304+R305</f>
        <v>226234</v>
      </c>
      <c r="S303" s="132">
        <f ca="1">S304+S305</f>
        <v>2000</v>
      </c>
      <c r="T303" s="132">
        <f ca="1">IF(Q303&gt;0,S303*100/Q303,0)</f>
        <v>0.88403955864855455</v>
      </c>
      <c r="U303" s="132">
        <f ca="1">IF(R303&gt;0,S303*100/R303,0)</f>
        <v>0.8840404183279259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226234.22</v>
      </c>
      <c r="R305" s="47">
        <f ca="1">R308+R311</f>
        <v>226234</v>
      </c>
      <c r="S305" s="47">
        <f ca="1">S308+S311</f>
        <v>2000</v>
      </c>
      <c r="T305" s="47">
        <f ca="1">IF(Q305&gt;0,S305*100/Q305,0)</f>
        <v>0.88403955864855455</v>
      </c>
      <c r="U305" s="47">
        <f ca="1">IF(R305&gt;0,S305*100/R305,0)</f>
        <v>0.8840404183279259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226234.22</v>
      </c>
      <c r="R306" s="47">
        <f ca="1">R307+R308</f>
        <v>226234</v>
      </c>
      <c r="S306" s="47">
        <f ca="1">S307+S308</f>
        <v>2000</v>
      </c>
      <c r="T306" s="47">
        <f ca="1">IF(Q306&gt;0,S306*100/Q306,0)</f>
        <v>0.88403955864855455</v>
      </c>
      <c r="U306" s="47">
        <f ca="1">IF(R306&gt;0,S306*100/R306,0)</f>
        <v>0.8840404183279259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IFERROR(__xludf.DUMMYFUNCTION("IMPORTRANGE(""https://docs.google.com/spreadsheets/d/1-uDff_7J0KD5mKrp0Vvzr7lt3OU09vwQwhkpOPPYv2Y/edit?usp=sharing"",""งบพรบ!DY81"")"),0)</f>
        <v>0</v>
      </c>
      <c r="M308" s="47">
        <f ca="1">IFERROR(__xludf.DUMMYFUNCTION("IMPORTRANGE(""https://docs.google.com/spreadsheets/d/1-uDff_7J0KD5mKrp0Vvzr7lt3OU09vwQwhkpOPPYv2Y/edit?usp=sharing"",""งบพรบ!ED81"")"),0)</f>
        <v>0</v>
      </c>
      <c r="N308" s="47">
        <f ca="1">IFERROR(__xludf.DUMMYFUNCTION("IMPORTRANGE(""https://docs.google.com/spreadsheets/d/1-uDff_7J0KD5mKrp0Vvzr7lt3OU09vwQwhkpOPPYv2Y/edit?usp=sharing"",""งบพรบ!EF81"")"),0)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IFERROR(__xludf.DUMMYFUNCTION("IMPORTRANGE(""https://docs.google.com/spreadsheets/d/1ItG2mGa2ceCfYo0BwxsXqNm01IGEUdYcSSLTEv9YCik/edit?usp=sharing"",""เบิกจ่ายกองทุน!BB81"")"),226234.22)</f>
        <v>226234.22</v>
      </c>
      <c r="R308" s="47">
        <f ca="1">IFERROR(__xludf.DUMMYFUNCTION("IMPORTRANGE(""https://docs.google.com/spreadsheets/d/1ItG2mGa2ceCfYo0BwxsXqNm01IGEUdYcSSLTEv9YCik/edit?usp=sharing"",""เบิกจ่ายกองทุน!BC81"")"),226234)</f>
        <v>226234</v>
      </c>
      <c r="S308" s="47">
        <f ca="1">IFERROR(__xludf.DUMMYFUNCTION("IMPORTRANGE(""https://docs.google.com/spreadsheets/d/1ItG2mGa2ceCfYo0BwxsXqNm01IGEUdYcSSLTEv9YCik/edit?usp=sharing"",""เบิกจ่ายกองทุน!BD81"")"),2000)</f>
        <v>2000</v>
      </c>
      <c r="T308" s="47">
        <f ca="1">IF(Q308&gt;0,S308*100/Q308,0)</f>
        <v>0.88403955864855455</v>
      </c>
      <c r="U308" s="47">
        <f ca="1">IF(R308&gt;0,S308*100/R308,0)</f>
        <v>0.8840404183279259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IFERROR(__xludf.DUMMYFUNCTION("IMPORTRANGE(""https://docs.google.com/spreadsheets/d/1-uDff_7J0KD5mKrp0Vvzr7lt3OU09vwQwhkpOPPYv2Y/edit?usp=sharing"",""งบพรบ!EB81"")"),0)</f>
        <v>0</v>
      </c>
      <c r="M311" s="47">
        <f ca="1">IFERROR(__xludf.DUMMYFUNCTION("IMPORTRANGE(""https://docs.google.com/spreadsheets/d/1-uDff_7J0KD5mKrp0Vvzr7lt3OU09vwQwhkpOPPYv2Y/edit?usp=sharing"",""งบพรบ!EE81"")"),0)</f>
        <v>0</v>
      </c>
      <c r="N311" s="47">
        <f ca="1">IFERROR(__xludf.DUMMYFUNCTION("IMPORTRANGE(""https://docs.google.com/spreadsheets/d/1-uDff_7J0KD5mKrp0Vvzr7lt3OU09vwQwhkpOPPYv2Y/edit?usp=sharing"",""งบพรบ!EG81"")"),0)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9"/>
      <c r="E313" s="19"/>
      <c r="F313" s="19"/>
      <c r="G313" s="20"/>
      <c r="H313" s="20"/>
      <c r="I313" s="21"/>
      <c r="J313" s="707"/>
      <c r="K313" s="22"/>
      <c r="L313" s="701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IFERROR(__xludf.DUMMYFUNCTION("IMPORTRANGE(""https://docs.google.com/spreadsheets/d/1eHaY18a8A9IcSdp1K8H6x8fbOy06t2VsZHhMHf-1x7Y/edit?usp=sharing"",""แผน!EF81"")"),25)</f>
        <v>25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9"/>
      <c r="E315" s="19"/>
      <c r="F315" s="19"/>
      <c r="G315" s="20"/>
      <c r="H315" s="708"/>
      <c r="I315" s="707"/>
      <c r="J315" s="707"/>
      <c r="K315" s="706"/>
      <c r="L315" s="701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9"/>
      <c r="E316" s="19"/>
      <c r="F316" s="19"/>
      <c r="G316" s="20"/>
      <c r="H316" s="708"/>
      <c r="I316" s="707"/>
      <c r="J316" s="707"/>
      <c r="K316" s="706"/>
      <c r="L316" s="701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5"/>
      <c r="E317" s="19"/>
      <c r="F317" s="19"/>
      <c r="G317" s="20"/>
      <c r="H317" s="704"/>
      <c r="I317" s="703"/>
      <c r="J317" s="703"/>
      <c r="K317" s="702"/>
      <c r="L317" s="701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700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IFERROR(__xludf.DUMMYFUNCTION("IMPORTRANGE(""https://docs.google.com/spreadsheets/d/1-uDff_7J0KD5mKrp0Vvzr7lt3OU09vwQwhkpOPPYv2Y/edit?usp=sharing"",""งบพรบ!EI81"")"),0)</f>
        <v>0</v>
      </c>
      <c r="M325" s="47">
        <f ca="1">IFERROR(__xludf.DUMMYFUNCTION("IMPORTRANGE(""https://docs.google.com/spreadsheets/d/1-uDff_7J0KD5mKrp0Vvzr7lt3OU09vwQwhkpOPPYv2Y/edit?usp=sharing"",""งบพรบ!EN81"")"),0)</f>
        <v>0</v>
      </c>
      <c r="N325" s="47">
        <f ca="1">IFERROR(__xludf.DUMMYFUNCTION("IMPORTRANGE(""https://docs.google.com/spreadsheets/d/1-uDff_7J0KD5mKrp0Vvzr7lt3OU09vwQwhkpOPPYv2Y/edit?usp=sharing"",""งบพรบ!EP81"")"),0)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IFERROR(__xludf.DUMMYFUNCTION("IMPORTRANGE(""https://docs.google.com/spreadsheets/d/1-uDff_7J0KD5mKrp0Vvzr7lt3OU09vwQwhkpOPPYv2Y/edit?usp=sharing"",""งบพรบ!EL81"")"),0)</f>
        <v>0</v>
      </c>
      <c r="M328" s="47">
        <f ca="1">IFERROR(__xludf.DUMMYFUNCTION("IMPORTRANGE(""https://docs.google.com/spreadsheets/d/1-uDff_7J0KD5mKrp0Vvzr7lt3OU09vwQwhkpOPPYv2Y/edit?usp=sharing"",""งบพรบ!EO81"")"),0)</f>
        <v>0</v>
      </c>
      <c r="N328" s="47">
        <f ca="1">IFERROR(__xludf.DUMMYFUNCTION("IMPORTRANGE(""https://docs.google.com/spreadsheets/d/1-uDff_7J0KD5mKrp0Vvzr7lt3OU09vwQwhkpOPPYv2Y/edit?usp=sharing"",""งบพรบ!EQ81"")"),0)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IFERROR(__xludf.DUMMYFUNCTION("IMPORTRANGE(""https://docs.google.com/spreadsheets/d/1eHaY18a8A9IcSdp1K8H6x8fbOy06t2VsZHhMHf-1x7Y/edit?usp=sharing"",""แผน!EJ81"")"),0)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700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9">
        <f ca="1">I344</f>
        <v>540</v>
      </c>
      <c r="J332" s="698">
        <f ca="1">J344+J347+J348+J349+J353</f>
        <v>1068</v>
      </c>
      <c r="K332" s="697">
        <f ca="1">IF(I332&gt;0,J332*100/I332,0)</f>
        <v>197.77777777777777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9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178000</v>
      </c>
      <c r="M333" s="132">
        <f ca="1">M334+M335</f>
        <v>178000</v>
      </c>
      <c r="N333" s="132">
        <f ca="1">N334+N335</f>
        <v>37518.15</v>
      </c>
      <c r="O333" s="132">
        <f ca="1">IF(L333&gt;0,N333*100/L333,0)</f>
        <v>21.07761235955056</v>
      </c>
      <c r="P333" s="132">
        <f ca="1">IF(M333&gt;0,N333*100/M333,0)</f>
        <v>21.07761235955056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178000</v>
      </c>
      <c r="M335" s="47">
        <f ca="1">M338+M341</f>
        <v>178000</v>
      </c>
      <c r="N335" s="47">
        <f ca="1">N338+N341</f>
        <v>37518.15</v>
      </c>
      <c r="O335" s="47">
        <f ca="1">IF(L335&gt;0,N335*100/L335,0)</f>
        <v>21.07761235955056</v>
      </c>
      <c r="P335" s="47">
        <f ca="1">IF(M335&gt;0,N335*100/M335,0)</f>
        <v>21.07761235955056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178000</v>
      </c>
      <c r="M336" s="47">
        <f ca="1">M337+M338</f>
        <v>178000</v>
      </c>
      <c r="N336" s="47">
        <f ca="1">N337+N338</f>
        <v>37518.15</v>
      </c>
      <c r="O336" s="47">
        <f ca="1">IF(L336&gt;0,N336*100/L336,0)</f>
        <v>21.07761235955056</v>
      </c>
      <c r="P336" s="47">
        <f ca="1">IF(M336&gt;0,N336*100/M336,0)</f>
        <v>21.07761235955056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IFERROR(__xludf.DUMMYFUNCTION("IMPORTRANGE(""https://docs.google.com/spreadsheets/d/1-uDff_7J0KD5mKrp0Vvzr7lt3OU09vwQwhkpOPPYv2Y/edit?usp=sharing"",""งบพรบ!ES81"")"),178000)</f>
        <v>178000</v>
      </c>
      <c r="M338" s="47">
        <f ca="1">IFERROR(__xludf.DUMMYFUNCTION("IMPORTRANGE(""https://docs.google.com/spreadsheets/d/1-uDff_7J0KD5mKrp0Vvzr7lt3OU09vwQwhkpOPPYv2Y/edit?usp=sharing"",""งบพรบ!EX81"")"),178000)</f>
        <v>178000</v>
      </c>
      <c r="N338" s="47">
        <f ca="1">IFERROR(__xludf.DUMMYFUNCTION("IMPORTRANGE(""https://docs.google.com/spreadsheets/d/1-uDff_7J0KD5mKrp0Vvzr7lt3OU09vwQwhkpOPPYv2Y/edit?usp=sharing"",""งบพรบ!EZ81"")"),37518.15)</f>
        <v>37518.15</v>
      </c>
      <c r="O338" s="47">
        <f ca="1">IF(L338&gt;0,N338*100/L338,0)</f>
        <v>21.07761235955056</v>
      </c>
      <c r="P338" s="47">
        <f ca="1">IF(M338&gt;0,N338*100/M338,0)</f>
        <v>21.07761235955056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IFERROR(__xludf.DUMMYFUNCTION("IMPORTRANGE(""https://docs.google.com/spreadsheets/d/1-uDff_7J0KD5mKrp0Vvzr7lt3OU09vwQwhkpOPPYv2Y/edit?usp=sharing"",""งบพรบ!EV81"")"),0)</f>
        <v>0</v>
      </c>
      <c r="M341" s="47">
        <f ca="1">IFERROR(__xludf.DUMMYFUNCTION("IMPORTRANGE(""https://docs.google.com/spreadsheets/d/1-uDff_7J0KD5mKrp0Vvzr7lt3OU09vwQwhkpOPPYv2Y/edit?usp=sharing"",""งบพรบ!EY81"")"),0)</f>
        <v>0</v>
      </c>
      <c r="N341" s="47">
        <f ca="1">IFERROR(__xludf.DUMMYFUNCTION("IMPORTRANGE(""https://docs.google.com/spreadsheets/d/1-uDff_7J0KD5mKrp0Vvzr7lt3OU09vwQwhkpOPPYv2Y/edit?usp=sharing"",""งบพรบ!FA81"")"),0)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6"/>
      <c r="B343" s="693"/>
      <c r="C343" s="695"/>
      <c r="D343" s="693"/>
      <c r="E343" s="694" t="s">
        <v>137</v>
      </c>
      <c r="F343" s="693"/>
      <c r="G343" s="692"/>
      <c r="H343" s="691" t="s">
        <v>35</v>
      </c>
      <c r="I343" s="690">
        <v>0</v>
      </c>
      <c r="J343" s="690">
        <f ca="1">J344+J347+J348+J349</f>
        <v>611</v>
      </c>
      <c r="K343" s="689">
        <v>0</v>
      </c>
      <c r="L343" s="687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IFERROR(__xludf.DUMMYFUNCTION("IMPORTRANGE(""https://docs.google.com/spreadsheets/d/1eHaY18a8A9IcSdp1K8H6x8fbOy06t2VsZHhMHf-1x7Y/edit?usp=sharing"",""แผน!EK81"")"),540)</f>
        <v>540</v>
      </c>
      <c r="J344" s="152">
        <f ca="1">IFERROR(__xludf.DUMMYFUNCTION("IMPORTRANGE(""https://docs.google.com/spreadsheets/d/1awYsYK3VOup2i3Pq_Yjnu8DRu_mYwSBnCR2QPthd0rU/edit?usp=sharing"",""ศูนย์ยกเว้นโฉนด!D81"")"),603)</f>
        <v>603</v>
      </c>
      <c r="K344" s="47">
        <f ca="1">IF(I344&gt;0,J344*100/I344,0)</f>
        <v>111.66666666666667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IFERROR(__xludf.DUMMYFUNCTION("IMPORTRANGE(""https://docs.google.com/spreadsheets/d/1eHaY18a8A9IcSdp1K8H6x8fbOy06t2VsZHhMHf-1x7Y/edit?usp=sharing"",""แผน!EL81"")"),3)</f>
        <v>3</v>
      </c>
      <c r="J346" s="152">
        <f ca="1">IFERROR(__xludf.DUMMYFUNCTION("IMPORTRANGE(""https://docs.google.com/spreadsheets/d/1awYsYK3VOup2i3Pq_Yjnu8DRu_mYwSBnCR2QPthd0rU/edit?usp=sharing"",""ศูนย์รวม!E81"")"),2)</f>
        <v>2</v>
      </c>
      <c r="K346" s="47">
        <f ca="1">IF(I346&gt;0,J346*100/I346,0)</f>
        <v>66.666666666666671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IFERROR(__xludf.DUMMYFUNCTION("IMPORTRANGE(""https://docs.google.com/spreadsheets/d/1awYsYK3VOup2i3Pq_Yjnu8DRu_mYwSBnCR2QPthd0rU/edit?usp=sharing"",""ศูนย์ยกเว้นโฉนด!F81"")"),8)</f>
        <v>8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IFERROR(__xludf.DUMMYFUNCTION("IMPORTRANGE(""https://docs.google.com/spreadsheets/d/1awYsYK3VOup2i3Pq_Yjnu8DRu_mYwSBnCR2QPthd0rU/edit?usp=sharing"",""ศูนย์ยกเว้นโฉนด!G81"")"),0)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IFERROR(__xludf.DUMMYFUNCTION("IMPORTRANGE(""https://docs.google.com/spreadsheets/d/1awYsYK3VOup2i3Pq_Yjnu8DRu_mYwSBnCR2QPthd0rU/edit?usp=sharing"",""ศูนย์ยกเว้นโฉนด!H81"")"),0)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8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920</v>
      </c>
      <c r="K351" s="229">
        <v>0</v>
      </c>
      <c r="L351" s="687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IFERROR(__xludf.DUMMYFUNCTION("IMPORTRANGE(""https://docs.google.com/spreadsheets/d/1awYsYK3VOup2i3Pq_Yjnu8DRu_mYwSBnCR2QPthd0rU/edit?usp=sharing"",""โฉนดM3!G81"")"),463)</f>
        <v>463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IFERROR(__xludf.DUMMYFUNCTION("IMPORTRANGE(""https://docs.google.com/spreadsheets/d/1awYsYK3VOup2i3Pq_Yjnu8DRu_mYwSBnCR2QPthd0rU/edit?usp=sharing"",""โฉนดM3!H81"")"),457)</f>
        <v>457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9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658660</v>
      </c>
      <c r="M356" s="132">
        <f ca="1">M357+M358</f>
        <v>658660</v>
      </c>
      <c r="N356" s="132">
        <f ca="1">N357+N358</f>
        <v>290596.67</v>
      </c>
      <c r="O356" s="132">
        <f ca="1">IF(L356&gt;0,N356*100/L356,0)</f>
        <v>44.119374183949233</v>
      </c>
      <c r="P356" s="132">
        <f ca="1">IF(M356&gt;0,N356*100/M356,0)</f>
        <v>44.119374183949233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658660</v>
      </c>
      <c r="M358" s="47">
        <f ca="1">M361+M364</f>
        <v>658660</v>
      </c>
      <c r="N358" s="47">
        <f ca="1">N361+N364</f>
        <v>290596.67</v>
      </c>
      <c r="O358" s="47">
        <f ca="1">IF(L358&gt;0,N358*100/L358,0)</f>
        <v>44.119374183949233</v>
      </c>
      <c r="P358" s="47">
        <f ca="1">IF(M358&gt;0,N358*100/M358,0)</f>
        <v>44.119374183949233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658660</v>
      </c>
      <c r="M359" s="47">
        <f ca="1">M360+M361</f>
        <v>658660</v>
      </c>
      <c r="N359" s="47">
        <f ca="1">N360+N361</f>
        <v>290596.67</v>
      </c>
      <c r="O359" s="47">
        <f ca="1">IF(L359&gt;0,N359*100/L359,0)</f>
        <v>44.119374183949233</v>
      </c>
      <c r="P359" s="47">
        <f ca="1">IF(M359&gt;0,N359*100/M359,0)</f>
        <v>44.119374183949233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IFERROR(__xludf.DUMMYFUNCTION("IMPORTRANGE(""https://docs.google.com/spreadsheets/d/1-uDff_7J0KD5mKrp0Vvzr7lt3OU09vwQwhkpOPPYv2Y/edit?usp=sharing"",""งบพรบ!FC81"")"),658660)</f>
        <v>658660</v>
      </c>
      <c r="M361" s="47">
        <f ca="1">IFERROR(__xludf.DUMMYFUNCTION("IMPORTRANGE(""https://docs.google.com/spreadsheets/d/1-uDff_7J0KD5mKrp0Vvzr7lt3OU09vwQwhkpOPPYv2Y/edit?usp=sharing"",""งบพรบ!FH81"")"),658660)</f>
        <v>658660</v>
      </c>
      <c r="N361" s="47">
        <f ca="1">IFERROR(__xludf.DUMMYFUNCTION("IMPORTRANGE(""https://docs.google.com/spreadsheets/d/1-uDff_7J0KD5mKrp0Vvzr7lt3OU09vwQwhkpOPPYv2Y/edit?usp=sharing"",""งบพรบ!FJ81"")"),290596.67)</f>
        <v>290596.67</v>
      </c>
      <c r="O361" s="47">
        <f ca="1">IF(L361&gt;0,N361*100/L361,0)</f>
        <v>44.119374183949233</v>
      </c>
      <c r="P361" s="47">
        <f ca="1">IF(M361&gt;0,N361*100/M361,0)</f>
        <v>44.119374183949233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IFERROR(__xludf.DUMMYFUNCTION("IMPORTRANGE(""https://docs.google.com/spreadsheets/d/1-uDff_7J0KD5mKrp0Vvzr7lt3OU09vwQwhkpOPPYv2Y/edit?usp=sharing"",""งบพรบ!FF81"")"),0)</f>
        <v>0</v>
      </c>
      <c r="M364" s="47">
        <f ca="1">IFERROR(__xludf.DUMMYFUNCTION("IMPORTRANGE(""https://docs.google.com/spreadsheets/d/1-uDff_7J0KD5mKrp0Vvzr7lt3OU09vwQwhkpOPPYv2Y/edit?usp=sharing"",""งบพรบ!FI81"")"),0)</f>
        <v>0</v>
      </c>
      <c r="N364" s="47">
        <f ca="1">IFERROR(__xludf.DUMMYFUNCTION("IMPORTRANGE(""https://docs.google.com/spreadsheets/d/1-uDff_7J0KD5mKrp0Vvzr7lt3OU09vwQwhkpOPPYv2Y/edit?usp=sharing"",""งบพรบ!FK81"")"),0)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8" t="s">
        <v>149</v>
      </c>
      <c r="E365" s="225"/>
      <c r="F365" s="225"/>
      <c r="G365" s="226"/>
      <c r="H365" s="234" t="s">
        <v>35</v>
      </c>
      <c r="I365" s="228">
        <f ca="1">I371</f>
        <v>60</v>
      </c>
      <c r="J365" s="228">
        <f ca="1">J371</f>
        <v>16</v>
      </c>
      <c r="K365" s="229">
        <f ca="1">IF(I365&gt;0,J365*100/I365,0)</f>
        <v>26.666666666666668</v>
      </c>
      <c r="L365" s="687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IFERROR(__xludf.DUMMYFUNCTION("IMPORTRANGE(""https://docs.google.com/spreadsheets/d/1tdoBKaGub7dwA3U6UFTqxio9LNnvDCQjHKmttSEBsFQ/edit?usp=sharing"",""จัดที่ดิน!AB81"")"),5)</f>
        <v>5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IFERROR(__xludf.DUMMYFUNCTION("IMPORTRANGE(""https://docs.google.com/spreadsheets/d/1eHaY18a8A9IcSdp1K8H6x8fbOy06t2VsZHhMHf-1x7Y/edit?usp=sharing"",""แผน!EW81"")"),115)</f>
        <v>115</v>
      </c>
      <c r="J368" s="686">
        <f ca="1">IFERROR(__xludf.DUMMYFUNCTION("IMPORTRANGE(""https://docs.google.com/spreadsheets/d/1tdoBKaGub7dwA3U6UFTqxio9LNnvDCQjHKmttSEBsFQ/edit?usp=sharing"",""จัดที่ดิน!AC81"")"),40.9199999999999)</f>
        <v>40.919999999999902</v>
      </c>
      <c r="K368" s="47">
        <f ca="1">IF(I368&gt;0,J368*100/I368,0)</f>
        <v>35.582608695652084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IFERROR(__xludf.DUMMYFUNCTION("IMPORTRANGE(""https://docs.google.com/spreadsheets/d/1eHaY18a8A9IcSdp1K8H6x8fbOy06t2VsZHhMHf-1x7Y/edit?usp=sharing"",""แผน!EX81"")"),60)</f>
        <v>60</v>
      </c>
      <c r="J369" s="152">
        <f ca="1">IFERROR(__xludf.DUMMYFUNCTION("IMPORTRANGE(""https://docs.google.com/spreadsheets/d/1tdoBKaGub7dwA3U6UFTqxio9LNnvDCQjHKmttSEBsFQ/edit?usp=sharing"",""จัดที่ดิน!AD81"")"),16)</f>
        <v>16</v>
      </c>
      <c r="K369" s="47">
        <f ca="1">IF(I369&gt;0,J369*100/I369,0)</f>
        <v>26.666666666666668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6">
        <f ca="1">IFERROR(__xludf.DUMMYFUNCTION("IMPORTRANGE(""https://docs.google.com/spreadsheets/d/1tdoBKaGub7dwA3U6UFTqxio9LNnvDCQjHKmttSEBsFQ/edit?usp=sharing"",""จัดที่ดิน!AE81"")"),172.63)</f>
        <v>172.63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IFERROR(__xludf.DUMMYFUNCTION("IMPORTRANGE(""https://docs.google.com/spreadsheets/d/1eHaY18a8A9IcSdp1K8H6x8fbOy06t2VsZHhMHf-1x7Y/edit?usp=sharing"",""แผน!EY81"")"),60)</f>
        <v>60</v>
      </c>
      <c r="J371" s="152">
        <f ca="1">IFERROR(__xludf.DUMMYFUNCTION("IMPORTRANGE(""https://docs.google.com/spreadsheets/d/1tdoBKaGub7dwA3U6UFTqxio9LNnvDCQjHKmttSEBsFQ/edit?usp=sharing"",""จัดที่ดิน!AF81"")"),16)</f>
        <v>16</v>
      </c>
      <c r="K371" s="47">
        <f ca="1">IF(I371&gt;0,J371*100/I371,0)</f>
        <v>26.666666666666668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6">
        <f ca="1">IFERROR(__xludf.DUMMYFUNCTION("IMPORTRANGE(""https://docs.google.com/spreadsheets/d/1tdoBKaGub7dwA3U6UFTqxio9LNnvDCQjHKmttSEBsFQ/edit?usp=sharing"",""จัดที่ดิน!AG81"")"),172.63)</f>
        <v>172.63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5"/>
      <c r="B374" s="684" t="s">
        <v>153</v>
      </c>
      <c r="C374" s="683"/>
      <c r="D374" s="682"/>
      <c r="E374" s="681"/>
      <c r="F374" s="681"/>
      <c r="G374" s="680"/>
      <c r="H374" s="679" t="s">
        <v>46</v>
      </c>
      <c r="I374" s="678">
        <f ca="1">I386+I388</f>
        <v>800</v>
      </c>
      <c r="J374" s="678">
        <f ca="1">J386+J388</f>
        <v>0</v>
      </c>
      <c r="K374" s="677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45100</v>
      </c>
      <c r="M375" s="132">
        <f ca="1">M376+M377</f>
        <v>45100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50000</v>
      </c>
      <c r="R375" s="132">
        <f ca="1">R376+R377</f>
        <v>41812.5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45100</v>
      </c>
      <c r="M377" s="47">
        <f ca="1">M380+M383</f>
        <v>45100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50000</v>
      </c>
      <c r="R377" s="47">
        <f ca="1">R380+R383</f>
        <v>41812.5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45100</v>
      </c>
      <c r="M378" s="47">
        <f ca="1">M379+M380</f>
        <v>45100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50000</v>
      </c>
      <c r="R378" s="47">
        <f ca="1">R379+R380</f>
        <v>41812.5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IFERROR(__xludf.DUMMYFUNCTION("IMPORTRANGE(""https://docs.google.com/spreadsheets/d/1-uDff_7J0KD5mKrp0Vvzr7lt3OU09vwQwhkpOPPYv2Y/edit?usp=sharing"",""งบพรบ!IE81"")"),45100)</f>
        <v>45100</v>
      </c>
      <c r="M380" s="47">
        <f ca="1">IFERROR(__xludf.DUMMYFUNCTION("IMPORTRANGE(""https://docs.google.com/spreadsheets/d/1-uDff_7J0KD5mKrp0Vvzr7lt3OU09vwQwhkpOPPYv2Y/edit?usp=sharing"",""งบพรบ!IJ81"")"),45100)</f>
        <v>45100</v>
      </c>
      <c r="N380" s="47">
        <f ca="1">IFERROR(__xludf.DUMMYFUNCTION("IMPORTRANGE(""https://docs.google.com/spreadsheets/d/1-uDff_7J0KD5mKrp0Vvzr7lt3OU09vwQwhkpOPPYv2Y/edit?usp=sharing"",""งบพรบ!IL81"")"),0)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IFERROR(__xludf.DUMMYFUNCTION("IMPORTRANGE(""https://docs.google.com/spreadsheets/d/1ItG2mGa2ceCfYo0BwxsXqNm01IGEUdYcSSLTEv9YCik/edit?usp=sharing"",""เบิกจ่ายกองทุน!BW81"")"),50000)</f>
        <v>50000</v>
      </c>
      <c r="R380" s="47">
        <f ca="1">IFERROR(__xludf.DUMMYFUNCTION("IMPORTRANGE(""https://docs.google.com/spreadsheets/d/1ItG2mGa2ceCfYo0BwxsXqNm01IGEUdYcSSLTEv9YCik/edit?usp=sharing"",""เบิกจ่ายกองทุน!BX81"")"),41812.5)</f>
        <v>41812.5</v>
      </c>
      <c r="S380" s="47">
        <f ca="1">IFERROR(__xludf.DUMMYFUNCTION("IMPORTRANGE(""https://docs.google.com/spreadsheets/d/1ItG2mGa2ceCfYo0BwxsXqNm01IGEUdYcSSLTEv9YCik/edit?usp=sharing"",""เบิกจ่ายกองทุน!BY81"")"),0)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IFERROR(__xludf.DUMMYFUNCTION("IMPORTRANGE(""https://docs.google.com/spreadsheets/d/1-uDff_7J0KD5mKrp0Vvzr7lt3OU09vwQwhkpOPPYv2Y/edit?usp=sharing"",""งบพรบ!IH81"")"),0)</f>
        <v>0</v>
      </c>
      <c r="M383" s="47">
        <f ca="1">IFERROR(__xludf.DUMMYFUNCTION("IMPORTRANGE(""https://docs.google.com/spreadsheets/d/1-uDff_7J0KD5mKrp0Vvzr7lt3OU09vwQwhkpOPPYv2Y/edit?usp=sharing"",""งบพรบ!IK81"")"),0)</f>
        <v>0</v>
      </c>
      <c r="N383" s="47">
        <f ca="1">IFERROR(__xludf.DUMMYFUNCTION("IMPORTRANGE(""https://docs.google.com/spreadsheets/d/1-uDff_7J0KD5mKrp0Vvzr7lt3OU09vwQwhkpOPPYv2Y/edit?usp=sharing"",""งบพรบ!IM81"")"),0)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162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IFERROR(__xludf.DUMMYFUNCTION("IMPORTRANGE(""https://docs.google.com/spreadsheets/d/1w5rwWK1o49a35cNtocGL0gxDwhFSTZUQu90BiH9_zqM/edit?usp=sharing"",""RTK!H81"")"),0)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IFERROR(__xludf.DUMMYFUNCTION("IMPORTRANGE(""https://docs.google.com/spreadsheets/d/1w5rwWK1o49a35cNtocGL0gxDwhFSTZUQu90BiH9_zqM/edit?usp=sharing"",""RTK!G81"")"),800)</f>
        <v>800</v>
      </c>
      <c r="J386" s="152">
        <f ca="1">IFERROR(__xludf.DUMMYFUNCTION("IMPORTRANGE(""https://docs.google.com/spreadsheets/d/1w5rwWK1o49a35cNtocGL0gxDwhFSTZUQu90BiH9_zqM/edit?usp=sharing"",""RTK!I81"")"),0)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326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IFERROR(__xludf.DUMMYFUNCTION("IMPORTRANGE(""https://docs.google.com/spreadsheets/d/1w5rwWK1o49a35cNtocGL0gxDwhFSTZUQu90BiH9_zqM/edit?usp=sharing"",""RTK!L81"")"),0)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326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IFERROR(__xludf.DUMMYFUNCTION("IMPORTRANGE(""https://docs.google.com/spreadsheets/d/1w5rwWK1o49a35cNtocGL0gxDwhFSTZUQu90BiH9_zqM/edit?usp=sharing"",""RTK!K81"")"),0)</f>
        <v>0</v>
      </c>
      <c r="J388" s="330">
        <f ca="1">IFERROR(__xludf.DUMMYFUNCTION("IMPORTRANGE(""https://docs.google.com/spreadsheets/d/1w5rwWK1o49a35cNtocGL0gxDwhFSTZUQu90BiH9_zqM/edit?usp=sharing"",""RTK!M81"")"),0)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89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33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IFERROR(__xludf.DUMMYFUNCTION("IMPORTRANGE(""https://docs.google.com/spreadsheets/d/1ItG2mGa2ceCfYo0BwxsXqNm01IGEUdYcSSLTEv9YCik/edit?usp=sharing"",""เบิกจ่ายกองทุน!CL81"")"),0)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IFERROR(__xludf.DUMMYFUNCTION("IMPORTRANGE(""https://docs.google.com/spreadsheets/d/1ItG2mGa2ceCfYo0BwxsXqNm01IGEUdYcSSLTEv9YCik/edit?usp=sharing"",""เบิกจ่ายกองทุน!CM81"")"),0)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IFERROR(__xludf.DUMMYFUNCTION("IMPORTRANGE(""https://docs.google.com/spreadsheets/d/1ItG2mGa2ceCfYo0BwxsXqNm01IGEUdYcSSLTEv9YCik/edit?usp=sharing"",""เบิกจ่ายกองทุน!CN81"")"),0)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89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89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89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89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89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89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89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89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89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33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40" t="s">
        <v>18</v>
      </c>
      <c r="D413" s="676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21550</v>
      </c>
      <c r="M413" s="132">
        <f ca="1">M414+M415</f>
        <v>21550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15200</v>
      </c>
      <c r="R413" s="132">
        <f ca="1">R414+R415</f>
        <v>15200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21550</v>
      </c>
      <c r="M415" s="47">
        <f ca="1">M418+M421</f>
        <v>21550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15200</v>
      </c>
      <c r="R415" s="47">
        <f ca="1">R418+R421</f>
        <v>15200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21550</v>
      </c>
      <c r="M416" s="47">
        <f ca="1">M417+M418</f>
        <v>21550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15200</v>
      </c>
      <c r="R416" s="47">
        <f ca="1">R417+R418</f>
        <v>15200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IFERROR(__xludf.DUMMYFUNCTION("IMPORTRANGE(""https://docs.google.com/spreadsheets/d/1-uDff_7J0KD5mKrp0Vvzr7lt3OU09vwQwhkpOPPYv2Y/edit?usp=sharing"",""งบพรบ!IO81"")"),21550)</f>
        <v>21550</v>
      </c>
      <c r="M418" s="47">
        <f ca="1">IFERROR(__xludf.DUMMYFUNCTION("IMPORTRANGE(""https://docs.google.com/spreadsheets/d/1-uDff_7J0KD5mKrp0Vvzr7lt3OU09vwQwhkpOPPYv2Y/edit?usp=sharing"",""งบพรบ!IT81"")"),21550)</f>
        <v>21550</v>
      </c>
      <c r="N418" s="47">
        <f ca="1">IFERROR(__xludf.DUMMYFUNCTION("IMPORTRANGE(""https://docs.google.com/spreadsheets/d/1-uDff_7J0KD5mKrp0Vvzr7lt3OU09vwQwhkpOPPYv2Y/edit?usp=sharing"",""งบพรบ!IV81"")"),0)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IFERROR(__xludf.DUMMYFUNCTION("IMPORTRANGE(""https://docs.google.com/spreadsheets/d/1ItG2mGa2ceCfYo0BwxsXqNm01IGEUdYcSSLTEv9YCik/edit?usp=sharing"",""เบิกจ่ายกองทุน!BZ81"")"),15200)</f>
        <v>15200</v>
      </c>
      <c r="R418" s="47">
        <f ca="1">IFERROR(__xludf.DUMMYFUNCTION("IMPORTRANGE(""https://docs.google.com/spreadsheets/d/1ItG2mGa2ceCfYo0BwxsXqNm01IGEUdYcSSLTEv9YCik/edit?usp=sharing"",""เบิกจ่ายกองทุน!CA81"")"),15200)</f>
        <v>15200</v>
      </c>
      <c r="S418" s="47">
        <f ca="1">IFERROR(__xludf.DUMMYFUNCTION("IMPORTRANGE(""https://docs.google.com/spreadsheets/d/1ItG2mGa2ceCfYo0BwxsXqNm01IGEUdYcSSLTEv9YCik/edit?usp=sharing"",""เบิกจ่ายกองทุน!CB81"")"),0)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IFERROR(__xludf.DUMMYFUNCTION("IMPORTRANGE(""https://docs.google.com/spreadsheets/d/1-uDff_7J0KD5mKrp0Vvzr7lt3OU09vwQwhkpOPPYv2Y/edit?usp=sharing"",""งบพรบ!IR81"")"),0)</f>
        <v>0</v>
      </c>
      <c r="M421" s="47">
        <f ca="1">IFERROR(__xludf.DUMMYFUNCTION("IMPORTRANGE(""https://docs.google.com/spreadsheets/d/1-uDff_7J0KD5mKrp0Vvzr7lt3OU09vwQwhkpOPPYv2Y/edit?usp=sharing"",""งบพรบ!IU81"")"),0)</f>
        <v>0</v>
      </c>
      <c r="N421" s="47">
        <f ca="1">IFERROR(__xludf.DUMMYFUNCTION("IMPORTRANGE(""https://docs.google.com/spreadsheets/d/1-uDff_7J0KD5mKrp0Vvzr7lt3OU09vwQwhkpOPPYv2Y/edit?usp=sharing"",""งบพรบ!IW81"")"),0)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40" t="s">
        <v>18</v>
      </c>
      <c r="D422" s="674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669"/>
      <c r="B423" s="464" t="s">
        <v>160</v>
      </c>
      <c r="C423" s="463"/>
      <c r="D423" s="463"/>
      <c r="E423" s="463"/>
      <c r="F423" s="463"/>
      <c r="G423" s="474"/>
      <c r="H423" s="671" t="s">
        <v>46</v>
      </c>
      <c r="I423" s="468">
        <f ca="1">I440</f>
        <v>0</v>
      </c>
      <c r="J423" s="673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IFERROR(__xludf.DUMMYFUNCTION("IMPORTRANGE(""https://docs.google.com/spreadsheets/d/1eHaY18a8A9IcSdp1K8H6x8fbOy06t2VsZHhMHf-1x7Y/edit?usp=sharing"",""แผน!HJ81"")"),0)</f>
        <v>0</v>
      </c>
      <c r="J424" s="670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IFERROR(__xludf.DUMMYFUNCTION("IMPORTRANGE(""https://docs.google.com/spreadsheets/d/1eHaY18a8A9IcSdp1K8H6x8fbOy06t2VsZHhMHf-1x7Y/edit?usp=sharing"",""แผน!HK81"")"),0)</f>
        <v>0</v>
      </c>
      <c r="J425" s="670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IFERROR(__xludf.DUMMYFUNCTION("IMPORTRANGE(""https://docs.google.com/spreadsheets/d/1eHaY18a8A9IcSdp1K8H6x8fbOy06t2VsZHhMHf-1x7Y/edit?usp=sharing"",""แผน!HJ81"")"),0)</f>
        <v>0</v>
      </c>
      <c r="J432" s="670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IFERROR(__xludf.DUMMYFUNCTION("IMPORTRANGE(""https://docs.google.com/spreadsheets/d/1eHaY18a8A9IcSdp1K8H6x8fbOy06t2VsZHhMHf-1x7Y/edit?usp=sharing"",""แผน!HK81"")"),0)</f>
        <v>0</v>
      </c>
      <c r="J433" s="670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IFERROR(__xludf.DUMMYFUNCTION("IMPORTRANGE(""https://docs.google.com/spreadsheets/d/1eHaY18a8A9IcSdp1K8H6x8fbOy06t2VsZHhMHf-1x7Y/edit?usp=sharing"",""แผน!HJ81"")"),0)</f>
        <v>0</v>
      </c>
      <c r="J440" s="670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IFERROR(__xludf.DUMMYFUNCTION("IMPORTRANGE(""https://docs.google.com/spreadsheets/d/1eHaY18a8A9IcSdp1K8H6x8fbOy06t2VsZHhMHf-1x7Y/edit?usp=sharing"",""แผน!HK81"")"),0)</f>
        <v>0</v>
      </c>
      <c r="J441" s="670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70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70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2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669"/>
      <c r="B456" s="464" t="s">
        <v>177</v>
      </c>
      <c r="C456" s="463"/>
      <c r="D456" s="463"/>
      <c r="E456" s="463"/>
      <c r="F456" s="463"/>
      <c r="G456" s="474"/>
      <c r="H456" s="671" t="s">
        <v>46</v>
      </c>
      <c r="I456" s="468">
        <f ca="1">I457</f>
        <v>25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IFERROR(__xludf.DUMMYFUNCTION("IMPORTRANGE(""https://docs.google.com/spreadsheets/d/1eHaY18a8A9IcSdp1K8H6x8fbOy06t2VsZHhMHf-1x7Y/edit?usp=sharing"",""แผน!HL81"")"),25)</f>
        <v>25</v>
      </c>
      <c r="J457" s="670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IFERROR(__xludf.DUMMYFUNCTION("IMPORTRANGE(""https://docs.google.com/spreadsheets/d/1eHaY18a8A9IcSdp1K8H6x8fbOy06t2VsZHhMHf-1x7Y/edit?usp=sharing"",""แผน!HM81"")"),0)</f>
        <v>0</v>
      </c>
      <c r="J458" s="670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669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650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IFERROR(__xludf.DUMMYFUNCTION("IMPORTRANGE(""https://docs.google.com/spreadsheets/d/1-uDff_7J0KD5mKrp0Vvzr7lt3OU09vwQwhkpOPPYv2Y/edit?usp=sharing"",""งบพรบ!HU81"")"),0)</f>
        <v>0</v>
      </c>
      <c r="M498" s="47">
        <f ca="1">IFERROR(__xludf.DUMMYFUNCTION("IMPORTRANGE(""https://docs.google.com/spreadsheets/d/1-uDff_7J0KD5mKrp0Vvzr7lt3OU09vwQwhkpOPPYv2Y/edit?usp=sharing"",""งบพรบ!HZ81"")"),0)</f>
        <v>0</v>
      </c>
      <c r="N498" s="47">
        <f ca="1">IFERROR(__xludf.DUMMYFUNCTION("IMPORTRANGE(""https://docs.google.com/spreadsheets/d/1-uDff_7J0KD5mKrp0Vvzr7lt3OU09vwQwhkpOPPYv2Y/edit?usp=sharing"",""งบพรบ!IB81"")"),0)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IFERROR(__xludf.DUMMYFUNCTION("IMPORTRANGE(""https://docs.google.com/spreadsheets/d/1ItG2mGa2ceCfYo0BwxsXqNm01IGEUdYcSSLTEv9YCik/edit?usp=sharing"",""เบิกจ่ายกองทุน!AD81"")"),0)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IFERROR(__xludf.DUMMYFUNCTION("IMPORTRANGE(""https://docs.google.com/spreadsheets/d/1ItG2mGa2ceCfYo0BwxsXqNm01IGEUdYcSSLTEv9YCik/edit?usp=sharing"",""เบิกจ่ายกองทุน!AE81"")"),0)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IFERROR(__xludf.DUMMYFUNCTION("IMPORTRANGE(""https://docs.google.com/spreadsheets/d/1ItG2mGa2ceCfYo0BwxsXqNm01IGEUdYcSSLTEv9YCik/edit?usp=sharing"",""เบิกจ่ายกองทุน!AF81"")"),0)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IFERROR(__xludf.DUMMYFUNCTION("IMPORTRANGE(""https://docs.google.com/spreadsheets/d/1-uDff_7J0KD5mKrp0Vvzr7lt3OU09vwQwhkpOPPYv2Y/edit?usp=sharing"",""งบพรบ!HX81"")"),0)</f>
        <v>0</v>
      </c>
      <c r="M501" s="47">
        <f ca="1">IFERROR(__xludf.DUMMYFUNCTION("IMPORTRANGE(""https://docs.google.com/spreadsheets/d/1-uDff_7J0KD5mKrp0Vvzr7lt3OU09vwQwhkpOPPYv2Y/edit?usp=sharing"",""งบพรบ!IA81"")"),0)</f>
        <v>0</v>
      </c>
      <c r="N501" s="47">
        <f ca="1">IFERROR(__xludf.DUMMYFUNCTION("IMPORTRANGE(""https://docs.google.com/spreadsheets/d/1-uDff_7J0KD5mKrp0Vvzr7lt3OU09vwQwhkpOPPYv2Y/edit?usp=sharing"",""งบพรบ!IC81"")"),0)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IFERROR(__xludf.DUMMYFUNCTION("IMPORTRANGE(""https://docs.google.com/spreadsheets/d/1eHaY18a8A9IcSdp1K8H6x8fbOy06t2VsZHhMHf-1x7Y/edit?usp=sharing"",""แผน!GX81"")"),0)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IFERROR(__xludf.DUMMYFUNCTION("IMPORTRANGE(""https://docs.google.com/spreadsheets/d/1eHaY18a8A9IcSdp1K8H6x8fbOy06t2VsZHhMHf-1x7Y/edit?usp=sharing"",""แผน!GY81"")"),0)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IFERROR(__xludf.DUMMYFUNCTION("IMPORTRANGE(""https://docs.google.com/spreadsheets/d/1eHaY18a8A9IcSdp1K8H6x8fbOy06t2VsZHhMHf-1x7Y/edit?usp=sharing"",""แผน!GZ81"")"),0)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IFERROR(__xludf.DUMMYFUNCTION("IMPORTRANGE(""https://docs.google.com/spreadsheets/d/1eHaY18a8A9IcSdp1K8H6x8fbOy06t2VsZHhMHf-1x7Y/edit?usp=sharing"",""แผน!HA81"")"),0)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IFERROR(__xludf.DUMMYFUNCTION("IMPORTRANGE(""https://docs.google.com/spreadsheets/d/1eHaY18a8A9IcSdp1K8H6x8fbOy06t2VsZHhMHf-1x7Y/edit?usp=sharing"",""แผน!HB81"")"),0)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IFERROR(__xludf.DUMMYFUNCTION("IMPORTRANGE(""https://docs.google.com/spreadsheets/d/1eHaY18a8A9IcSdp1K8H6x8fbOy06t2VsZHhMHf-1x7Y/edit?usp=sharing"",""แผน!HC81"")"),0)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828"/>
      <c r="M510" s="827"/>
      <c r="N510" s="827"/>
      <c r="O510" s="827"/>
      <c r="P510" s="827"/>
      <c r="Q510" s="827"/>
      <c r="R510" s="827"/>
      <c r="S510" s="827"/>
      <c r="T510" s="827"/>
      <c r="U510" s="827"/>
    </row>
    <row r="511" spans="1:21" ht="19.5" hidden="1" x14ac:dyDescent="0.3">
      <c r="A511" s="826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25" t="s">
        <v>207</v>
      </c>
      <c r="C512" s="372"/>
      <c r="D512" s="373"/>
      <c r="E512" s="373"/>
      <c r="F512" s="373"/>
      <c r="G512" s="374"/>
      <c r="H512" s="824" t="s">
        <v>61</v>
      </c>
      <c r="I512" s="823">
        <f>I524</f>
        <v>0</v>
      </c>
      <c r="J512" s="823">
        <f>J524</f>
        <v>0</v>
      </c>
      <c r="K512" s="822">
        <f>IF(I512&gt;0,J512*100/I512,0)</f>
        <v>0</v>
      </c>
      <c r="L512" s="591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21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0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IFERROR(__xludf.DUMMYFUNCTION("IMPORTRANGE(""https://docs.google.com/spreadsheets/d/1-uDff_7J0KD5mKrp0Vvzr7lt3OU09vwQwhkpOPPYv2Y/edit?usp=sharing"",""งบพรบ!FM81"")"),0)</f>
        <v>0</v>
      </c>
      <c r="M518" s="47">
        <f ca="1">IFERROR(__xludf.DUMMYFUNCTION("IMPORTRANGE(""https://docs.google.com/spreadsheets/d/1-uDff_7J0KD5mKrp0Vvzr7lt3OU09vwQwhkpOPPYv2Y/edit?usp=sharing"",""งบพรบ!FR81"")"),0)</f>
        <v>0</v>
      </c>
      <c r="N518" s="47">
        <f ca="1">IFERROR(__xludf.DUMMYFUNCTION("IMPORTRANGE(""https://docs.google.com/spreadsheets/d/1-uDff_7J0KD5mKrp0Vvzr7lt3OU09vwQwhkpOPPYv2Y/edit?usp=sharing"",""งบพรบ!FT81"")"),0)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0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IFERROR(__xludf.DUMMYFUNCTION("IMPORTRANGE(""https://docs.google.com/spreadsheets/d/1-uDff_7J0KD5mKrp0Vvzr7lt3OU09vwQwhkpOPPYv2Y/edit?usp=sharing"",""งบพรบ!FP81"")"),0)</f>
        <v>0</v>
      </c>
      <c r="M521" s="47">
        <f ca="1">IFERROR(__xludf.DUMMYFUNCTION("IMPORTRANGE(""https://docs.google.com/spreadsheets/d/1-uDff_7J0KD5mKrp0Vvzr7lt3OU09vwQwhkpOPPYv2Y/edit?usp=sharing"",""งบพรบ!FS81"")"),0)</f>
        <v>0</v>
      </c>
      <c r="N521" s="47">
        <f ca="1">IFERROR(__xludf.DUMMYFUNCTION("IMPORTRANGE(""https://docs.google.com/spreadsheets/d/1-uDff_7J0KD5mKrp0Vvzr7lt3OU09vwQwhkpOPPYv2Y/edit?usp=sharing"",""งบพรบ!FU81"")"),0)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1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19" t="s">
        <v>209</v>
      </c>
      <c r="E524" s="264"/>
      <c r="F524" s="1"/>
      <c r="G524" s="53"/>
      <c r="H524" s="818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4"/>
      <c r="B525" s="613"/>
      <c r="C525" s="613"/>
      <c r="D525" s="612"/>
      <c r="E525" s="612"/>
      <c r="F525" s="612"/>
      <c r="G525" s="611"/>
      <c r="H525" s="610"/>
      <c r="I525" s="609"/>
      <c r="J525" s="609"/>
      <c r="K525" s="608"/>
      <c r="L525" s="589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89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89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89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89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89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89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2">
        <f>I545</f>
        <v>0</v>
      </c>
      <c r="J533" s="592">
        <f>J545</f>
        <v>0</v>
      </c>
      <c r="K533" s="377">
        <f>IF(I533&gt;0,J533*100/I533,0)</f>
        <v>0</v>
      </c>
      <c r="L533" s="591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IFERROR(__xludf.DUMMYFUNCTION("IMPORTRANGE(""https://docs.google.com/spreadsheets/d/1-uDff_7J0KD5mKrp0Vvzr7lt3OU09vwQwhkpOPPYv2Y/edit?usp=sharing"",""งบพรบ!FW81"")"),0)</f>
        <v>0</v>
      </c>
      <c r="M539" s="47">
        <f ca="1">IFERROR(__xludf.DUMMYFUNCTION("IMPORTRANGE(""https://docs.google.com/spreadsheets/d/1-uDff_7J0KD5mKrp0Vvzr7lt3OU09vwQwhkpOPPYv2Y/edit?usp=sharing"",""งบพรบ!GB81"")"),0)</f>
        <v>0</v>
      </c>
      <c r="N539" s="47">
        <f ca="1">IFERROR(__xludf.DUMMYFUNCTION("IMPORTRANGE(""https://docs.google.com/spreadsheets/d/1-uDff_7J0KD5mKrp0Vvzr7lt3OU09vwQwhkpOPPYv2Y/edit?usp=sharing"",""งบพรบ!GD81"")"),0)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IFERROR(__xludf.DUMMYFUNCTION("IMPORTRANGE(""https://docs.google.com/spreadsheets/d/1-uDff_7J0KD5mKrp0Vvzr7lt3OU09vwQwhkpOPPYv2Y/edit?usp=sharing"",""งบพรบ!FZ81"")"),0)</f>
        <v>0</v>
      </c>
      <c r="M542" s="47">
        <f ca="1">IFERROR(__xludf.DUMMYFUNCTION("IMPORTRANGE(""https://docs.google.com/spreadsheets/d/1-uDff_7J0KD5mKrp0Vvzr7lt3OU09vwQwhkpOPPYv2Y/edit?usp=sharing"",""งบพรบ!GC81"")"),0)</f>
        <v>0</v>
      </c>
      <c r="N542" s="47">
        <f ca="1">IFERROR(__xludf.DUMMYFUNCTION("IMPORTRANGE(""https://docs.google.com/spreadsheets/d/1-uDff_7J0KD5mKrp0Vvzr7lt3OU09vwQwhkpOPPYv2Y/edit?usp=sharing"",""งบพรบ!GE81"")"),0)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89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89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89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89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89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89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89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89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89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2">
        <f>I566</f>
        <v>0</v>
      </c>
      <c r="J554" s="592">
        <f>J566</f>
        <v>0</v>
      </c>
      <c r="K554" s="377">
        <f>IF(I554&gt;0,J554*100/I554,0)</f>
        <v>0</v>
      </c>
      <c r="L554" s="591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IFERROR(__xludf.DUMMYFUNCTION("IMPORTRANGE(""https://docs.google.com/spreadsheets/d/1-uDff_7J0KD5mKrp0Vvzr7lt3OU09vwQwhkpOPPYv2Y/edit?usp=sharing"",""งบพรบ!GG81"")"),0)</f>
        <v>0</v>
      </c>
      <c r="M560" s="47">
        <f ca="1">IFERROR(__xludf.DUMMYFUNCTION("IMPORTRANGE(""https://docs.google.com/spreadsheets/d/1-uDff_7J0KD5mKrp0Vvzr7lt3OU09vwQwhkpOPPYv2Y/edit?usp=sharing"",""งบพรบ!GL81"")"),0)</f>
        <v>0</v>
      </c>
      <c r="N560" s="47">
        <f ca="1">IFERROR(__xludf.DUMMYFUNCTION("IMPORTRANGE(""https://docs.google.com/spreadsheets/d/1-uDff_7J0KD5mKrp0Vvzr7lt3OU09vwQwhkpOPPYv2Y/edit?usp=sharing"",""งบพรบ!GN81"")"),0)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IFERROR(__xludf.DUMMYFUNCTION("IMPORTRANGE(""https://docs.google.com/spreadsheets/d/1-uDff_7J0KD5mKrp0Vvzr7lt3OU09vwQwhkpOPPYv2Y/edit?usp=sharing"",""งบพรบ!GJ81"")"),0)</f>
        <v>0</v>
      </c>
      <c r="M563" s="47">
        <f ca="1">IFERROR(__xludf.DUMMYFUNCTION("IMPORTRANGE(""https://docs.google.com/spreadsheets/d/1-uDff_7J0KD5mKrp0Vvzr7lt3OU09vwQwhkpOPPYv2Y/edit?usp=sharing"",""งบพรบ!GM81"")"),0)</f>
        <v>0</v>
      </c>
      <c r="N563" s="47">
        <f ca="1">IFERROR(__xludf.DUMMYFUNCTION("IMPORTRANGE(""https://docs.google.com/spreadsheets/d/1-uDff_7J0KD5mKrp0Vvzr7lt3OU09vwQwhkpOPPYv2Y/edit?usp=sharing"",""งบพรบ!GO81"")"),0)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89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89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89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89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89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89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89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89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89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2">
        <f>I587</f>
        <v>0</v>
      </c>
      <c r="J575" s="592">
        <f>J587</f>
        <v>0</v>
      </c>
      <c r="K575" s="377">
        <f>IF(I575&gt;0,J575*100/I575,0)</f>
        <v>0</v>
      </c>
      <c r="L575" s="591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IFERROR(__xludf.DUMMYFUNCTION("IMPORTRANGE(""https://docs.google.com/spreadsheets/d/1-uDff_7J0KD5mKrp0Vvzr7lt3OU09vwQwhkpOPPYv2Y/edit?usp=sharing"",""งบพรบ!GQ81"")"),0)</f>
        <v>0</v>
      </c>
      <c r="M581" s="47">
        <f ca="1">IFERROR(__xludf.DUMMYFUNCTION("IMPORTRANGE(""https://docs.google.com/spreadsheets/d/1-uDff_7J0KD5mKrp0Vvzr7lt3OU09vwQwhkpOPPYv2Y/edit?usp=sharing"",""งบพรบ!GV81"")"),0)</f>
        <v>0</v>
      </c>
      <c r="N581" s="47">
        <f ca="1">IFERROR(__xludf.DUMMYFUNCTION("IMPORTRANGE(""https://docs.google.com/spreadsheets/d/1-uDff_7J0KD5mKrp0Vvzr7lt3OU09vwQwhkpOPPYv2Y/edit?usp=sharing"",""งบพรบ!GX81"")"),0)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IFERROR(__xludf.DUMMYFUNCTION("IMPORTRANGE(""https://docs.google.com/spreadsheets/d/1-uDff_7J0KD5mKrp0Vvzr7lt3OU09vwQwhkpOPPYv2Y/edit?usp=sharing"",""งบพรบ!GT81"")"),0)</f>
        <v>0</v>
      </c>
      <c r="M584" s="47">
        <f ca="1">IFERROR(__xludf.DUMMYFUNCTION("IMPORTRANGE(""https://docs.google.com/spreadsheets/d/1-uDff_7J0KD5mKrp0Vvzr7lt3OU09vwQwhkpOPPYv2Y/edit?usp=sharing"",""งบพรบ!GW81"")"),0)</f>
        <v>0</v>
      </c>
      <c r="N584" s="47">
        <f ca="1">IFERROR(__xludf.DUMMYFUNCTION("IMPORTRANGE(""https://docs.google.com/spreadsheets/d/1-uDff_7J0KD5mKrp0Vvzr7lt3OU09vwQwhkpOPPYv2Y/edit?usp=sharing"",""งบพรบ!GY81"")"),0)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89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89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89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89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89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89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89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89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89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8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7" t="s">
        <v>217</v>
      </c>
      <c r="C597" s="183"/>
      <c r="D597" s="125"/>
      <c r="E597" s="28"/>
      <c r="F597" s="28"/>
      <c r="G597" s="28"/>
      <c r="H597" s="586" t="s">
        <v>99</v>
      </c>
      <c r="I597" s="193"/>
      <c r="J597" s="33"/>
      <c r="K597" s="34"/>
      <c r="L597" s="582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5"/>
      <c r="B598" s="584" t="s">
        <v>218</v>
      </c>
      <c r="C598" s="125"/>
      <c r="D598" s="28"/>
      <c r="E598" s="28"/>
      <c r="F598" s="28"/>
      <c r="G598" s="31"/>
      <c r="H598" s="583" t="s">
        <v>35</v>
      </c>
      <c r="I598" s="33"/>
      <c r="J598" s="33"/>
      <c r="K598" s="34"/>
      <c r="L598" s="582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IFERROR(__xludf.DUMMYFUNCTION("IMPORTRANGE(""https://docs.google.com/spreadsheets/d/1-uDff_7J0KD5mKrp0Vvzr7lt3OU09vwQwhkpOPPYv2Y/edit?usp=sharing"",""งบพรบ!HK81"")"),0)</f>
        <v>0</v>
      </c>
      <c r="M604" s="47">
        <f ca="1">IFERROR(__xludf.DUMMYFUNCTION("IMPORTRANGE(""https://docs.google.com/spreadsheets/d/1-uDff_7J0KD5mKrp0Vvzr7lt3OU09vwQwhkpOPPYv2Y/edit?usp=sharing"",""งบพรบ!HP81"")"),0)</f>
        <v>0</v>
      </c>
      <c r="N604" s="47">
        <f ca="1">IFERROR(__xludf.DUMMYFUNCTION("IMPORTRANGE(""https://docs.google.com/spreadsheets/d/1-uDff_7J0KD5mKrp0Vvzr7lt3OU09vwQwhkpOPPYv2Y/edit?usp=sharing"",""งบพรบ!HR81"")"),0)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IFERROR(__xludf.DUMMYFUNCTION("IMPORTRANGE(""https://docs.google.com/spreadsheets/d/1ItG2mGa2ceCfYo0BwxsXqNm01IGEUdYcSSLTEv9YCik/edit?usp=sharing"",""เบิกจ่ายกองทุน!AV81"")"),0)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IFERROR(__xludf.DUMMYFUNCTION("IMPORTRANGE(""https://docs.google.com/spreadsheets/d/1ItG2mGa2ceCfYo0BwxsXqNm01IGEUdYcSSLTEv9YCik/edit?usp=sharing"",""เบิกจ่ายกองทุน!AW81"")"),0)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IFERROR(__xludf.DUMMYFUNCTION("IMPORTRANGE(""https://docs.google.com/spreadsheets/d/1ItG2mGa2ceCfYo0BwxsXqNm01IGEUdYcSSLTEv9YCik/edit?usp=sharing"",""เบิกจ่ายกองทุน!AX81"")"),0)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IFERROR(__xludf.DUMMYFUNCTION("IMPORTRANGE(""https://docs.google.com/spreadsheets/d/1-uDff_7J0KD5mKrp0Vvzr7lt3OU09vwQwhkpOPPYv2Y/edit?usp=sharing"",""งบพรบ!HN81"")"),0)</f>
        <v>0</v>
      </c>
      <c r="M607" s="47">
        <f ca="1">IFERROR(__xludf.DUMMYFUNCTION("IMPORTRANGE(""https://docs.google.com/spreadsheets/d/1-uDff_7J0KD5mKrp0Vvzr7lt3OU09vwQwhkpOPPYv2Y/edit?usp=sharing"",""งบพรบ!HQ81"")"),0)</f>
        <v>0</v>
      </c>
      <c r="N607" s="47">
        <f ca="1">IFERROR(__xludf.DUMMYFUNCTION("IMPORTRANGE(""https://docs.google.com/spreadsheets/d/1-uDff_7J0KD5mKrp0Vvzr7lt3OU09vwQwhkpOPPYv2Y/edit?usp=sharing"",""งบพรบ!HS81"")"),0)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IFERROR(__xludf.DUMMYFUNCTION("IMPORTRANGE(""https://docs.google.com/spreadsheets/d/1ItG2mGa2ceCfYo0BwxsXqNm01IGEUdYcSSLTEv9YCik/edit?usp=sharing"",""เบิกจ่ายกองทุน!AY81"")"),0)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IFERROR(__xludf.DUMMYFUNCTION("IMPORTRANGE(""https://docs.google.com/spreadsheets/d/1ItG2mGa2ceCfYo0BwxsXqNm01IGEUdYcSSLTEv9YCik/edit?usp=sharing"",""เบิกจ่ายกองทุน!AZ81"")"),0)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IFERROR(__xludf.DUMMYFUNCTION("IMPORTRANGE(""https://docs.google.com/spreadsheets/d/1ItG2mGa2ceCfYo0BwxsXqNm01IGEUdYcSSLTEv9YCik/edit?usp=sharing"",""เบิกจ่ายกองทุน!BA81"")"),0)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1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0"/>
      <c r="B612" s="579"/>
      <c r="C612" s="579"/>
      <c r="D612" s="579"/>
      <c r="E612" s="578" t="s">
        <v>222</v>
      </c>
      <c r="F612" s="577"/>
      <c r="G612" s="576"/>
      <c r="H612" s="575" t="s">
        <v>35</v>
      </c>
      <c r="I612" s="574"/>
      <c r="J612" s="574"/>
      <c r="K612" s="573"/>
      <c r="L612" s="572"/>
      <c r="M612" s="571"/>
      <c r="N612" s="571"/>
      <c r="O612" s="571"/>
      <c r="P612" s="571"/>
      <c r="Q612" s="571"/>
      <c r="R612" s="571"/>
      <c r="S612" s="571"/>
      <c r="T612" s="571"/>
      <c r="U612" s="571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0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56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463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188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7300</v>
      </c>
      <c r="R616" s="132">
        <f ca="1">R617+R618</f>
        <v>7300</v>
      </c>
      <c r="S616" s="132">
        <f ca="1">S617+S618</f>
        <v>600</v>
      </c>
      <c r="T616" s="132">
        <f ca="1">IF(Q616&gt;0,S616*100/Q616,0)</f>
        <v>8.2191780821917817</v>
      </c>
      <c r="U616" s="132">
        <f ca="1">IF(R616&gt;0,S616*100/R616,0)</f>
        <v>8.2191780821917817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7300</v>
      </c>
      <c r="R618" s="47">
        <f ca="1">R621+R624</f>
        <v>7300</v>
      </c>
      <c r="S618" s="47">
        <f ca="1">S621+S624</f>
        <v>600</v>
      </c>
      <c r="T618" s="47">
        <f ca="1">IF(Q618&gt;0,S618*100/Q618,0)</f>
        <v>8.2191780821917817</v>
      </c>
      <c r="U618" s="47">
        <f ca="1">IF(R618&gt;0,S618*100/R618,0)</f>
        <v>8.2191780821917817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7300</v>
      </c>
      <c r="R619" s="47">
        <f ca="1">R620+R621</f>
        <v>7300</v>
      </c>
      <c r="S619" s="47">
        <f ca="1">S620+S621</f>
        <v>600</v>
      </c>
      <c r="T619" s="47">
        <f ca="1">IF(Q619&gt;0,S619*100/Q619,0)</f>
        <v>8.2191780821917817</v>
      </c>
      <c r="U619" s="47">
        <f ca="1">IF(R619&gt;0,S619*100/R619,0)</f>
        <v>8.2191780821917817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IFERROR(__xludf.DUMMYFUNCTION("IMPORTRANGE(""https://docs.google.com/spreadsheets/d/1ItG2mGa2ceCfYo0BwxsXqNm01IGEUdYcSSLTEv9YCik/edit?usp=sharing"",""เบิกจ่ายกองทุน!F81"")"),7300)</f>
        <v>7300</v>
      </c>
      <c r="R621" s="47">
        <f ca="1">IFERROR(__xludf.DUMMYFUNCTION("IMPORTRANGE(""https://docs.google.com/spreadsheets/d/1ItG2mGa2ceCfYo0BwxsXqNm01IGEUdYcSSLTEv9YCik/edit?usp=sharing"",""เบิกจ่ายกองทุน!G81"")"),7300)</f>
        <v>7300</v>
      </c>
      <c r="S621" s="47">
        <f ca="1">IFERROR(__xludf.DUMMYFUNCTION("IMPORTRANGE(""https://docs.google.com/spreadsheets/d/1ItG2mGa2ceCfYo0BwxsXqNm01IGEUdYcSSLTEv9YCik/edit?usp=sharing"",""เบิกจ่ายกองทุน!H81"")"),600)</f>
        <v>600</v>
      </c>
      <c r="T621" s="47">
        <f ca="1">IF(Q621&gt;0,S621*100/Q621,0)</f>
        <v>8.2191780821917817</v>
      </c>
      <c r="U621" s="47">
        <f ca="1">IF(R621&gt;0,S621*100/R621,0)</f>
        <v>8.2191780821917817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IFERROR(__xludf.DUMMYFUNCTION("IMPORTRANGE(""https://docs.google.com/spreadsheets/d/1eHaY18a8A9IcSdp1K8H6x8fbOy06t2VsZHhMHf-1x7Y/edit?usp=sharing"",""แผน!ID81"")"),50)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IFERROR(__xludf.DUMMYFUNCTION("IMPORTRANGE(""https://docs.google.com/spreadsheets/d/1eHaY18a8A9IcSdp1K8H6x8fbOy06t2VsZHhMHf-1x7Y/edit?usp=sharing"",""แผน!IC81"")"),1)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IFERROR(__xludf.DUMMYFUNCTION("IMPORTRANGE(""https://docs.google.com/spreadsheets/d/1eHaY18a8A9IcSdp1K8H6x8fbOy06t2VsZHhMHf-1x7Y/edit?usp=sharing"",""แผน!IC81"")"),1)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IFERROR(__xludf.DUMMYFUNCTION("IMPORTRANGE(""https://docs.google.com/spreadsheets/d/1eHaY18a8A9IcSdp1K8H6x8fbOy06t2VsZHhMHf-1x7Y/edit?usp=sharing"",""แผน!IE81"")"),0)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63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IFERROR(__xludf.DUMMYFUNCTION("IMPORTRANGE(""https://docs.google.com/spreadsheets/d/1ItG2mGa2ceCfYo0BwxsXqNm01IGEUdYcSSLTEv9YCik/edit?usp=sharing"",""เบิกจ่ายกองทุน!I81"")"),0)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IFERROR(__xludf.DUMMYFUNCTION("IMPORTRANGE(""https://docs.google.com/spreadsheets/d/1ItG2mGa2ceCfYo0BwxsXqNm01IGEUdYcSSLTEv9YCik/edit?usp=sharing"",""เบิกจ่ายกองทุน!J81"")"),0)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IFERROR(__xludf.DUMMYFUNCTION("IMPORTRANGE(""https://docs.google.com/spreadsheets/d/1ItG2mGa2ceCfYo0BwxsXqNm01IGEUdYcSSLTEv9YCik/edit?usp=sharing"",""เบิกจ่ายกองทุน!K81"")"),0)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IFERROR(__xludf.DUMMYFUNCTION("IMPORTRANGE(""https://docs.google.com/spreadsheets/d/1eHaY18a8A9IcSdp1K8H6x8fbOy06t2VsZHhMHf-1x7Y/edit?usp=sharing"",""แผน!IF81"")"),0)</f>
        <v>0</v>
      </c>
      <c r="J652" s="152">
        <f ca="1">IFERROR(__xludf.DUMMYFUNCTION("IMPORTRANGE(""https://docs.google.com/spreadsheets/d/1tdoBKaGub7dwA3U6UFTqxio9LNnvDCQjHKmttSEBsFQ/edit?usp=sharing"",""จัดที่ดิน!AU81"")"),0)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IFERROR(__xludf.DUMMYFUNCTION("IMPORTRANGE(""https://docs.google.com/spreadsheets/d/1eHaY18a8A9IcSdp1K8H6x8fbOy06t2VsZHhMHf-1x7Y/edit?usp=sharing"",""แผน!IG81"")"),0)</f>
        <v>0</v>
      </c>
      <c r="J653" s="152">
        <f ca="1">IFERROR(__xludf.DUMMYFUNCTION("IMPORTRANGE(""https://docs.google.com/spreadsheets/d/1tdoBKaGub7dwA3U6UFTqxio9LNnvDCQjHKmttSEBsFQ/edit?usp=sharing"",""จัดที่ดิน!AW81"")"),0)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IFERROR(__xludf.DUMMYFUNCTION("IMPORTRANGE(""https://docs.google.com/spreadsheets/d/1eHaY18a8A9IcSdp1K8H6x8fbOy06t2VsZHhMHf-1x7Y/edit?usp=sharing"",""แผน!IH81"")"),0)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IFERROR(__xludf.DUMMYFUNCTION("IMPORTRANGE(""https://docs.google.com/spreadsheets/d/1eHaY18a8A9IcSdp1K8H6x8fbOy06t2VsZHhMHf-1x7Y/edit?usp=sharing"",""แผน!II81"")"),0)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IFERROR(__xludf.DUMMYFUNCTION("IMPORTRANGE(""https://docs.google.com/spreadsheets/d/1eHaY18a8A9IcSdp1K8H6x8fbOy06t2VsZHhMHf-1x7Y/edit?usp=sharing"",""แผน!IJ81"")"),0)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IFERROR(__xludf.DUMMYFUNCTION("IMPORTRANGE(""https://docs.google.com/spreadsheets/d/1eHaY18a8A9IcSdp1K8H6x8fbOy06t2VsZHhMHf-1x7Y/edit?usp=sharing"",""แผน!IK81"")"),0)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IFERROR(__xludf.DUMMYFUNCTION("IMPORTRANGE(""https://docs.google.com/spreadsheets/d/1tdoBKaGub7dwA3U6UFTqxio9LNnvDCQjHKmttSEBsFQ/edit?usp=sharing"",""จัดที่ดิน!AY81"")"),0)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IFERROR(__xludf.DUMMYFUNCTION("IMPORTRANGE(""https://docs.google.com/spreadsheets/d/1tdoBKaGub7dwA3U6UFTqxio9LNnvDCQjHKmttSEBsFQ/edit?usp=sharing"",""จัดที่ดิน!AZ81"")"),0)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IFERROR(__xludf.DUMMYFUNCTION("IMPORTRANGE(""https://docs.google.com/spreadsheets/d/1eHaY18a8A9IcSdp1K8H6x8fbOy06t2VsZHhMHf-1x7Y/edit?usp=sharing"",""แผน!IL81"")"),0)</f>
        <v>0</v>
      </c>
      <c r="J673" s="152">
        <f ca="1">IFERROR(__xludf.DUMMYFUNCTION("IMPORTRANGE(""https://docs.google.com/spreadsheets/d/1tdoBKaGub7dwA3U6UFTqxio9LNnvDCQjHKmttSEBsFQ/edit?usp=sharing"",""จัดที่ดิน!BA81"")"),0)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IFERROR(__xludf.DUMMYFUNCTION("IMPORTRANGE(""https://docs.google.com/spreadsheets/d/1eHaY18a8A9IcSdp1K8H6x8fbOy06t2VsZHhMHf-1x7Y/edit?usp=sharing"",""แผน!IM81"")"),0)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IFERROR(__xludf.DUMMYFUNCTION("IMPORTRANGE(""https://docs.google.com/spreadsheets/d/1eHaY18a8A9IcSdp1K8H6x8fbOy06t2VsZHhMHf-1x7Y/edit?usp=sharing"",""แผน!IN81"")"),0)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IFERROR(__xludf.DUMMYFUNCTION("IMPORTRANGE(""https://docs.google.com/spreadsheets/d/1eHaY18a8A9IcSdp1K8H6x8fbOy06t2VsZHhMHf-1x7Y/edit?usp=sharing"",""แผน!IO81"")"),0)</f>
        <v>0</v>
      </c>
      <c r="J676" s="152">
        <f ca="1">IFERROR(__xludf.DUMMYFUNCTION("IMPORTRANGE(""https://docs.google.com/spreadsheets/d/1tdoBKaGub7dwA3U6UFTqxio9LNnvDCQjHKmttSEBsFQ/edit?usp=sharing"",""จัดที่ดิน!BF81"")"),0)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IFERROR(__xludf.DUMMYFUNCTION("IMPORTRANGE(""https://docs.google.com/spreadsheets/d/1tdoBKaGub7dwA3U6UFTqxio9LNnvDCQjHKmttSEBsFQ/edit?usp=sharing"",""จัดที่ดิน!BG81"")"),0)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IFERROR(__xludf.DUMMYFUNCTION("IMPORTRANGE(""https://docs.google.com/spreadsheets/d/1eHaY18a8A9IcSdp1K8H6x8fbOy06t2VsZHhMHf-1x7Y/edit?usp=sharing"",""แผน!IP81"")"),0)</f>
        <v>0</v>
      </c>
      <c r="J678" s="152">
        <f ca="1">IFERROR(__xludf.DUMMYFUNCTION("IMPORTRANGE(""https://docs.google.com/spreadsheets/d/1tdoBKaGub7dwA3U6UFTqxio9LNnvDCQjHKmttSEBsFQ/edit?usp=sharing"",""จัดที่ดิน!BH81"")"),0)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IFERROR(__xludf.DUMMYFUNCTION("IMPORTRANGE(""https://docs.google.com/spreadsheets/d/1eHaY18a8A9IcSdp1K8H6x8fbOy06t2VsZHhMHf-1x7Y/edit?usp=sharing"",""แผน!IQ81"")"),0)</f>
        <v>0</v>
      </c>
      <c r="J679" s="152">
        <f ca="1">IFERROR(__xludf.DUMMYFUNCTION("IMPORTRANGE(""https://docs.google.com/spreadsheets/d/1tdoBKaGub7dwA3U6UFTqxio9LNnvDCQjHKmttSEBsFQ/edit?usp=sharing"",""จัดที่ดิน!BK81"")"),0)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IFERROR(__xludf.DUMMYFUNCTION("IMPORTRANGE(""https://docs.google.com/spreadsheets/d/1tdoBKaGub7dwA3U6UFTqxio9LNnvDCQjHKmttSEBsFQ/edit?usp=sharing"",""จัดที่ดิน!BL81"")"),0)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IFERROR(__xludf.DUMMYFUNCTION("IMPORTRANGE(""https://docs.google.com/spreadsheets/d/1eHaY18a8A9IcSdp1K8H6x8fbOy06t2VsZHhMHf-1x7Y/edit?usp=sharing"",""แผน!IR81"")"),0)</f>
        <v>0</v>
      </c>
      <c r="J681" s="152">
        <f ca="1">IFERROR(__xludf.DUMMYFUNCTION("IMPORTRANGE(""https://docs.google.com/spreadsheets/d/1tdoBKaGub7dwA3U6UFTqxio9LNnvDCQjHKmttSEBsFQ/edit?usp=sharing"",""จัดที่ดิน!BM81"")"),0)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IFERROR(__xludf.DUMMYFUNCTION("IMPORTRANGE(""https://docs.google.com/spreadsheets/d/1eHaY18a8A9IcSdp1K8H6x8fbOy06t2VsZHhMHf-1x7Y/edit?usp=sharing"",""แผน!IS81"")"),0)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hidden="1" x14ac:dyDescent="0.3">
      <c r="A689" s="456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hidden="1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0</v>
      </c>
      <c r="R690" s="132">
        <f ca="1">R691+R692</f>
        <v>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0</v>
      </c>
      <c r="R692" s="47">
        <f ca="1">R695+R698</f>
        <v>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hidden="1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0</v>
      </c>
      <c r="R693" s="47">
        <f ca="1">R694+R695</f>
        <v>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IFERROR(__xludf.DUMMYFUNCTION("IMPORTRANGE(""https://docs.google.com/spreadsheets/d/1ItG2mGa2ceCfYo0BwxsXqNm01IGEUdYcSSLTEv9YCik/edit?usp=sharing"",""เบิกจ่ายกองทุน!L81"")"),0)</f>
        <v>0</v>
      </c>
      <c r="R695" s="47">
        <f ca="1">IFERROR(__xludf.DUMMYFUNCTION("IMPORTRANGE(""https://docs.google.com/spreadsheets/d/1ItG2mGa2ceCfYo0BwxsXqNm01IGEUdYcSSLTEv9YCik/edit?usp=sharing"",""เบิกจ่ายกองทุน!M81"")"),0)</f>
        <v>0</v>
      </c>
      <c r="S695" s="47">
        <f ca="1">IFERROR(__xludf.DUMMYFUNCTION("IMPORTRANGE(""https://docs.google.com/spreadsheets/d/1ItG2mGa2ceCfYo0BwxsXqNm01IGEUdYcSSLTEv9YCik/edit?usp=sharing"",""เบิกจ่ายกองทุน!N81"")"),0)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hidden="1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hidden="1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hidden="1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IFERROR(__xludf.DUMMYFUNCTION("IMPORTRANGE(""https://docs.google.com/spreadsheets/d/1eHaY18a8A9IcSdp1K8H6x8fbOy06t2VsZHhMHf-1x7Y/edit?usp=sharing"",""แผน!LC81"")"),0)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hidden="1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hidden="1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hidden="1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IFERROR(__xludf.DUMMYFUNCTION("IMPORTRANGE(""https://docs.google.com/spreadsheets/d/1eHaY18a8A9IcSdp1K8H6x8fbOy06t2VsZHhMHf-1x7Y/edit?usp=sharing"",""แผน!LJ81"")"),0)</f>
        <v>0</v>
      </c>
      <c r="J703" s="152">
        <f ca="1">IFERROR(__xludf.DUMMYFUNCTION("IMPORTRANGE(""https://docs.google.com/spreadsheets/d/1tdoBKaGub7dwA3U6UFTqxio9LNnvDCQjHKmttSEBsFQ/edit?usp=sharing"",""จัดที่ดิน!AP81"")"),0)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IFERROR(__xludf.DUMMYFUNCTION("IMPORTRANGE(""https://docs.google.com/spreadsheets/d/1tdoBKaGub7dwA3U6UFTqxio9LNnvDCQjHKmttSEBsFQ/edit?usp=sharing"",""จัดที่ดิน!AQ81"")"),0)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IFERROR(__xludf.DUMMYFUNCTION("IMPORTRANGE(""https://docs.google.com/spreadsheets/d/1eHaY18a8A9IcSdp1K8H6x8fbOy06t2VsZHhMHf-1x7Y/edit?usp=sharing"",""แผน!LK81"")"),0)</f>
        <v>0</v>
      </c>
      <c r="J705" s="152">
        <f ca="1">IFERROR(__xludf.DUMMYFUNCTION("IMPORTRANGE(""https://docs.google.com/spreadsheets/d/1tdoBKaGub7dwA3U6UFTqxio9LNnvDCQjHKmttSEBsFQ/edit?usp=sharing"",""จัดที่ดิน!AR81"")"),0)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IFERROR(__xludf.DUMMYFUNCTION("IMPORTRANGE(""https://docs.google.com/spreadsheets/d/1tdoBKaGub7dwA3U6UFTqxio9LNnvDCQjHKmttSEBsFQ/edit?usp=sharing"",""จัดที่ดิน!AS81"")"),0)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IFERROR(__xludf.DUMMYFUNCTION("IMPORTRANGE(""https://docs.google.com/spreadsheets/d/1eHaY18a8A9IcSdp1K8H6x8fbOy06t2VsZHhMHf-1x7Y/edit?usp=sharing"",""แผน!LJ81"")"),0)</f>
        <v>0</v>
      </c>
      <c r="J707" s="152">
        <f ca="1">IFERROR(__xludf.DUMMYFUNCTION("IMPORTRANGE(""https://docs.google.com/spreadsheets/d/1tdoBKaGub7dwA3U6UFTqxio9LNnvDCQjHKmttSEBsFQ/edit?usp=sharing"",""จัดที่ดิน!BN81"")"),0)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IFERROR(__xludf.DUMMYFUNCTION("IMPORTRANGE(""https://docs.google.com/spreadsheets/d/1tdoBKaGub7dwA3U6UFTqxio9LNnvDCQjHKmttSEBsFQ/edit?usp=sharing"",""จัดที่ดิน!BO81"")"),0)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IFERROR(__xludf.DUMMYFUNCTION("IMPORTRANGE(""https://docs.google.com/spreadsheets/d/1eHaY18a8A9IcSdp1K8H6x8fbOy06t2VsZHhMHf-1x7Y/edit?usp=sharing"",""แผน!LK81"")"),0)</f>
        <v>0</v>
      </c>
      <c r="J709" s="152">
        <f ca="1">IFERROR(__xludf.DUMMYFUNCTION("IMPORTRANGE(""https://docs.google.com/spreadsheets/d/1tdoBKaGub7dwA3U6UFTqxio9LNnvDCQjHKmttSEBsFQ/edit?usp=sharing"",""จัดที่ดิน!BP81"")"),0)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hidden="1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IFERROR(__xludf.DUMMYFUNCTION("IMPORTRANGE(""https://docs.google.com/spreadsheets/d/1tdoBKaGub7dwA3U6UFTqxio9LNnvDCQjHKmttSEBsFQ/edit?usp=sharing"",""จัดที่ดิน!BQ81"")"),0)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56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56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56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IFERROR(__xludf.DUMMYFUNCTION("IMPORTRANGE(""https://docs.google.com/spreadsheets/d/1eHaY18a8A9IcSdp1K8H6x8fbOy06t2VsZHhMHf-1x7Y/edit?usp=sharing"",""แผน!GA81"")"),16)</f>
        <v>16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IFERROR(__xludf.DUMMYFUNCTION("IMPORTRANGE(""https://docs.google.com/spreadsheets/d/1eHaY18a8A9IcSdp1K8H6x8fbOy06t2VsZHhMHf-1x7Y/edit?usp=sharing"",""แผน!FZ81"")"),150)</f>
        <v>150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188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143438</v>
      </c>
      <c r="R728" s="132">
        <f ca="1">R729+R730</f>
        <v>143438</v>
      </c>
      <c r="S728" s="132">
        <f ca="1">S729+S730</f>
        <v>4100</v>
      </c>
      <c r="T728" s="132">
        <f ca="1">IF(Q728&gt;0,S728*100/Q728,0)</f>
        <v>2.8583778357199625</v>
      </c>
      <c r="U728" s="132">
        <f ca="1">IF(R728&gt;0,S728*100/R728,0)</f>
        <v>2.8583778357199625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143438</v>
      </c>
      <c r="R730" s="47">
        <f ca="1">R733+R736</f>
        <v>143438</v>
      </c>
      <c r="S730" s="47">
        <f ca="1">S733+S736</f>
        <v>4100</v>
      </c>
      <c r="T730" s="47">
        <f ca="1">IF(Q730&gt;0,S730*100/Q730,0)</f>
        <v>2.8583778357199625</v>
      </c>
      <c r="U730" s="47">
        <f ca="1">IF(R730&gt;0,S730*100/R730,0)</f>
        <v>2.8583778357199625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143438</v>
      </c>
      <c r="R731" s="47">
        <f ca="1">R732+R733</f>
        <v>143438</v>
      </c>
      <c r="S731" s="47">
        <f ca="1">S732+S733</f>
        <v>4100</v>
      </c>
      <c r="T731" s="47">
        <f ca="1">IF(Q731&gt;0,S731*100/Q731,0)</f>
        <v>2.8583778357199625</v>
      </c>
      <c r="U731" s="47">
        <f ca="1">IF(R731&gt;0,S731*100/R731,0)</f>
        <v>2.8583778357199625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IFERROR(__xludf.DUMMYFUNCTION("IMPORTRANGE(""https://docs.google.com/spreadsheets/d/1ItG2mGa2ceCfYo0BwxsXqNm01IGEUdYcSSLTEv9YCik/edit?usp=sharing"",""เบิกจ่ายกองทุน!O81"")"),143438)</f>
        <v>143438</v>
      </c>
      <c r="R733" s="47">
        <f ca="1">IFERROR(__xludf.DUMMYFUNCTION("IMPORTRANGE(""https://docs.google.com/spreadsheets/d/1ItG2mGa2ceCfYo0BwxsXqNm01IGEUdYcSSLTEv9YCik/edit?usp=sharing"",""เบิกจ่ายกองทุน!P81"")"),143438)</f>
        <v>143438</v>
      </c>
      <c r="S733" s="47">
        <f ca="1">IFERROR(__xludf.DUMMYFUNCTION("IMPORTRANGE(""https://docs.google.com/spreadsheets/d/1ItG2mGa2ceCfYo0BwxsXqNm01IGEUdYcSSLTEv9YCik/edit?usp=sharing"",""เบิกจ่ายกองทุน!Q81"")"),4100)</f>
        <v>4100</v>
      </c>
      <c r="T733" s="47">
        <f ca="1">IF(Q733&gt;0,S733*100/Q733,0)</f>
        <v>2.8583778357199625</v>
      </c>
      <c r="U733" s="47">
        <f ca="1">IF(R733&gt;0,S733*100/R733,0)</f>
        <v>2.8583778357199625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72" t="s">
        <v>274</v>
      </c>
      <c r="G740" s="143"/>
      <c r="H740" s="133" t="s">
        <v>46</v>
      </c>
      <c r="I740" s="152">
        <f ca="1">IFERROR(__xludf.DUMMYFUNCTION("IMPORTRANGE(""https://docs.google.com/spreadsheets/d/1eHaY18a8A9IcSdp1K8H6x8fbOy06t2VsZHhMHf-1x7Y/edit?usp=sharing"",""แผน!GB81"")"),120)</f>
        <v>120</v>
      </c>
      <c r="J740" s="167">
        <v>0</v>
      </c>
      <c r="K740" s="47">
        <f ca="1">IF(I740&gt;0,J740*100/I740,0)</f>
        <v>0</v>
      </c>
      <c r="L740" s="546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IFERROR(__xludf.DUMMYFUNCTION("IMPORTRANGE(""https://docs.google.com/spreadsheets/d/1eHaY18a8A9IcSdp1K8H6x8fbOy06t2VsZHhMHf-1x7Y/edit?usp=sharing"",""แผน!GC81"")"),12)</f>
        <v>12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IFERROR(__xludf.DUMMYFUNCTION("IMPORTRANGE(""https://docs.google.com/spreadsheets/d/1eHaY18a8A9IcSdp1K8H6x8fbOy06t2VsZHhMHf-1x7Y/edit?usp=sharing"",""แผน!GD81"")"),30)</f>
        <v>30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IFERROR(__xludf.DUMMYFUNCTION("IMPORTRANGE(""https://docs.google.com/spreadsheets/d/1eHaY18a8A9IcSdp1K8H6x8fbOy06t2VsZHhMHf-1x7Y/edit?usp=sharing"",""แผน!GE81"")"),3)</f>
        <v>3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IFERROR(__xludf.DUMMYFUNCTION("IMPORTRANGE(""https://docs.google.com/spreadsheets/d/1eHaY18a8A9IcSdp1K8H6x8fbOy06t2VsZHhMHf-1x7Y/edit?usp=sharing"",""แผน!GF81"")"),1)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IFERROR(__xludf.DUMMYFUNCTION("IMPORTRANGE(""https://docs.google.com/spreadsheets/d/1eHaY18a8A9IcSdp1K8H6x8fbOy06t2VsZHhMHf-1x7Y/edit?usp=sharing"",""แผน!GB81"")"),120)</f>
        <v>120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IFERROR(__xludf.DUMMYFUNCTION("IMPORTRANGE(""https://docs.google.com/spreadsheets/d/1eHaY18a8A9IcSdp1K8H6x8fbOy06t2VsZHhMHf-1x7Y/edit?usp=sharing"",""แผน!GD81"")"),30)</f>
        <v>30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9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56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20</v>
      </c>
      <c r="J758" s="483">
        <f>J772</f>
        <v>20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60</v>
      </c>
      <c r="J759" s="483">
        <f>J774</f>
        <v>60</v>
      </c>
      <c r="K759" s="484">
        <f ca="1">IF(I759&gt;0,J759*100/I759,0)</f>
        <v>100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160660</v>
      </c>
      <c r="R760" s="132">
        <f ca="1">R761+R762</f>
        <v>160660</v>
      </c>
      <c r="S760" s="132">
        <f ca="1">S761+S762</f>
        <v>63735</v>
      </c>
      <c r="T760" s="132">
        <f ca="1">IF(Q760&gt;0,S760*100/Q760,0)</f>
        <v>39.670733225445041</v>
      </c>
      <c r="U760" s="132">
        <f ca="1">IF(R760&gt;0,S760*100/R760,0)</f>
        <v>39.670733225445041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160660</v>
      </c>
      <c r="R762" s="47">
        <f ca="1">R765+R768</f>
        <v>160660</v>
      </c>
      <c r="S762" s="47">
        <f ca="1">S765+S768</f>
        <v>63735</v>
      </c>
      <c r="T762" s="47">
        <f ca="1">IF(Q762&gt;0,S762*100/Q762,0)</f>
        <v>39.670733225445041</v>
      </c>
      <c r="U762" s="47">
        <f ca="1">IF(R762&gt;0,S762*100/R762,0)</f>
        <v>39.670733225445041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160660</v>
      </c>
      <c r="R763" s="47">
        <f ca="1">R764+R765</f>
        <v>160660</v>
      </c>
      <c r="S763" s="47">
        <f ca="1">S764+S765</f>
        <v>63735</v>
      </c>
      <c r="T763" s="47">
        <f ca="1">IF(Q763&gt;0,S763*100/Q763,0)</f>
        <v>39.670733225445041</v>
      </c>
      <c r="U763" s="47">
        <f ca="1">IF(R763&gt;0,S763*100/R763,0)</f>
        <v>39.670733225445041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IFERROR(__xludf.DUMMYFUNCTION("IMPORTRANGE(""https://docs.google.com/spreadsheets/d/1ItG2mGa2ceCfYo0BwxsXqNm01IGEUdYcSSLTEv9YCik/edit?usp=sharing"",""เบิกจ่ายกองทุน!AA81"")"),160660)</f>
        <v>160660</v>
      </c>
      <c r="R765" s="47">
        <f ca="1">IFERROR(__xludf.DUMMYFUNCTION("IMPORTRANGE(""https://docs.google.com/spreadsheets/d/1ItG2mGa2ceCfYo0BwxsXqNm01IGEUdYcSSLTEv9YCik/edit?usp=sharing"",""เบิกจ่ายกองทุน!AB81"")"),160660)</f>
        <v>160660</v>
      </c>
      <c r="S765" s="47">
        <f ca="1">IFERROR(__xludf.DUMMYFUNCTION("IMPORTRANGE(""https://docs.google.com/spreadsheets/d/1ItG2mGa2ceCfYo0BwxsXqNm01IGEUdYcSSLTEv9YCik/edit?usp=sharing"",""เบิกจ่ายกองทุน!AC81"")"),63735)</f>
        <v>63735</v>
      </c>
      <c r="T765" s="47">
        <f ca="1">IF(Q765&gt;0,S765*100/Q765,0)</f>
        <v>39.670733225445041</v>
      </c>
      <c r="U765" s="47">
        <f ca="1">IF(R765&gt;0,S765*100/R765,0)</f>
        <v>39.670733225445041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IFERROR(__xludf.DUMMYFUNCTION("IMPORTRANGE(""https://docs.google.com/spreadsheets/d/1eHaY18a8A9IcSdp1K8H6x8fbOy06t2VsZHhMHf-1x7Y/edit?usp=sharing"",""แผน!FI81"")"),0)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IFERROR(__xludf.DUMMYFUNCTION("IMPORTRANGE(""https://docs.google.com/spreadsheets/d/1eHaY18a8A9IcSdp1K8H6x8fbOy06t2VsZHhMHf-1x7Y/edit?usp=sharing"",""แผน!FQ81"")"),20)</f>
        <v>20</v>
      </c>
      <c r="J772" s="167">
        <v>20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IFERROR(__xludf.DUMMYFUNCTION("IMPORTRANGE(""https://docs.google.com/spreadsheets/d/1eHaY18a8A9IcSdp1K8H6x8fbOy06t2VsZHhMHf-1x7Y/edit?usp=sharing"",""แผน!FR81"")"),60)</f>
        <v>60</v>
      </c>
      <c r="J774" s="167">
        <v>60</v>
      </c>
      <c r="K774" s="47">
        <f ca="1">IF(I774&gt;0,J774*100/I774,0)</f>
        <v>100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IFERROR(__xludf.DUMMYFUNCTION("IMPORTRANGE(""https://docs.google.com/spreadsheets/d/1eHaY18a8A9IcSdp1K8H6x8fbOy06t2VsZHhMHf-1x7Y/edit?usp=sharing"",""แผน!FS81"")"),60)</f>
        <v>60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IFERROR(__xludf.DUMMYFUNCTION("IMPORTRANGE(""https://docs.google.com/spreadsheets/d/1eHaY18a8A9IcSdp1K8H6x8fbOy06t2VsZHhMHf-1x7Y/edit?usp=sharing"",""แผน!FT81"")"),20)</f>
        <v>20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IFERROR(__xludf.DUMMYFUNCTION("IMPORTRANGE(""https://docs.google.com/spreadsheets/d/10OvvATaaLtwErnr3qtWFcTmtbfpFEt5Bsqel9sXx0uE/edit?usp=sharing"",""งานกองทุน!D81"")"),631714.82)</f>
        <v>631714.81999999995</v>
      </c>
      <c r="J778" s="152">
        <f ca="1">IFERROR(__xludf.DUMMYFUNCTION("IMPORTRANGE(""https://docs.google.com/spreadsheets/d/10OvvATaaLtwErnr3qtWFcTmtbfpFEt5Bsqel9sXx0uE/edit?usp=sharing"",""งานกองทุน!F81"")"),497377.62)</f>
        <v>497377.62</v>
      </c>
      <c r="K778" s="47">
        <f ca="1">IF(I778&gt;0,J778*100/I778,0)</f>
        <v>78.734518211872896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IFERROR(__xludf.DUMMYFUNCTION("IMPORTRANGE(""https://docs.google.com/spreadsheets/d/10OvvATaaLtwErnr3qtWFcTmtbfpFEt5Bsqel9sXx0uE/edit?usp=sharing"",""งานกองทุน!C81"")"),48)</f>
        <v>48</v>
      </c>
      <c r="J779" s="152">
        <f ca="1">IFERROR(__xludf.DUMMYFUNCTION("IMPORTRANGE(""https://docs.google.com/spreadsheets/d/10OvvATaaLtwErnr3qtWFcTmtbfpFEt5Bsqel9sXx0uE/edit?usp=sharing"",""งานกองทุน!E81"")"),41)</f>
        <v>41</v>
      </c>
      <c r="K779" s="47">
        <f ca="1">IF(I779&gt;0,J779*100/I779,0)</f>
        <v>85.416666666666671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IFERROR(__xludf.DUMMYFUNCTION("IMPORTRANGE(""https://docs.google.com/spreadsheets/d/10OvvATaaLtwErnr3qtWFcTmtbfpFEt5Bsqel9sXx0uE/edit?usp=sharing"",""งานกองทุน!I81"")"),241988.76)</f>
        <v>241988.76</v>
      </c>
      <c r="J780" s="152">
        <f ca="1">IFERROR(__xludf.DUMMYFUNCTION("IMPORTRANGE(""https://docs.google.com/spreadsheets/d/10OvvATaaLtwErnr3qtWFcTmtbfpFEt5Bsqel9sXx0uE/edit?usp=sharing"",""งานกองทุน!K81"")"),6422.2)</f>
        <v>6422.2</v>
      </c>
      <c r="K780" s="47">
        <f ca="1">IF(I780&gt;0,J780*100/I780,0)</f>
        <v>2.6539249178350266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IFERROR(__xludf.DUMMYFUNCTION("IMPORTRANGE(""https://docs.google.com/spreadsheets/d/10OvvATaaLtwErnr3qtWFcTmtbfpFEt5Bsqel9sXx0uE/edit?usp=sharing"",""งานกองทุน!H81"")"),10)</f>
        <v>10</v>
      </c>
      <c r="J781" s="152">
        <f ca="1">IFERROR(__xludf.DUMMYFUNCTION("IMPORTRANGE(""https://docs.google.com/spreadsheets/d/10OvvATaaLtwErnr3qtWFcTmtbfpFEt5Bsqel9sXx0uE/edit?usp=sharing"",""งานกองทุน!J81"")"),5)</f>
        <v>5</v>
      </c>
      <c r="K781" s="47">
        <f ca="1">IF(I781&gt;0,J781*100/I781,0)</f>
        <v>50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IFERROR(__xludf.DUMMYFUNCTION("IMPORTRANGE(""https://docs.google.com/spreadsheets/d/10OvvATaaLtwErnr3qtWFcTmtbfpFEt5Bsqel9sXx0uE/edit?usp=sharing"",""งานกองทุน!N81"")"),32084.12)</f>
        <v>32084.12</v>
      </c>
      <c r="J782" s="152">
        <f ca="1">IFERROR(__xludf.DUMMYFUNCTION("IMPORTRANGE(""https://docs.google.com/spreadsheets/d/10OvvATaaLtwErnr3qtWFcTmtbfpFEt5Bsqel9sXx0uE/edit?usp=sharing"",""งานกองทุน!P81"")"),12655.46)</f>
        <v>12655.46</v>
      </c>
      <c r="K782" s="47">
        <f ca="1">IF(I782&gt;0,J782*100/I782,0)</f>
        <v>39.444622448737881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IFERROR(__xludf.DUMMYFUNCTION("IMPORTRANGE(""https://docs.google.com/spreadsheets/d/10OvvATaaLtwErnr3qtWFcTmtbfpFEt5Bsqel9sXx0uE/edit?usp=sharing"",""งานกองทุน!M81"")"),51)</f>
        <v>51</v>
      </c>
      <c r="J783" s="152">
        <f ca="1">IFERROR(__xludf.DUMMYFUNCTION("IMPORTRANGE(""https://docs.google.com/spreadsheets/d/10OvvATaaLtwErnr3qtWFcTmtbfpFEt5Bsqel9sXx0uE/edit?usp=sharing"",""งานกองทุน!O81"")"),29)</f>
        <v>29</v>
      </c>
      <c r="K783" s="47">
        <f ca="1">IF(I783&gt;0,J783*100/I783,0)</f>
        <v>56.862745098039213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IFERROR(__xludf.DUMMYFUNCTION("IMPORTRANGE(""https://docs.google.com/spreadsheets/d/10OvvATaaLtwErnr3qtWFcTmtbfpFEt5Bsqel9sXx0uE/edit?usp=sharing"",""งานกองทุน!S81"")"),756000)</f>
        <v>756000</v>
      </c>
      <c r="J784" s="152">
        <f ca="1">IFERROR(__xludf.DUMMYFUNCTION("IMPORTRANGE(""https://docs.google.com/spreadsheets/d/10OvvATaaLtwErnr3qtWFcTmtbfpFEt5Bsqel9sXx0uE/edit?usp=sharing"",""งานกองทุน!U81"")"),800000)</f>
        <v>800000</v>
      </c>
      <c r="K784" s="47">
        <f ca="1">IF(I784&gt;0,J784*100/I784,0)</f>
        <v>105.82010582010582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IFERROR(__xludf.DUMMYFUNCTION("IMPORTRANGE(""https://docs.google.com/spreadsheets/d/10OvvATaaLtwErnr3qtWFcTmtbfpFEt5Bsqel9sXx0uE/edit?usp=sharing"",""งานกองทุน!R81"")"),27)</f>
        <v>27</v>
      </c>
      <c r="J785" s="197">
        <f ca="1">IFERROR(__xludf.DUMMYFUNCTION("IMPORTRANGE(""https://docs.google.com/spreadsheets/d/10OvvATaaLtwErnr3qtWFcTmtbfpFEt5Bsqel9sXx0uE/edit?usp=sharing"",""งานกองทุน!T81"")"),20)</f>
        <v>20</v>
      </c>
      <c r="K785" s="111">
        <f ca="1">IF(I785&gt;0,J785*100/I785,0)</f>
        <v>74.074074074074076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4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BC61A-329D-42DD-9848-085921D70159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 x14ac:dyDescent="0.3">
      <c r="A1" s="817" t="s">
        <v>0</v>
      </c>
      <c r="B1" s="817"/>
      <c r="C1" s="817"/>
      <c r="D1" s="817"/>
      <c r="E1" s="817"/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7"/>
      <c r="R1" s="817"/>
      <c r="S1" s="817"/>
      <c r="T1" s="817"/>
      <c r="U1" s="817"/>
    </row>
    <row r="2" spans="1:21" s="897" customFormat="1" ht="19.5" x14ac:dyDescent="0.3">
      <c r="A2" s="817" t="s">
        <v>322</v>
      </c>
      <c r="B2" s="817"/>
      <c r="C2" s="817"/>
      <c r="D2" s="817"/>
      <c r="E2" s="817"/>
      <c r="F2" s="817"/>
      <c r="G2" s="817"/>
      <c r="H2" s="817"/>
      <c r="I2" s="817"/>
      <c r="J2" s="817"/>
      <c r="K2" s="817"/>
      <c r="L2" s="817"/>
      <c r="M2" s="817"/>
      <c r="N2" s="817"/>
      <c r="O2" s="817"/>
      <c r="P2" s="817"/>
      <c r="Q2" s="817"/>
      <c r="R2" s="817"/>
      <c r="S2" s="817"/>
      <c r="T2" s="817"/>
      <c r="U2" s="817"/>
    </row>
    <row r="3" spans="1:21" ht="19.5" x14ac:dyDescent="0.3">
      <c r="A3" s="817" t="s">
        <v>332</v>
      </c>
      <c r="B3" s="817"/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  <c r="S3" s="817"/>
      <c r="T3" s="817"/>
      <c r="U3" s="817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816"/>
      <c r="L4" s="815" t="s">
        <v>2</v>
      </c>
      <c r="M4" s="518"/>
      <c r="N4" s="518"/>
      <c r="O4" s="518"/>
      <c r="P4" s="519"/>
      <c r="Q4" s="814" t="s">
        <v>3</v>
      </c>
      <c r="R4" s="518"/>
      <c r="S4" s="518"/>
      <c r="T4" s="518"/>
      <c r="U4" s="519"/>
    </row>
    <row r="5" spans="1:21" ht="19.5" x14ac:dyDescent="0.3">
      <c r="A5" s="813" t="s">
        <v>4</v>
      </c>
      <c r="B5" s="522"/>
      <c r="C5" s="522"/>
      <c r="D5" s="522"/>
      <c r="E5" s="522"/>
      <c r="F5" s="522"/>
      <c r="G5" s="535"/>
      <c r="H5" s="812" t="s">
        <v>5</v>
      </c>
      <c r="I5" s="527" t="s">
        <v>6</v>
      </c>
      <c r="J5" s="518"/>
      <c r="K5" s="519"/>
      <c r="L5" s="811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0"/>
      <c r="I6" s="7" t="s">
        <v>9</v>
      </c>
      <c r="J6" s="8" t="s">
        <v>10</v>
      </c>
      <c r="K6" s="7" t="s">
        <v>11</v>
      </c>
      <c r="L6" s="809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2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10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1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1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1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1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1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1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1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1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10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08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7">
        <f ca="1">L19+L20</f>
        <v>2569945</v>
      </c>
      <c r="M18" s="35">
        <f ca="1">M19+M20</f>
        <v>2640245</v>
      </c>
      <c r="N18" s="35">
        <f ca="1">N19+N20</f>
        <v>1678292.7400000002</v>
      </c>
      <c r="O18" s="35">
        <f ca="1">IF(L18&gt;0,N18*100/L18,0)</f>
        <v>65.30461702487797</v>
      </c>
      <c r="P18" s="35">
        <f ca="1">IF(M18&gt;0,N18*100/M18,0)</f>
        <v>63.565795598514541</v>
      </c>
      <c r="Q18" s="35">
        <f ca="1">Q19+Q20</f>
        <v>5145872.24</v>
      </c>
      <c r="R18" s="35">
        <f ca="1">R19+R20</f>
        <v>5223422</v>
      </c>
      <c r="S18" s="35">
        <f ca="1">S19+S20</f>
        <v>552206.91</v>
      </c>
      <c r="T18" s="35">
        <f ca="1">IF(Q18&gt;0,S18*100/Q18,0)</f>
        <v>10.731065293607056</v>
      </c>
      <c r="U18" s="35">
        <f ca="1">IF(R18&gt;0,S18*100/R18,0)</f>
        <v>10.571746069913555</v>
      </c>
    </row>
    <row r="19" spans="1:21" ht="18.75" hidden="1" x14ac:dyDescent="0.25">
      <c r="A19" s="27"/>
      <c r="B19" s="28"/>
      <c r="C19" s="28"/>
      <c r="D19" s="28"/>
      <c r="E19" s="806" t="s">
        <v>20</v>
      </c>
      <c r="F19" s="28"/>
      <c r="G19" s="31"/>
      <c r="H19" s="805" t="s">
        <v>14</v>
      </c>
      <c r="I19" s="33"/>
      <c r="J19" s="33"/>
      <c r="K19" s="34"/>
      <c r="L19" s="804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3">
        <f ca="1">L23+L26</f>
        <v>2569945</v>
      </c>
      <c r="M20" s="39">
        <f ca="1">M23+M26</f>
        <v>2640245</v>
      </c>
      <c r="N20" s="39">
        <f ca="1">N23+N26</f>
        <v>1678292.7400000002</v>
      </c>
      <c r="O20" s="39">
        <f ca="1">IF(L20&gt;0,N20*100/L20,0)</f>
        <v>65.30461702487797</v>
      </c>
      <c r="P20" s="39">
        <f ca="1">IF(M20&gt;0,N20*100/M20,0)</f>
        <v>63.565795598514541</v>
      </c>
      <c r="Q20" s="39">
        <f ca="1">Q23+Q26</f>
        <v>5145872.24</v>
      </c>
      <c r="R20" s="39">
        <f ca="1">R23+R26</f>
        <v>5223422</v>
      </c>
      <c r="S20" s="39">
        <f ca="1">S23+S26</f>
        <v>552206.91</v>
      </c>
      <c r="T20" s="39">
        <f ca="1">IF(Q20&gt;0,S20*100/Q20,0)</f>
        <v>10.731065293607056</v>
      </c>
      <c r="U20" s="39">
        <f ca="1">IF(R20&gt;0,S20*100/R20,0)</f>
        <v>10.571746069913555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2569945</v>
      </c>
      <c r="M21" s="47">
        <f ca="1">M22+M23</f>
        <v>2640245</v>
      </c>
      <c r="N21" s="47">
        <f ca="1">N22+N23</f>
        <v>1678292.7400000002</v>
      </c>
      <c r="O21" s="47">
        <f ca="1">IF(L21&gt;0,N21*100/L21,0)</f>
        <v>65.30461702487797</v>
      </c>
      <c r="P21" s="47">
        <f ca="1">IF(M21&gt;0,N21*100/M21,0)</f>
        <v>63.565795598514541</v>
      </c>
      <c r="Q21" s="47">
        <f ca="1">Q22+Q23</f>
        <v>1795872.24</v>
      </c>
      <c r="R21" s="47">
        <f ca="1">R22+R23</f>
        <v>1873422</v>
      </c>
      <c r="S21" s="47">
        <f ca="1">S22+S23</f>
        <v>552206.91</v>
      </c>
      <c r="T21" s="47">
        <f ca="1">IF(Q21&gt;0,S21*100/Q21,0)</f>
        <v>30.748674527092195</v>
      </c>
      <c r="U21" s="47">
        <f ca="1">IF(R21&gt;0,S21*100/R21,0)</f>
        <v>29.475842068685004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4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L49+L64+L77+L99+L130+L144+L162+L191+L178+L271+L287+L308+L325+L338+L361+L518</f>
        <v>2569945</v>
      </c>
      <c r="M23" s="47">
        <f ca="1">M49+M64+M77+M99+M130+M144+M162+M191+M178+M271+M287+M308+M325+M338+M361+M518</f>
        <v>2640245</v>
      </c>
      <c r="N23" s="47">
        <f ca="1">N49+N64+N77+N99+N130+N144+N162+N191+N178+N271+N287+N308+N325+N338+N361+N518</f>
        <v>1678292.7400000002</v>
      </c>
      <c r="O23" s="47">
        <f ca="1">IF(L23&gt;0,N23*100/L23,0)</f>
        <v>65.30461702487797</v>
      </c>
      <c r="P23" s="47">
        <f ca="1">IF(M23&gt;0,N23*100/M23,0)</f>
        <v>63.565795598514541</v>
      </c>
      <c r="Q23" s="47">
        <f ca="1">Q77+Q99+Q122+Q144+Q162+Q178+Q191+Q271+Q287+Q308+Q338+Q380+Q397+Q418+Q498+Q604+Q621+Q647+Q695+Q719+Q733+Q765</f>
        <v>1795872.24</v>
      </c>
      <c r="R23" s="47">
        <f ca="1">R77+R99+R122+R144+R162+R178+R191+R271+R287+R308+R338+R380+R397+R418+R498+R604+R621+R647+R695+R719+R733+R765</f>
        <v>1873422</v>
      </c>
      <c r="S23" s="47">
        <f ca="1">S77+S99+S122+S144+S162+S178+S191+S271+S287+S308+S338+S380+S397+S418+S498+S604+S621+S647+S695+S719+S733+S765</f>
        <v>552206.91</v>
      </c>
      <c r="T23" s="47">
        <f ca="1">IF(Q23&gt;0,S23*100/Q23,0)</f>
        <v>30.748674527092195</v>
      </c>
      <c r="U23" s="47">
        <f ca="1">IF(R23&gt;0,S23*100/R23,0)</f>
        <v>29.475842068685004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3350000</v>
      </c>
      <c r="R24" s="47">
        <f ca="1">R25+R26</f>
        <v>3350000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4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L52+L67+L80+L102+L133+L147+L165+L194+L181+L274+L290+L311+L328+L341+L364+L521</f>
        <v>0</v>
      </c>
      <c r="M26" s="47">
        <f ca="1">M52+M67+M80+M102+M133+M147+M165+M194+M181+M274+M290+M311+M328+M341+M364+M521</f>
        <v>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3350000</v>
      </c>
      <c r="R26" s="49">
        <f ca="1">R80+R102+R125+R147+R165+R181+R194+R274+R290+R311+R341+R383+R400+R421+R501+R607+R624+R650+R698+R722+R736+R768</f>
        <v>3350000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4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2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10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1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1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1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1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1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1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1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1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10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1">
        <f ca="1">L44+L59+L72+L94+L125+L139+L157+L173+L186+L266+L282+L303+L320+L333+L356</f>
        <v>2569945</v>
      </c>
      <c r="M40" s="800">
        <f ca="1">M44+M59+M72+M94+M125+M139+M157+M173+M186+M266+M282+M303+M320+M333+M356</f>
        <v>2640245</v>
      </c>
      <c r="N40" s="800">
        <f ca="1">N44+N59+N72+N94+N125+N139+N157+N173+N186+N266+N282+N303+N320+N333+N356</f>
        <v>1678292.7400000002</v>
      </c>
      <c r="O40" s="800">
        <f ca="1">IF(L40&gt;0,N40*100/L40,0)</f>
        <v>65.30461702487797</v>
      </c>
      <c r="P40" s="800">
        <f ca="1">IF(M40&gt;0,N40*100/M40,0)</f>
        <v>63.565795598514541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99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1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570200</v>
      </c>
      <c r="M44" s="79">
        <f ca="1">M45+M46</f>
        <v>572180</v>
      </c>
      <c r="N44" s="79">
        <f ca="1">N45+N46</f>
        <v>347480</v>
      </c>
      <c r="O44" s="79">
        <f ca="1">IF(L44&gt;0,N44*100/L44,0)</f>
        <v>60.940021045247285</v>
      </c>
      <c r="P44" s="79">
        <f ca="1">IF(M44&gt;0,N44*100/M44,0)</f>
        <v>60.729141179349156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570200</v>
      </c>
      <c r="M46" s="83">
        <f ca="1">M49+M52</f>
        <v>572180</v>
      </c>
      <c r="N46" s="83">
        <f ca="1">N49+N52</f>
        <v>347480</v>
      </c>
      <c r="O46" s="83">
        <f ca="1">IF(L46&gt;0,N46*100/L46,0)</f>
        <v>60.940021045247285</v>
      </c>
      <c r="P46" s="83">
        <f ca="1">IF(M46&gt;0,N46*100/M46,0)</f>
        <v>60.729141179349156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570200</v>
      </c>
      <c r="M47" s="47">
        <f ca="1">M48+M49</f>
        <v>572180</v>
      </c>
      <c r="N47" s="47">
        <f ca="1">N48+N49</f>
        <v>347480</v>
      </c>
      <c r="O47" s="47">
        <f ca="1">IF(L47&gt;0,N47*100/L47,0)</f>
        <v>60.940021045247285</v>
      </c>
      <c r="P47" s="47">
        <f ca="1">IF(M47&gt;0,N47*100/M47,0)</f>
        <v>60.729141179349156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4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IFERROR(__xludf.DUMMYFUNCTION("IMPORTRANGE(""https://docs.google.com/spreadsheets/d/1-uDff_7J0KD5mKrp0Vvzr7lt3OU09vwQwhkpOPPYv2Y/edit?usp=sharing"",""งบพรบ!P82"")"),570200)</f>
        <v>570200</v>
      </c>
      <c r="M49" s="47">
        <f ca="1">IFERROR(__xludf.DUMMYFUNCTION("IMPORTRANGE(""https://docs.google.com/spreadsheets/d/1-uDff_7J0KD5mKrp0Vvzr7lt3OU09vwQwhkpOPPYv2Y/edit?usp=sharing"",""งบพรบ!V82"")"),572180)</f>
        <v>572180</v>
      </c>
      <c r="N49" s="47">
        <f ca="1">IFERROR(__xludf.DUMMYFUNCTION("IMPORTRANGE(""https://docs.google.com/spreadsheets/d/1-uDff_7J0KD5mKrp0Vvzr7lt3OU09vwQwhkpOPPYv2Y/edit?usp=sharing"",""งบพรบ!Y82"")"),347480)</f>
        <v>347480</v>
      </c>
      <c r="O49" s="47">
        <f ca="1">IF(L49&gt;0,N49*100/L49,0)</f>
        <v>60.940021045247285</v>
      </c>
      <c r="P49" s="47">
        <f ca="1">IF(M49&gt;0,N49*100/M49,0)</f>
        <v>60.729141179349156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4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IFERROR(__xludf.DUMMYFUNCTION("IMPORTRANGE(""https://docs.google.com/spreadsheets/d/1-uDff_7J0KD5mKrp0Vvzr7lt3OU09vwQwhkpOPPYv2Y/edit?usp=sharing"",""งบพรบ!S82"")"),0)</f>
        <v>0</v>
      </c>
      <c r="M52" s="47">
        <f ca="1">IFERROR(__xludf.DUMMYFUNCTION("IMPORTRANGE(""https://docs.google.com/spreadsheets/d/1-uDff_7J0KD5mKrp0Vvzr7lt3OU09vwQwhkpOPPYv2Y/edit?usp=sharing"",""งบพรบ!W82"")"),0)</f>
        <v>0</v>
      </c>
      <c r="N52" s="47">
        <f ca="1">IFERROR(__xludf.DUMMYFUNCTION("IMPORTRANGE(""https://docs.google.com/spreadsheets/d/1-uDff_7J0KD5mKrp0Vvzr7lt3OU09vwQwhkpOPPYv2Y/edit?usp=sharing"",""งบพรบ!Z82"")"),0)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4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790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9">
        <f ca="1">L60+L61</f>
        <v>615700</v>
      </c>
      <c r="M59" s="106">
        <f ca="1">M60+M61</f>
        <v>615700</v>
      </c>
      <c r="N59" s="106">
        <f ca="1">N60+N61</f>
        <v>464976.08</v>
      </c>
      <c r="O59" s="106">
        <f ca="1">IF(L59&gt;0,N59*100/L59,0)</f>
        <v>75.519909046613606</v>
      </c>
      <c r="P59" s="106">
        <f ca="1">IF(M59&gt;0,N59*100/M59,0)</f>
        <v>75.519909046613606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8" t="s">
        <v>20</v>
      </c>
      <c r="F60" s="99"/>
      <c r="G60" s="102"/>
      <c r="H60" s="787" t="s">
        <v>14</v>
      </c>
      <c r="I60" s="104"/>
      <c r="J60" s="104"/>
      <c r="K60" s="105"/>
      <c r="L60" s="786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5">
        <f ca="1">L64+L67</f>
        <v>615700</v>
      </c>
      <c r="M61" s="109">
        <f ca="1">M64+M67</f>
        <v>615700</v>
      </c>
      <c r="N61" s="109">
        <f ca="1">N64+N67</f>
        <v>464976.08</v>
      </c>
      <c r="O61" s="109">
        <f ca="1">IF(L61&gt;0,N61*100/L61,0)</f>
        <v>75.519909046613606</v>
      </c>
      <c r="P61" s="109">
        <f ca="1">IF(M61&gt;0,N61*100/M61,0)</f>
        <v>75.519909046613606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615700</v>
      </c>
      <c r="M62" s="47">
        <f ca="1">M63+M64</f>
        <v>615700</v>
      </c>
      <c r="N62" s="47">
        <f ca="1">N63+N64</f>
        <v>464976.08</v>
      </c>
      <c r="O62" s="47">
        <f ca="1">IF(L62&gt;0,N62*100/L62,0)</f>
        <v>75.519909046613606</v>
      </c>
      <c r="P62" s="47">
        <f ca="1">IF(M62&gt;0,N62*100/M62,0)</f>
        <v>75.519909046613606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4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IFERROR(__xludf.DUMMYFUNCTION("IMPORTRANGE(""https://docs.google.com/spreadsheets/d/1-uDff_7J0KD5mKrp0Vvzr7lt3OU09vwQwhkpOPPYv2Y/edit?usp=sharing"",""งบพรบ!AC82"")"),615700)</f>
        <v>615700</v>
      </c>
      <c r="M64" s="47">
        <f ca="1">IFERROR(__xludf.DUMMYFUNCTION("IMPORTRANGE(""https://docs.google.com/spreadsheets/d/1-uDff_7J0KD5mKrp0Vvzr7lt3OU09vwQwhkpOPPYv2Y/edit?usp=sharing"",""งบพรบ!AH82"")"),615700)</f>
        <v>615700</v>
      </c>
      <c r="N64" s="47">
        <f ca="1">IFERROR(__xludf.DUMMYFUNCTION("IMPORTRANGE(""https://docs.google.com/spreadsheets/d/1-uDff_7J0KD5mKrp0Vvzr7lt3OU09vwQwhkpOPPYv2Y/edit?usp=sharing"",""งบพรบ!AJ82"")"),464976.08)</f>
        <v>464976.08</v>
      </c>
      <c r="O64" s="47">
        <f ca="1">IF(L64&gt;0,N64*100/L64,0)</f>
        <v>75.519909046613606</v>
      </c>
      <c r="P64" s="47">
        <f ca="1">IF(M64&gt;0,N64*100/M64,0)</f>
        <v>75.519909046613606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4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3">
        <f ca="1">IFERROR(__xludf.DUMMYFUNCTION("IMPORTRANGE(""https://docs.google.com/spreadsheets/d/1-uDff_7J0KD5mKrp0Vvzr7lt3OU09vwQwhkpOPPYv2Y/edit?usp=sharing"",""งบพรบ!AF82"")"),0)</f>
        <v>0</v>
      </c>
      <c r="M67" s="111">
        <f ca="1">IFERROR(__xludf.DUMMYFUNCTION("IMPORTRANGE(""https://docs.google.com/spreadsheets/d/1-uDff_7J0KD5mKrp0Vvzr7lt3OU09vwQwhkpOPPYv2Y/edit?usp=sharing"",""งบพรบ!AI82"")"),0)</f>
        <v>0</v>
      </c>
      <c r="N67" s="111">
        <f ca="1">IFERROR(__xludf.DUMMYFUNCTION("IMPORTRANGE(""https://docs.google.com/spreadsheets/d/1-uDff_7J0KD5mKrp0Vvzr7lt3OU09vwQwhkpOPPYv2Y/edit?usp=sharing"",""งบพรบ!AK82"")"),0)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2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1</v>
      </c>
      <c r="J70" s="127">
        <f>J82</f>
        <v>0</v>
      </c>
      <c r="K70" s="35">
        <f ca="1">IF(I70&gt;0,J70*100/I70,0)</f>
        <v>0</v>
      </c>
      <c r="L70" s="58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30</v>
      </c>
      <c r="J71" s="127">
        <f>J83</f>
        <v>0</v>
      </c>
      <c r="K71" s="35">
        <f ca="1">IF(I71&gt;0,J71*100/I71,0)</f>
        <v>0</v>
      </c>
      <c r="L71" s="58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590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451900</v>
      </c>
      <c r="M72" s="132">
        <f ca="1">M73+M74</f>
        <v>503900</v>
      </c>
      <c r="N72" s="132">
        <f ca="1">N73+N74</f>
        <v>395765.77</v>
      </c>
      <c r="O72" s="132">
        <f ca="1">IF(L72&gt;0,N72*100/L72,0)</f>
        <v>87.578174374861689</v>
      </c>
      <c r="P72" s="132">
        <f ca="1">IF(M72&gt;0,N72*100/M72,0)</f>
        <v>78.540537805120067</v>
      </c>
      <c r="Q72" s="132">
        <f ca="1">Q73+Q74</f>
        <v>344592</v>
      </c>
      <c r="R72" s="132">
        <f ca="1">R73+R74</f>
        <v>344592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451900</v>
      </c>
      <c r="M74" s="47">
        <f ca="1">M77+M80</f>
        <v>503900</v>
      </c>
      <c r="N74" s="47">
        <f ca="1">N77+N80</f>
        <v>395765.77</v>
      </c>
      <c r="O74" s="47">
        <f ca="1">IF(L74&gt;0,N74*100/L74,0)</f>
        <v>87.578174374861689</v>
      </c>
      <c r="P74" s="47">
        <f ca="1">IF(M74&gt;0,N74*100/M74,0)</f>
        <v>78.540537805120067</v>
      </c>
      <c r="Q74" s="47">
        <f ca="1">Q77+Q80</f>
        <v>344592</v>
      </c>
      <c r="R74" s="47">
        <f ca="1">R77+R80</f>
        <v>344592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451900</v>
      </c>
      <c r="M75" s="47">
        <f ca="1">M76+M77</f>
        <v>503900</v>
      </c>
      <c r="N75" s="47">
        <f ca="1">N76+N77</f>
        <v>395765.77</v>
      </c>
      <c r="O75" s="47">
        <f ca="1">IF(L75&gt;0,N75*100/L75,0)</f>
        <v>87.578174374861689</v>
      </c>
      <c r="P75" s="47">
        <f ca="1">IF(M75&gt;0,N75*100/M75,0)</f>
        <v>78.540537805120067</v>
      </c>
      <c r="Q75" s="47">
        <f ca="1">Q76+Q77</f>
        <v>344592</v>
      </c>
      <c r="R75" s="47">
        <f ca="1">R76+R77</f>
        <v>344592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IFERROR(__xludf.DUMMYFUNCTION("IMPORTRANGE(""https://docs.google.com/spreadsheets/d/1-uDff_7J0KD5mKrp0Vvzr7lt3OU09vwQwhkpOPPYv2Y/edit?usp=sharing"",""งบพรบ!AM82"")"),451900)</f>
        <v>451900</v>
      </c>
      <c r="M77" s="47">
        <f ca="1">IFERROR(__xludf.DUMMYFUNCTION("IMPORTRANGE(""https://docs.google.com/spreadsheets/d/1-uDff_7J0KD5mKrp0Vvzr7lt3OU09vwQwhkpOPPYv2Y/edit?usp=sharing"",""งบพรบ!AR82"")"),503900)</f>
        <v>503900</v>
      </c>
      <c r="N77" s="47">
        <f ca="1">IFERROR(__xludf.DUMMYFUNCTION("IMPORTRANGE(""https://docs.google.com/spreadsheets/d/1-uDff_7J0KD5mKrp0Vvzr7lt3OU09vwQwhkpOPPYv2Y/edit?usp=sharing"",""งบพรบ!AT82"")"),395765.77)</f>
        <v>395765.77</v>
      </c>
      <c r="O77" s="47">
        <f ca="1">IF(L77&gt;0,N77*100/L77,0)</f>
        <v>87.578174374861689</v>
      </c>
      <c r="P77" s="47">
        <f ca="1">IF(M77&gt;0,N77*100/M77,0)</f>
        <v>78.540537805120067</v>
      </c>
      <c r="Q77" s="47">
        <f ca="1">IFERROR(__xludf.DUMMYFUNCTION("IMPORTRANGE(""https://docs.google.com/spreadsheets/d/1ItG2mGa2ceCfYo0BwxsXqNm01IGEUdYcSSLTEv9YCik/edit?usp=sharing"",""เบิกจ่ายกองทุน!BH82"")"),344592)</f>
        <v>344592</v>
      </c>
      <c r="R77" s="47">
        <f ca="1">IFERROR(__xludf.DUMMYFUNCTION("IMPORTRANGE(""https://docs.google.com/spreadsheets/d/1ItG2mGa2ceCfYo0BwxsXqNm01IGEUdYcSSLTEv9YCik/edit?usp=sharing"",""เบิกจ่ายกองทุน!BI82"")"),344592)</f>
        <v>344592</v>
      </c>
      <c r="S77" s="47">
        <f ca="1">IFERROR(__xludf.DUMMYFUNCTION("IMPORTRANGE(""https://docs.google.com/spreadsheets/d/1ItG2mGa2ceCfYo0BwxsXqNm01IGEUdYcSSLTEv9YCik/edit?usp=sharing"",""เบิกจ่ายกองทุน!BJ82"")"),0)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IFERROR(__xludf.DUMMYFUNCTION("IMPORTRANGE(""https://docs.google.com/spreadsheets/d/1-uDff_7J0KD5mKrp0Vvzr7lt3OU09vwQwhkpOPPYv2Y/edit?usp=sharing"",""งบพรบ!AP82"")"),0)</f>
        <v>0</v>
      </c>
      <c r="M80" s="47">
        <f ca="1">IFERROR(__xludf.DUMMYFUNCTION("IMPORTRANGE(""https://docs.google.com/spreadsheets/d/1-uDff_7J0KD5mKrp0Vvzr7lt3OU09vwQwhkpOPPYv2Y/edit?usp=sharing"",""งบพรบ!AS82"")"),0)</f>
        <v>0</v>
      </c>
      <c r="N80" s="47">
        <f ca="1">IFERROR(__xludf.DUMMYFUNCTION("IMPORTRANGE(""https://docs.google.com/spreadsheets/d/1-uDff_7J0KD5mKrp0Vvzr7lt3OU09vwQwhkpOPPYv2Y/edit?usp=sharing"",""งบพรบ!AU82"")"),0)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IFERROR(__xludf.DUMMYFUNCTION("IMPORTRANGE(""https://docs.google.com/spreadsheets/d/1ItG2mGa2ceCfYo0BwxsXqNm01IGEUdYcSSLTEv9YCik/edit?usp=sharing"",""เบิกจ่ายกองทุน!BK82"")"),0)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IFERROR(__xludf.DUMMYFUNCTION("IMPORTRANGE(""https://docs.google.com/spreadsheets/d/1ItG2mGa2ceCfYo0BwxsXqNm01IGEUdYcSSLTEv9YCik/edit?usp=sharing"",""เบิกจ่ายกองทุน!BL82"")"),0)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IFERROR(__xludf.DUMMYFUNCTION("IMPORTRANGE(""https://docs.google.com/spreadsheets/d/1ItG2mGa2ceCfYo0BwxsXqNm01IGEUdYcSSLTEv9YCik/edit?usp=sharing"",""เบิกจ่ายกองทุน!BM82"")"),0)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1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30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IFERROR(__xludf.DUMMYFUNCTION("IMPORTRANGE(""https://docs.google.com/spreadsheets/d/1eHaY18a8A9IcSdp1K8H6x8fbOy06t2VsZHhMHf-1x7Y/edit?usp=sharing"",""แผน!H82"")"),0)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IFERROR(__xludf.DUMMYFUNCTION("IMPORTRANGE(""https://docs.google.com/spreadsheets/d/1eHaY18a8A9IcSdp1K8H6x8fbOy06t2VsZHhMHf-1x7Y/edit?usp=sharing"",""แผน!I82"")"),0)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IFERROR(__xludf.DUMMYFUNCTION("IMPORTRANGE(""https://docs.google.com/spreadsheets/d/1eHaY18a8A9IcSdp1K8H6x8fbOy06t2VsZHhMHf-1x7Y/edit?usp=sharing"",""แผน!F82"")"),0)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IFERROR(__xludf.DUMMYFUNCTION("IMPORTRANGE(""https://docs.google.com/spreadsheets/d/1eHaY18a8A9IcSdp1K8H6x8fbOy06t2VsZHhMHf-1x7Y/edit?usp=sharing"",""แผน!G82"")"),0)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IFERROR(__xludf.DUMMYFUNCTION("IMPORTRANGE(""https://docs.google.com/spreadsheets/d/1eHaY18a8A9IcSdp1K8H6x8fbOy06t2VsZHhMHf-1x7Y/edit?usp=sharing"",""แผน!D82"")"),1)</f>
        <v>1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IFERROR(__xludf.DUMMYFUNCTION("IMPORTRANGE(""https://docs.google.com/spreadsheets/d/1eHaY18a8A9IcSdp1K8H6x8fbOy06t2VsZHhMHf-1x7Y/edit?usp=sharing"",""แผน!E82"")"),30)</f>
        <v>30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IFERROR(__xludf.DUMMYFUNCTION("IMPORTRANGE(""https://docs.google.com/spreadsheets/d/1eHaY18a8A9IcSdp1K8H6x8fbOy06t2VsZHhMHf-1x7Y/edit?usp=sharing"",""แผน!J82"")"),1)</f>
        <v>1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2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0</v>
      </c>
      <c r="K92" s="35">
        <f ca="1">IF(I92&gt;0,J92*100/I92,0)</f>
        <v>0</v>
      </c>
      <c r="L92" s="58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0</v>
      </c>
      <c r="K93" s="35">
        <f ca="1">IF(I93&gt;0,J93*100/I93,0)</f>
        <v>0</v>
      </c>
      <c r="L93" s="58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590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6000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47300</v>
      </c>
      <c r="T94" s="132">
        <f ca="1">IF(Q94&gt;0,S94*100/Q94,0)</f>
        <v>56.02937692489931</v>
      </c>
      <c r="U94" s="132">
        <f ca="1">IF(R94&gt;0,S94*100/R94,0)</f>
        <v>56.02937692489931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6000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84420</v>
      </c>
      <c r="R96" s="47">
        <f ca="1">R99+R102</f>
        <v>84420</v>
      </c>
      <c r="S96" s="47">
        <f ca="1">S99+S102</f>
        <v>47300</v>
      </c>
      <c r="T96" s="47">
        <f ca="1">IF(Q96&gt;0,S96*100/Q96,0)</f>
        <v>56.02937692489931</v>
      </c>
      <c r="U96" s="47">
        <f ca="1">IF(R96&gt;0,S96*100/R96,0)</f>
        <v>56.02937692489931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6000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84420</v>
      </c>
      <c r="R97" s="47">
        <f ca="1">R98+R99</f>
        <v>84420</v>
      </c>
      <c r="S97" s="47">
        <f ca="1">S98+S99</f>
        <v>47300</v>
      </c>
      <c r="T97" s="47">
        <f ca="1">IF(Q97&gt;0,S97*100/Q97,0)</f>
        <v>56.02937692489931</v>
      </c>
      <c r="U97" s="47">
        <f ca="1">IF(R97&gt;0,S97*100/R97,0)</f>
        <v>56.02937692489931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IFERROR(__xludf.DUMMYFUNCTION("IMPORTRANGE(""https://docs.google.com/spreadsheets/d/1-uDff_7J0KD5mKrp0Vvzr7lt3OU09vwQwhkpOPPYv2Y/edit?usp=sharing"",""งบพรบ!AW82"")"),0)</f>
        <v>0</v>
      </c>
      <c r="M99" s="47">
        <f ca="1">IFERROR(__xludf.DUMMYFUNCTION("IMPORTRANGE(""https://docs.google.com/spreadsheets/d/1-uDff_7J0KD5mKrp0Vvzr7lt3OU09vwQwhkpOPPYv2Y/edit?usp=sharing"",""งบพรบ!BB82"")"),6000)</f>
        <v>6000</v>
      </c>
      <c r="N99" s="47">
        <f ca="1">IFERROR(__xludf.DUMMYFUNCTION("IMPORTRANGE(""https://docs.google.com/spreadsheets/d/1-uDff_7J0KD5mKrp0Vvzr7lt3OU09vwQwhkpOPPYv2Y/edit?usp=sharing"",""งบพรบ!BD82"")"),0)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IFERROR(__xludf.DUMMYFUNCTION("IMPORTRANGE(""https://docs.google.com/spreadsheets/d/1ItG2mGa2ceCfYo0BwxsXqNm01IGEUdYcSSLTEv9YCik/edit?usp=sharing"",""เบิกจ่ายกองทุน!AJ82"")"),84420)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IFERROR(__xludf.DUMMYFUNCTION("IMPORTRANGE(""https://docs.google.com/spreadsheets/d/1ItG2mGa2ceCfYo0BwxsXqNm01IGEUdYcSSLTEv9YCik/edit?usp=sharing"",""เบิกจ่ายกองทุน!AK82"")"),84420)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IFERROR(__xludf.DUMMYFUNCTION("IMPORTRANGE(""https://docs.google.com/spreadsheets/d/1ItG2mGa2ceCfYo0BwxsXqNm01IGEUdYcSSLTEv9YCik/edit?usp=sharing"",""เบิกจ่ายกองทุน!AL82"")"),47300)</f>
        <v>47300</v>
      </c>
      <c r="T99" s="47">
        <f ca="1">IF(Q99&gt;0,S99*100/Q99,0)</f>
        <v>56.02937692489931</v>
      </c>
      <c r="U99" s="47">
        <f ca="1">IF(R99&gt;0,S99*100/R99,0)</f>
        <v>56.02937692489931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IFERROR(__xludf.DUMMYFUNCTION("IMPORTRANGE(""https://docs.google.com/spreadsheets/d/1-uDff_7J0KD5mKrp0Vvzr7lt3OU09vwQwhkpOPPYv2Y/edit?usp=sharing"",""งบพรบ!AZ82"")"),0)</f>
        <v>0</v>
      </c>
      <c r="M102" s="47">
        <f ca="1">IFERROR(__xludf.DUMMYFUNCTION("IMPORTRANGE(""https://docs.google.com/spreadsheets/d/1-uDff_7J0KD5mKrp0Vvzr7lt3OU09vwQwhkpOPPYv2Y/edit?usp=sharing"",""งบพรบ!BC82"")"),0)</f>
        <v>0</v>
      </c>
      <c r="N102" s="47">
        <f ca="1">IFERROR(__xludf.DUMMYFUNCTION("IMPORTRANGE(""https://docs.google.com/spreadsheets/d/1-uDff_7J0KD5mKrp0Vvzr7lt3OU09vwQwhkpOPPYv2Y/edit?usp=sharing"",""งบพรบ!BE82"")"),0)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1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1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1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IFERROR(__xludf.DUMMYFUNCTION("IMPORTRANGE(""https://docs.google.com/spreadsheets/d/1eHaY18a8A9IcSdp1K8H6x8fbOy06t2VsZHhMHf-1x7Y/edit?usp=sharing"",""แผน!N82"")"),30)</f>
        <v>30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IFERROR(__xludf.DUMMYFUNCTION("IMPORTRANGE(""https://docs.google.com/spreadsheets/d/1eHaY18a8A9IcSdp1K8H6x8fbOy06t2VsZHhMHf-1x7Y/edit?usp=sharing"",""แผน!O82"")"),10)</f>
        <v>10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1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1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1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IFERROR(__xludf.DUMMYFUNCTION("IMPORTRANGE(""https://docs.google.com/spreadsheets/d/1eHaY18a8A9IcSdp1K8H6x8fbOy06t2VsZHhMHf-1x7Y/edit?usp=sharing"",""แผน!N82"")"),30)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IFERROR(__xludf.DUMMYFUNCTION("IMPORTRANGE(""https://docs.google.com/spreadsheets/d/1eHaY18a8A9IcSdp1K8H6x8fbOy06t2VsZHhMHf-1x7Y/edit?usp=sharing"",""แผน!O82"")"),10)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1" t="s">
        <v>51</v>
      </c>
      <c r="B115" s="778"/>
      <c r="C115" s="780"/>
      <c r="D115" s="779"/>
      <c r="E115" s="779"/>
      <c r="F115" s="779"/>
      <c r="G115" s="779"/>
      <c r="H115" s="778"/>
      <c r="I115" s="777"/>
      <c r="J115" s="777"/>
      <c r="K115" s="776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0</v>
      </c>
      <c r="K116" s="35">
        <f ca="1">IF(I116&gt;0,J116*100/I116,0)</f>
        <v>0</v>
      </c>
      <c r="L116" s="58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59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3541460</v>
      </c>
      <c r="R117" s="132">
        <f ca="1">R118+R119</f>
        <v>3619010</v>
      </c>
      <c r="S117" s="132">
        <f ca="1">S118+S119</f>
        <v>103597.08</v>
      </c>
      <c r="T117" s="132">
        <f ca="1">IF(Q117&gt;0,S117*100/Q117,0)</f>
        <v>2.9252647213296212</v>
      </c>
      <c r="U117" s="132">
        <f ca="1">IF(R117&gt;0,S117*100/R117,0)</f>
        <v>2.8625806505093934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3541460</v>
      </c>
      <c r="R119" s="47">
        <f ca="1">R122+R125</f>
        <v>3619010</v>
      </c>
      <c r="S119" s="47">
        <f ca="1">S122+S125</f>
        <v>103597.08</v>
      </c>
      <c r="T119" s="47">
        <f ca="1">IF(Q119&gt;0,S119*100/Q119,0)</f>
        <v>2.9252647213296212</v>
      </c>
      <c r="U119" s="47">
        <f ca="1">IF(R119&gt;0,S119*100/R119,0)</f>
        <v>2.8625806505093934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269010</v>
      </c>
      <c r="S120" s="47">
        <f ca="1">S121+S122</f>
        <v>103597.08</v>
      </c>
      <c r="T120" s="47">
        <f ca="1">IF(Q120&gt;0,S120*100/Q120,0)</f>
        <v>54.108994045753683</v>
      </c>
      <c r="U120" s="47">
        <f ca="1">IF(R120&gt;0,S120*100/R120,0)</f>
        <v>38.510494033679045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IFERROR(__xludf.DUMMYFUNCTION("IMPORTRANGE(""https://docs.google.com/spreadsheets/d/1-uDff_7J0KD5mKrp0Vvzr7lt3OU09vwQwhkpOPPYv2Y/edit?usp=sharing"",""งบพรบ!BG82"")"),0)</f>
        <v>0</v>
      </c>
      <c r="M122" s="47">
        <f ca="1">IFERROR(__xludf.DUMMYFUNCTION("IMPORTRANGE(""https://docs.google.com/spreadsheets/d/1-uDff_7J0KD5mKrp0Vvzr7lt3OU09vwQwhkpOPPYv2Y/edit?usp=sharing"",""งบพรบ!BL82"")"),0)</f>
        <v>0</v>
      </c>
      <c r="N122" s="47">
        <f ca="1">IFERROR(__xludf.DUMMYFUNCTION("IMPORTRANGE(""https://docs.google.com/spreadsheets/d/1-uDff_7J0KD5mKrp0Vvzr7lt3OU09vwQwhkpOPPYv2Y/edit?usp=sharing"",""งบพรบ!BN82"")"),0)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IFERROR(__xludf.DUMMYFUNCTION("IMPORTRANGE(""https://docs.google.com/spreadsheets/d/1ItG2mGa2ceCfYo0BwxsXqNm01IGEUdYcSSLTEv9YCik/edit?usp=sharing"",""เบิกจ่ายกองทุน!U82"")"),191460)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IFERROR(__xludf.DUMMYFUNCTION("IMPORTRANGE(""https://docs.google.com/spreadsheets/d/1ItG2mGa2ceCfYo0BwxsXqNm01IGEUdYcSSLTEv9YCik/edit?usp=sharing"",""เบิกจ่ายกองทุน!V82"")"),269010)</f>
        <v>269010</v>
      </c>
      <c r="S122" s="47">
        <f ca="1">IFERROR(__xludf.DUMMYFUNCTION("IMPORTRANGE(""https://docs.google.com/spreadsheets/d/1ItG2mGa2ceCfYo0BwxsXqNm01IGEUdYcSSLTEv9YCik/edit?usp=sharing"",""เบิกจ่ายกองทุน!W82"")"),103597.08)</f>
        <v>103597.08</v>
      </c>
      <c r="T122" s="47">
        <f ca="1">IF(Q122&gt;0,S122*100/Q122,0)</f>
        <v>54.108994045753683</v>
      </c>
      <c r="U122" s="47">
        <f ca="1">IF(R122&gt;0,S122*100/R122,0)</f>
        <v>38.510494033679045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3350000</v>
      </c>
      <c r="R123" s="47">
        <f ca="1">R124+R125</f>
        <v>3350000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IFERROR(__xludf.DUMMYFUNCTION("IMPORTRANGE(""https://docs.google.com/spreadsheets/d/1-uDff_7J0KD5mKrp0Vvzr7lt3OU09vwQwhkpOPPYv2Y/edit?usp=sharing"",""งบพรบ!BJ82"")"),0)</f>
        <v>0</v>
      </c>
      <c r="M125" s="47">
        <f ca="1">IFERROR(__xludf.DUMMYFUNCTION("IMPORTRANGE(""https://docs.google.com/spreadsheets/d/1-uDff_7J0KD5mKrp0Vvzr7lt3OU09vwQwhkpOPPYv2Y/edit?usp=sharing"",""งบพรบ!BM82"")"),0)</f>
        <v>0</v>
      </c>
      <c r="N125" s="47">
        <f ca="1">IFERROR(__xludf.DUMMYFUNCTION("IMPORTRANGE(""https://docs.google.com/spreadsheets/d/1-uDff_7J0KD5mKrp0Vvzr7lt3OU09vwQwhkpOPPYv2Y/edit?usp=sharing"",""งบพรบ!BO82"")"),0)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IFERROR(__xludf.DUMMYFUNCTION("IMPORTRANGE(""https://docs.google.com/spreadsheets/d/1ItG2mGa2ceCfYo0BwxsXqNm01IGEUdYcSSLTEv9YCik/edit?usp=sharing"",""เบิกจ่ายกองทุน!X82"")"),3350000)</f>
        <v>3350000</v>
      </c>
      <c r="R125" s="47">
        <f ca="1">IFERROR(__xludf.DUMMYFUNCTION("IMPORTRANGE(""https://docs.google.com/spreadsheets/d/1ItG2mGa2ceCfYo0BwxsXqNm01IGEUdYcSSLTEv9YCik/edit?usp=sharing"",""เบิกจ่ายกองทุน!Y82"")"),3350000)</f>
        <v>3350000</v>
      </c>
      <c r="S125" s="47">
        <f ca="1">IFERROR(__xludf.DUMMYFUNCTION("IMPORTRANGE(""https://docs.google.com/spreadsheets/d/1ItG2mGa2ceCfYo0BwxsXqNm01IGEUdYcSSLTEv9YCik/edit?usp=sharing"",""เบิกจ่ายกองทุน!Z82"")"),0)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188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IFERROR(__xludf.DUMMYFUNCTION("IMPORTRANGE(""https://docs.google.com/spreadsheets/d/1eHaY18a8A9IcSdp1K8H6x8fbOy06t2VsZHhMHf-1x7Y/edit?usp=sharing"",""แผน!FF82"")"),15)</f>
        <v>15</v>
      </c>
      <c r="J127" s="167">
        <v>0</v>
      </c>
      <c r="K127" s="47">
        <f ca="1">IF(I127&gt;0,J127*100/I127,0)</f>
        <v>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IFERROR(__xludf.DUMMYFUNCTION("IMPORTRANGE(""https://docs.google.com/spreadsheets/d/1eHaY18a8A9IcSdp1K8H6x8fbOy06t2VsZHhMHf-1x7Y/edit?usp=sharing"",""แผน!FG82"")"),0)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IFERROR(__xludf.DUMMYFUNCTION("IMPORTRANGE(""https://docs.google.com/spreadsheets/d/1eHaY18a8A9IcSdp1K8H6x8fbOy06t2VsZHhMHf-1x7Y/edit?usp=sharing"",""แผน!FH82"")"),15)</f>
        <v>15</v>
      </c>
      <c r="J129" s="167">
        <v>0</v>
      </c>
      <c r="K129" s="47">
        <f ca="1">IF(I129&gt;0,J129*100/I129,0)</f>
        <v>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IFERROR(__xludf.DUMMYFUNCTION("IMPORTRANGE(""https://docs.google.com/spreadsheets/d/1eHaY18a8A9IcSdp1K8H6x8fbOy06t2VsZHhMHf-1x7Y/edit?usp=sharing"",""แผน!FI82"")"),0)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1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2</v>
      </c>
      <c r="J136" s="127">
        <f>J154</f>
        <v>0</v>
      </c>
      <c r="K136" s="35">
        <f ca="1">IF(I136&gt;0,J136*100/I136,0)</f>
        <v>0</v>
      </c>
      <c r="L136" s="58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60</v>
      </c>
      <c r="J137" s="127">
        <f>J152</f>
        <v>0</v>
      </c>
      <c r="K137" s="35">
        <f ca="1">IF(I137&gt;0,J137*100/I137,0)</f>
        <v>0</v>
      </c>
      <c r="L137" s="58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6</v>
      </c>
      <c r="J138" s="127">
        <f>J153</f>
        <v>0</v>
      </c>
      <c r="K138" s="35">
        <f ca="1">IF(I138&gt;0,J138*100/I138,0)</f>
        <v>0</v>
      </c>
      <c r="L138" s="58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59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91400</v>
      </c>
      <c r="M139" s="132">
        <f ca="1">M140+M141</f>
        <v>86400</v>
      </c>
      <c r="N139" s="132">
        <f ca="1">N140+N141</f>
        <v>63524</v>
      </c>
      <c r="O139" s="132">
        <f ca="1">IF(L139&gt;0,N139*100/L139,0)</f>
        <v>69.501094091903724</v>
      </c>
      <c r="P139" s="132">
        <f ca="1">IF(M139&gt;0,N139*100/M139,0)</f>
        <v>73.523148148148152</v>
      </c>
      <c r="Q139" s="132">
        <f ca="1">Q140+Q141</f>
        <v>309860</v>
      </c>
      <c r="R139" s="132">
        <f ca="1">R140+R141</f>
        <v>309860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91400</v>
      </c>
      <c r="M141" s="47">
        <f ca="1">M144+M147</f>
        <v>86400</v>
      </c>
      <c r="N141" s="47">
        <f ca="1">N144+N147</f>
        <v>63524</v>
      </c>
      <c r="O141" s="47">
        <f ca="1">IF(L141&gt;0,N141*100/L141,0)</f>
        <v>69.501094091903724</v>
      </c>
      <c r="P141" s="47">
        <f ca="1">IF(M141&gt;0,N141*100/M141,0)</f>
        <v>73.523148148148152</v>
      </c>
      <c r="Q141" s="47">
        <f ca="1">Q144+Q147</f>
        <v>309860</v>
      </c>
      <c r="R141" s="47">
        <f ca="1">R144+R147</f>
        <v>309860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91400</v>
      </c>
      <c r="M142" s="47">
        <f ca="1">M143+M144</f>
        <v>86400</v>
      </c>
      <c r="N142" s="47">
        <f ca="1">N143+N144</f>
        <v>63524</v>
      </c>
      <c r="O142" s="47">
        <f ca="1">IF(L142&gt;0,N142*100/L142,0)</f>
        <v>69.501094091903724</v>
      </c>
      <c r="P142" s="47">
        <f ca="1">IF(M142&gt;0,N142*100/M142,0)</f>
        <v>73.523148148148152</v>
      </c>
      <c r="Q142" s="47">
        <f ca="1">Q143+Q144</f>
        <v>309860</v>
      </c>
      <c r="R142" s="47">
        <f ca="1">R143+R144</f>
        <v>309860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IFERROR(__xludf.DUMMYFUNCTION("IMPORTRANGE(""https://docs.google.com/spreadsheets/d/1-uDff_7J0KD5mKrp0Vvzr7lt3OU09vwQwhkpOPPYv2Y/edit?usp=sharing"",""งบพรบ!BQ82"")"),91400)</f>
        <v>91400</v>
      </c>
      <c r="M144" s="47">
        <f ca="1">IFERROR(__xludf.DUMMYFUNCTION("IMPORTRANGE(""https://docs.google.com/spreadsheets/d/1-uDff_7J0KD5mKrp0Vvzr7lt3OU09vwQwhkpOPPYv2Y/edit?usp=sharing"",""งบพรบ!BV82"")"),86400)</f>
        <v>86400</v>
      </c>
      <c r="N144" s="47">
        <f ca="1">IFERROR(__xludf.DUMMYFUNCTION("IMPORTRANGE(""https://docs.google.com/spreadsheets/d/1-uDff_7J0KD5mKrp0Vvzr7lt3OU09vwQwhkpOPPYv2Y/edit?usp=sharing"",""งบพรบ!BX82"")"),63524)</f>
        <v>63524</v>
      </c>
      <c r="O144" s="47">
        <f ca="1">IF(L144&gt;0,N144*100/L144,0)</f>
        <v>69.501094091903724</v>
      </c>
      <c r="P144" s="47">
        <f ca="1">IF(M144&gt;0,N144*100/M144,0)</f>
        <v>73.523148148148152</v>
      </c>
      <c r="Q144" s="47">
        <f ca="1">IFERROR(__xludf.DUMMYFUNCTION("IMPORTRANGE(""https://docs.google.com/spreadsheets/d/1ItG2mGa2ceCfYo0BwxsXqNm01IGEUdYcSSLTEv9YCik/edit?usp=sharing"",""เบิกจ่ายกองทุน!CF82"")"),309860)</f>
        <v>309860</v>
      </c>
      <c r="R144" s="47">
        <f ca="1">IFERROR(__xludf.DUMMYFUNCTION("IMPORTRANGE(""https://docs.google.com/spreadsheets/d/1ItG2mGa2ceCfYo0BwxsXqNm01IGEUdYcSSLTEv9YCik/edit?usp=sharing"",""เบิกจ่ายกองทุน!CG82"")"),309860)</f>
        <v>309860</v>
      </c>
      <c r="S144" s="47">
        <f ca="1">IFERROR(__xludf.DUMMYFUNCTION("IMPORTRANGE(""https://docs.google.com/spreadsheets/d/1ItG2mGa2ceCfYo0BwxsXqNm01IGEUdYcSSLTEv9YCik/edit?usp=sharing"",""เบิกจ่ายกองทุน!CH82"")"),0)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IFERROR(__xludf.DUMMYFUNCTION("IMPORTRANGE(""https://docs.google.com/spreadsheets/d/1-uDff_7J0KD5mKrp0Vvzr7lt3OU09vwQwhkpOPPYv2Y/edit?usp=sharing"",""งบพรบ!BT82"")"),0)</f>
        <v>0</v>
      </c>
      <c r="M147" s="47">
        <f ca="1">IFERROR(__xludf.DUMMYFUNCTION("IMPORTRANGE(""https://docs.google.com/spreadsheets/d/1-uDff_7J0KD5mKrp0Vvzr7lt3OU09vwQwhkpOPPYv2Y/edit?usp=sharing"",""งบพรบ!BW82"")"),0)</f>
        <v>0</v>
      </c>
      <c r="N147" s="47">
        <f ca="1">IFERROR(__xludf.DUMMYFUNCTION("IMPORTRANGE(""https://docs.google.com/spreadsheets/d/1-uDff_7J0KD5mKrp0Vvzr7lt3OU09vwQwhkpOPPYv2Y/edit?usp=sharing"",""งบพรบ!BY82"")"),0)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IFERROR(__xludf.DUMMYFUNCTION("IMPORTRANGE(""https://docs.google.com/spreadsheets/d/1ItG2mGa2ceCfYo0BwxsXqNm01IGEUdYcSSLTEv9YCik/edit?usp=sharing"",""เบิกจ่ายกองทุน!CI82"")"),0)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IFERROR(__xludf.DUMMYFUNCTION("IMPORTRANGE(""https://docs.google.com/spreadsheets/d/1ItG2mGa2ceCfYo0BwxsXqNm01IGEUdYcSSLTEv9YCik/edit?usp=sharing"",""เบิกจ่ายกองทุน!CJ82"")"),0)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IFERROR(__xludf.DUMMYFUNCTION("IMPORTRANGE(""https://docs.google.com/spreadsheets/d/1ItG2mGa2ceCfYo0BwxsXqNm01IGEUdYcSSLTEv9YCik/edit?usp=sharing"",""เบิกจ่ายกองทุน!CK82"")"),0)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IFERROR(__xludf.DUMMYFUNCTION("IMPORTRANGE(""https://docs.google.com/spreadsheets/d/1eHaY18a8A9IcSdp1K8H6x8fbOy06t2VsZHhMHf-1x7Y/edit?usp=sharing"",""แผน!U82"")"),20)</f>
        <v>20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IFERROR(__xludf.DUMMYFUNCTION("IMPORTRANGE(""https://docs.google.com/spreadsheets/d/1eHaY18a8A9IcSdp1K8H6x8fbOy06t2VsZHhMHf-1x7Y/edit?usp=sharing"",""แผน!V82"")"),2)</f>
        <v>2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IFERROR(__xludf.DUMMYFUNCTION("IMPORTRANGE(""https://docs.google.com/spreadsheets/d/1eHaY18a8A9IcSdp1K8H6x8fbOy06t2VsZHhMHf-1x7Y/edit?usp=sharing"",""แผน!W82"")"),60)</f>
        <v>60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IFERROR(__xludf.DUMMYFUNCTION("IMPORTRANGE(""https://docs.google.com/spreadsheets/d/1eHaY18a8A9IcSdp1K8H6x8fbOy06t2VsZHhMHf-1x7Y/edit?usp=sharing"",""แผน!X82"")"),6)</f>
        <v>6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IFERROR(__xludf.DUMMYFUNCTION("IMPORTRANGE(""https://docs.google.com/spreadsheets/d/1eHaY18a8A9IcSdp1K8H6x8fbOy06t2VsZHhMHf-1x7Y/edit?usp=sharing"",""แผน!Y82"")"),2)</f>
        <v>2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IFERROR(__xludf.DUMMYFUNCTION("IMPORTRANGE(""https://docs.google.com/spreadsheets/d/1-uDff_7J0KD5mKrp0Vvzr7lt3OU09vwQwhkpOPPYv2Y/edit?usp=sharing"",""งบพรบ!CA82"")"),0)</f>
        <v>0</v>
      </c>
      <c r="M162" s="47">
        <f ca="1">IFERROR(__xludf.DUMMYFUNCTION("IMPORTRANGE(""https://docs.google.com/spreadsheets/d/1-uDff_7J0KD5mKrp0Vvzr7lt3OU09vwQwhkpOPPYv2Y/edit?usp=sharing"",""งบพรบ!CF82"")"),0)</f>
        <v>0</v>
      </c>
      <c r="N162" s="47">
        <f ca="1">IFERROR(__xludf.DUMMYFUNCTION("IMPORTRANGE(""https://docs.google.com/spreadsheets/d/1-uDff_7J0KD5mKrp0Vvzr7lt3OU09vwQwhkpOPPYv2Y/edit?usp=sharing"",""งบพรบ!CH82"")"),0)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IFERROR(__xludf.DUMMYFUNCTION("IMPORTRANGE(""https://docs.google.com/spreadsheets/d/1ItG2mGa2ceCfYo0BwxsXqNm01IGEUdYcSSLTEv9YCik/edit?usp=sharing"",""เบิกจ่ายกองทุน!AM82"")"),0)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IFERROR(__xludf.DUMMYFUNCTION("IMPORTRANGE(""https://docs.google.com/spreadsheets/d/1ItG2mGa2ceCfYo0BwxsXqNm01IGEUdYcSSLTEv9YCik/edit?usp=sharing"",""เบิกจ่ายกองทุน!AN82"")"),0)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IFERROR(__xludf.DUMMYFUNCTION("IMPORTRANGE(""https://docs.google.com/spreadsheets/d/1ItG2mGa2ceCfYo0BwxsXqNm01IGEUdYcSSLTEv9YCik/edit?usp=sharing"",""เบิกจ่ายกองทุน!AO82"")"),0)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IFERROR(__xludf.DUMMYFUNCTION("IMPORTRANGE(""https://docs.google.com/spreadsheets/d/1-uDff_7J0KD5mKrp0Vvzr7lt3OU09vwQwhkpOPPYv2Y/edit?usp=sharing"",""งบพรบ!CD82"")"),0)</f>
        <v>0</v>
      </c>
      <c r="M165" s="47">
        <f ca="1">IFERROR(__xludf.DUMMYFUNCTION("IMPORTRANGE(""https://docs.google.com/spreadsheets/d/1-uDff_7J0KD5mKrp0Vvzr7lt3OU09vwQwhkpOPPYv2Y/edit?usp=sharing"",""งบพรบ!CG82"")"),0)</f>
        <v>0</v>
      </c>
      <c r="N165" s="47">
        <f ca="1">IFERROR(__xludf.DUMMYFUNCTION("IMPORTRANGE(""https://docs.google.com/spreadsheets/d/1-uDff_7J0KD5mKrp0Vvzr7lt3OU09vwQwhkpOPPYv2Y/edit?usp=sharing"",""งบพรบ!CI82"")"),0)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IFERROR(__xludf.DUMMYFUNCTION("IMPORTRANGE(""https://docs.google.com/spreadsheets/d/1eHaY18a8A9IcSdp1K8H6x8fbOy06t2VsZHhMHf-1x7Y/edit?usp=sharing"",""แผน!Z82"")"),0)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IFERROR(__xludf.DUMMYFUNCTION("IMPORTRANGE(""https://docs.google.com/spreadsheets/d/1eHaY18a8A9IcSdp1K8H6x8fbOy06t2VsZHhMHf-1x7Y/edit?usp=sharing"",""แผน!Z82"")"),0)</f>
        <v>0</v>
      </c>
      <c r="J168" s="738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5" t="s">
        <v>35</v>
      </c>
      <c r="I169" s="498">
        <f ca="1">IFERROR(__xludf.DUMMYFUNCTION("IMPORTRANGE(""https://docs.google.com/spreadsheets/d/1eHaY18a8A9IcSdp1K8H6x8fbOy06t2VsZHhMHf-1x7Y/edit?usp=sharing"",""แผน!Z82"")"),0)</f>
        <v>0</v>
      </c>
      <c r="J169" s="774">
        <v>0</v>
      </c>
      <c r="K169" s="773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hidden="1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2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hidden="1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0</v>
      </c>
      <c r="J172" s="214">
        <f>J183+J184</f>
        <v>0</v>
      </c>
      <c r="K172" s="215">
        <f ca="1">IF(I172&gt;0,J172*100/I172,0)</f>
        <v>0</v>
      </c>
      <c r="L172" s="770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hidden="1" x14ac:dyDescent="0.3">
      <c r="A173" s="128"/>
      <c r="B173" s="41"/>
      <c r="C173" s="129" t="s">
        <v>18</v>
      </c>
      <c r="D173" s="59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0</v>
      </c>
      <c r="M173" s="132">
        <f ca="1">M174+M175</f>
        <v>0</v>
      </c>
      <c r="N173" s="132">
        <f ca="1">N174+N175</f>
        <v>0</v>
      </c>
      <c r="O173" s="132">
        <f ca="1">IF(L173&gt;0,N173*100/L173,0)</f>
        <v>0</v>
      </c>
      <c r="P173" s="132">
        <f ca="1">IF(M173&gt;0,N173*100/M173,0)</f>
        <v>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0</v>
      </c>
      <c r="M175" s="47">
        <f ca="1">M178+M181</f>
        <v>0</v>
      </c>
      <c r="N175" s="47">
        <f ca="1">N178+N181</f>
        <v>0</v>
      </c>
      <c r="O175" s="47">
        <f ca="1">IF(L175&gt;0,N175*100/L175,0)</f>
        <v>0</v>
      </c>
      <c r="P175" s="47">
        <f ca="1">IF(M175&gt;0,N175*100/M175,0)</f>
        <v>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hidden="1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0</v>
      </c>
      <c r="M176" s="47">
        <f ca="1">M177+M178</f>
        <v>0</v>
      </c>
      <c r="N176" s="47">
        <f ca="1">N177+N178</f>
        <v>0</v>
      </c>
      <c r="O176" s="47">
        <f ca="1">IF(L176&gt;0,N176*100/L176,0)</f>
        <v>0</v>
      </c>
      <c r="P176" s="47">
        <f ca="1">IF(M176&gt;0,N176*100/M176,0)</f>
        <v>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IFERROR(__xludf.DUMMYFUNCTION("IMPORTRANGE(""https://docs.google.com/spreadsheets/d/1-uDff_7J0KD5mKrp0Vvzr7lt3OU09vwQwhkpOPPYv2Y/edit?usp=sharing"",""งบพรบ!CK82"")"),0)</f>
        <v>0</v>
      </c>
      <c r="M178" s="47">
        <f ca="1">IFERROR(__xludf.DUMMYFUNCTION("IMPORTRANGE(""https://docs.google.com/spreadsheets/d/1-uDff_7J0KD5mKrp0Vvzr7lt3OU09vwQwhkpOPPYv2Y/edit?usp=sharing"",""งบพรบ!CP82"")"),0)</f>
        <v>0</v>
      </c>
      <c r="N178" s="47">
        <f ca="1">IFERROR(__xludf.DUMMYFUNCTION("IMPORTRANGE(""https://docs.google.com/spreadsheets/d/1-uDff_7J0KD5mKrp0Vvzr7lt3OU09vwQwhkpOPPYv2Y/edit?usp=sharing"",""งบพรบ!CR82"")"),0)</f>
        <v>0</v>
      </c>
      <c r="O178" s="47">
        <f ca="1">IF(L178&gt;0,N178*100/L178,0)</f>
        <v>0</v>
      </c>
      <c r="P178" s="47">
        <f ca="1">IF(M178&gt;0,N178*100/M178,0)</f>
        <v>0</v>
      </c>
      <c r="Q178" s="47">
        <f ca="1">IFERROR(__xludf.DUMMYFUNCTION("IMPORTRANGE(""https://docs.google.com/spreadsheets/d/1ItG2mGa2ceCfYo0BwxsXqNm01IGEUdYcSSLTEv9YCik/edit?usp=sharing"",""เบิกจ่ายกองทุน!DG82"")"),0)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IFERROR(__xludf.DUMMYFUNCTION("IMPORTRANGE(""https://docs.google.com/spreadsheets/d/1ItG2mGa2ceCfYo0BwxsXqNm01IGEUdYcSSLTEv9YCik/edit?usp=sharing"",""เบิกจ่ายกองทุน!DH82"")"),0)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IFERROR(__xludf.DUMMYFUNCTION("IMPORTRANGE(""https://docs.google.com/spreadsheets/d/1ItG2mGa2ceCfYo0BwxsXqNm01IGEUdYcSSLTEv9YCik/edit?usp=sharing"",""เบิกจ่ายกองทุน!DI82"")"),0)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hidden="1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IFERROR(__xludf.DUMMYFUNCTION("IMPORTRANGE(""https://docs.google.com/spreadsheets/d/1-uDff_7J0KD5mKrp0Vvzr7lt3OU09vwQwhkpOPPYv2Y/edit?usp=sharing"",""งบพรบ!CN82"")"),0)</f>
        <v>0</v>
      </c>
      <c r="M181" s="47">
        <f ca="1">IFERROR(__xludf.DUMMYFUNCTION("IMPORTRANGE(""https://docs.google.com/spreadsheets/d/1-uDff_7J0KD5mKrp0Vvzr7lt3OU09vwQwhkpOPPYv2Y/edit?usp=sharing"",""งบพรบ!CQ82"")"),0)</f>
        <v>0</v>
      </c>
      <c r="N181" s="47">
        <f ca="1">IFERROR(__xludf.DUMMYFUNCTION("IMPORTRANGE(""https://docs.google.com/spreadsheets/d/1-uDff_7J0KD5mKrp0Vvzr7lt3OU09vwQwhkpOPPYv2Y/edit?usp=sharing"",""งบพรบ!CS82"")"),0)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hidden="1" x14ac:dyDescent="0.3">
      <c r="A182" s="138"/>
      <c r="B182" s="139"/>
      <c r="C182" s="129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hidden="1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IFERROR(__xludf.DUMMYFUNCTION("IMPORTRANGE(""https://docs.google.com/spreadsheets/d/1eHaY18a8A9IcSdp1K8H6x8fbOy06t2VsZHhMHf-1x7Y/edit?usp=sharing"",""แผน!AA82"")"),0)</f>
        <v>0</v>
      </c>
      <c r="J183" s="167">
        <v>0</v>
      </c>
      <c r="K183" s="47">
        <f ca="1">IF(I183&gt;0,J183*100/I183,0)</f>
        <v>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1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70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59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66200</v>
      </c>
      <c r="M186" s="132">
        <f ca="1">M187+M188</f>
        <v>66200</v>
      </c>
      <c r="N186" s="132">
        <f ca="1">N187+N188</f>
        <v>2000</v>
      </c>
      <c r="O186" s="132">
        <f ca="1">IF(L186&gt;0,N186*100/L186,0)</f>
        <v>3.0211480362537766</v>
      </c>
      <c r="P186" s="132">
        <f ca="1">IF(M186&gt;0,N186*100/M186,0)</f>
        <v>3.0211480362537766</v>
      </c>
      <c r="Q186" s="132">
        <f ca="1">Q187+Q188</f>
        <v>28000</v>
      </c>
      <c r="R186" s="132">
        <f ca="1">R187+R188</f>
        <v>28000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66200</v>
      </c>
      <c r="M188" s="47">
        <f ca="1">M191+M194</f>
        <v>66200</v>
      </c>
      <c r="N188" s="47">
        <f ca="1">N191+N194</f>
        <v>2000</v>
      </c>
      <c r="O188" s="47">
        <f ca="1">IF(L188&gt;0,N188*100/L188,0)</f>
        <v>3.0211480362537766</v>
      </c>
      <c r="P188" s="47">
        <f ca="1">IF(M188&gt;0,N188*100/M188,0)</f>
        <v>3.0211480362537766</v>
      </c>
      <c r="Q188" s="47">
        <f ca="1">Q191+Q194</f>
        <v>28000</v>
      </c>
      <c r="R188" s="47">
        <f ca="1">R191+R194</f>
        <v>28000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66200</v>
      </c>
      <c r="M189" s="47">
        <f ca="1">M190+M191</f>
        <v>66200</v>
      </c>
      <c r="N189" s="47">
        <f ca="1">N190+N191</f>
        <v>2000</v>
      </c>
      <c r="O189" s="47">
        <f ca="1">IF(L189&gt;0,N189*100/L189,0)</f>
        <v>3.0211480362537766</v>
      </c>
      <c r="P189" s="47">
        <f ca="1">IF(M189&gt;0,N189*100/M189,0)</f>
        <v>3.0211480362537766</v>
      </c>
      <c r="Q189" s="47">
        <f ca="1">Q190+Q191</f>
        <v>28000</v>
      </c>
      <c r="R189" s="47">
        <f ca="1">R190+R191</f>
        <v>28000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IFERROR(__xludf.DUMMYFUNCTION("IMPORTRANGE(""https://docs.google.com/spreadsheets/d/1-uDff_7J0KD5mKrp0Vvzr7lt3OU09vwQwhkpOPPYv2Y/edit?usp=sharing"",""งบพรบ!CU82"")"),66200)</f>
        <v>66200</v>
      </c>
      <c r="M191" s="47">
        <f ca="1">IFERROR(__xludf.DUMMYFUNCTION("IMPORTRANGE(""https://docs.google.com/spreadsheets/d/1-uDff_7J0KD5mKrp0Vvzr7lt3OU09vwQwhkpOPPYv2Y/edit?usp=sharing"",""งบพรบ!CZ82"")"),66200)</f>
        <v>66200</v>
      </c>
      <c r="N191" s="47">
        <f ca="1">IFERROR(__xludf.DUMMYFUNCTION("IMPORTRANGE(""https://docs.google.com/spreadsheets/d/1-uDff_7J0KD5mKrp0Vvzr7lt3OU09vwQwhkpOPPYv2Y/edit?usp=sharing"",""งบพรบ!DB82"")"),2000)</f>
        <v>2000</v>
      </c>
      <c r="O191" s="47">
        <f ca="1">IF(L191&gt;0,N191*100/L191,0)</f>
        <v>3.0211480362537766</v>
      </c>
      <c r="P191" s="47">
        <f ca="1">IF(M191&gt;0,N191*100/M191,0)</f>
        <v>3.0211480362537766</v>
      </c>
      <c r="Q191" s="47">
        <f ca="1">IFERROR(__xludf.DUMMYFUNCTION("IMPORTRANGE(""https://docs.google.com/spreadsheets/d/1ItG2mGa2ceCfYo0BwxsXqNm01IGEUdYcSSLTEv9YCik/edit?usp=sharing"",""เบิกจ่ายกองทุน!BQ82"")"),28000)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IFERROR(__xludf.DUMMYFUNCTION("IMPORTRANGE(""https://docs.google.com/spreadsheets/d/1ItG2mGa2ceCfYo0BwxsXqNm01IGEUdYcSSLTEv9YCik/edit?usp=sharing"",""เบิกจ่ายกองทุน!BR82"")"),28000)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IFERROR(__xludf.DUMMYFUNCTION("IMPORTRANGE(""https://docs.google.com/spreadsheets/d/1ItG2mGa2ceCfYo0BwxsXqNm01IGEUdYcSSLTEv9YCik/edit?usp=sharing"",""เบิกจ่ายกองทุน!BS82"")"),0)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IFERROR(__xludf.DUMMYFUNCTION("IMPORTRANGE(""https://docs.google.com/spreadsheets/d/1-uDff_7J0KD5mKrp0Vvzr7lt3OU09vwQwhkpOPPYv2Y/edit?usp=sharing"",""งบพรบ!CX82"")"),0)</f>
        <v>0</v>
      </c>
      <c r="M194" s="47">
        <f ca="1">IFERROR(__xludf.DUMMYFUNCTION("IMPORTRANGE(""https://docs.google.com/spreadsheets/d/1-uDff_7J0KD5mKrp0Vvzr7lt3OU09vwQwhkpOPPYv2Y/edit?usp=sharing"",""งบพรบ!DA82"")"),0)</f>
        <v>0</v>
      </c>
      <c r="N194" s="47">
        <f ca="1">IFERROR(__xludf.DUMMYFUNCTION("IMPORTRANGE(""https://docs.google.com/spreadsheets/d/1-uDff_7J0KD5mKrp0Vvzr7lt3OU09vwQwhkpOPPYv2Y/edit?usp=sharing"",""งบพรบ!DC82"")"),0)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IFERROR(__xludf.DUMMYFUNCTION("IMPORTRANGE(""https://docs.google.com/spreadsheets/d/1ItG2mGa2ceCfYo0BwxsXqNm01IGEUdYcSSLTEv9YCik/edit?usp=sharing"",""เบิกจ่ายกองทุน!BT82"")"),0)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IFERROR(__xludf.DUMMYFUNCTION("IMPORTRANGE(""https://docs.google.com/spreadsheets/d/1ItG2mGa2ceCfYo0BwxsXqNm01IGEUdYcSSLTEv9YCik/edit?usp=sharing"",""เบิกจ่ายกองทุน!BU82"")"),0)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IFERROR(__xludf.DUMMYFUNCTION("IMPORTRANGE(""https://docs.google.com/spreadsheets/d/1ItG2mGa2ceCfYo0BwxsXqNm01IGEUdYcSSLTEv9YCik/edit?usp=sharing"",""เบิกจ่ายกองทุน!BV82"")"),0)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0</v>
      </c>
      <c r="K195" s="229">
        <f ca="1">IF(I195&gt;0,J195*100/I195,0)</f>
        <v>0</v>
      </c>
      <c r="L195" s="687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766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IFERROR(__xludf.DUMMYFUNCTION("IMPORTRANGE(""https://docs.google.com/spreadsheets/d/1eHaY18a8A9IcSdp1K8H6x8fbOy06t2VsZHhMHf-1x7Y/edit?usp=sharing"",""แผน!AB82"")"),6000)</f>
        <v>6000</v>
      </c>
      <c r="M196" s="46"/>
      <c r="N196" s="769">
        <v>2000</v>
      </c>
      <c r="O196" s="132">
        <f ca="1">IF(L196&gt;0,N196*100/L196,0)</f>
        <v>33.333333333333336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IFERROR(__xludf.DUMMYFUNCTION("IMPORTRANGE(""https://docs.google.com/spreadsheets/d/1eHaY18a8A9IcSdp1K8H6x8fbOy06t2VsZHhMHf-1x7Y/edit?usp=sharing"",""แผน!AE82"")"),4)</f>
        <v>4</v>
      </c>
      <c r="J198" s="167">
        <v>0</v>
      </c>
      <c r="K198" s="47">
        <f ca="1">IF(I198&gt;0,J198*100/I198,0)</f>
        <v>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0</v>
      </c>
      <c r="K202" s="229">
        <f ca="1">IF(I202&gt;0,J202*100/I202,0)</f>
        <v>0</v>
      </c>
      <c r="L202" s="687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766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 t="e">
        <f ca="1">L204+L205+L206+L207</f>
        <v>#VALUE!</v>
      </c>
      <c r="M203" s="46"/>
      <c r="N203" s="132">
        <f>N204+N205+N206+N207</f>
        <v>0</v>
      </c>
      <c r="O203" s="132" t="e">
        <f ca="1">IF(L203&gt;0,N203*100/L203,0)</f>
        <v>#VALUE!</v>
      </c>
      <c r="P203" s="132">
        <f>IF(M203&gt;0,N203*100/M203,0)</f>
        <v>0</v>
      </c>
      <c r="Q203" s="768">
        <f ca="1">Q204+Q205+Q206+Q207</f>
        <v>28000</v>
      </c>
      <c r="R203" s="177"/>
      <c r="S203" s="767">
        <f>S204+S205+S206+S207</f>
        <v>0</v>
      </c>
      <c r="T203" s="767">
        <f ca="1">IF(Q203&gt;0,S203*100/Q203,0)</f>
        <v>0</v>
      </c>
      <c r="U203" s="767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IFERROR(__xludf.DUMMYFUNCTION("IMPORTRANGE(""https://docs.google.com/spreadsheets/d/1eHaY18a8A9IcSdp1K8H6x8fbOy06t2VsZHhMHf-1x7Y/edit?usp=sharing"",""แผน!AG82"")"),2000)</f>
        <v>2000</v>
      </c>
      <c r="M204" s="46"/>
      <c r="N204" s="743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IFERROR(__xludf.DUMMYFUNCTION("IMPORTRANGE(""https://docs.google.com/spreadsheets/d/1eHaY18a8A9IcSdp1K8H6x8fbOy06t2VsZHhMHf-1x7Y/edit?usp=sharing"",""แผน!AH82"")"),0)</f>
        <v>0</v>
      </c>
      <c r="M205" s="46"/>
      <c r="N205" s="743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 t="str">
        <f ca="1">IFERROR(__xludf.DUMMYFUNCTION("IMPORTRANGE(""https://docs.google.com/spreadsheets/d/1eHaY18a8A9IcSdp1K8H6x8fbOy06t2VsZHhMHf-1x7Y/edit?usp=sharing"",""แผน!AI82"")"),"")</f>
        <v/>
      </c>
      <c r="M206" s="46"/>
      <c r="N206" s="743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IFERROR(__xludf.DUMMYFUNCTION("IMPORTRANGE(""https://docs.google.com/spreadsheets/d/1eHaY18a8A9IcSdp1K8H6x8fbOy06t2VsZHhMHf-1x7Y/edit?usp=sharing"",""แผน!LV82"")"),28000)</f>
        <v>28000</v>
      </c>
      <c r="R206" s="46"/>
      <c r="S206" s="743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IFERROR(__xludf.DUMMYFUNCTION("IMPORTRANGE(""https://docs.google.com/spreadsheets/d/1eHaY18a8A9IcSdp1K8H6x8fbOy06t2VsZHhMHf-1x7Y/edit?usp=sharing"",""แผน!AJ82"")"),8000)</f>
        <v>8000</v>
      </c>
      <c r="M207" s="46"/>
      <c r="N207" s="743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IFERROR(__xludf.DUMMYFUNCTION("IMPORTRANGE(""https://docs.google.com/spreadsheets/d/1eHaY18a8A9IcSdp1K8H6x8fbOy06t2VsZHhMHf-1x7Y/edit?usp=sharing"",""แผน!AK82"")"),2)</f>
        <v>2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IFERROR(__xludf.DUMMYFUNCTION("IMPORTRANGE(""https://docs.google.com/spreadsheets/d/1eHaY18a8A9IcSdp1K8H6x8fbOy06t2VsZHhMHf-1x7Y/edit?usp=sharing"",""แผน!JX82"")"),1)</f>
        <v>1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IFERROR(__xludf.DUMMYFUNCTION("IMPORTRANGE(""https://docs.google.com/spreadsheets/d/1eHaY18a8A9IcSdp1K8H6x8fbOy06t2VsZHhMHf-1x7Y/edit?usp=sharing"",""แผน!JY82"")"),0)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7"/>
      <c r="M213" s="230"/>
      <c r="N213" s="230"/>
      <c r="O213" s="230"/>
      <c r="P213" s="230"/>
      <c r="Q213" s="687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6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IFERROR(__xludf.DUMMYFUNCTION("IMPORTRANGE(""https://docs.google.com/spreadsheets/d/1eHaY18a8A9IcSdp1K8H6x8fbOy06t2VsZHhMHf-1x7Y/edit?usp=sharing"",""แผน!AM82"")"),0)</f>
        <v>0</v>
      </c>
      <c r="M215" s="46"/>
      <c r="N215" s="743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IFERROR(__xludf.DUMMYFUNCTION("IMPORTRANGE(""https://docs.google.com/spreadsheets/d/1eHaY18a8A9IcSdp1K8H6x8fbOy06t2VsZHhMHf-1x7Y/edit?usp=sharing"",""แผน!AN82"")"),0)</f>
        <v>0</v>
      </c>
      <c r="M216" s="46"/>
      <c r="N216" s="743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IFERROR(__xludf.DUMMYFUNCTION("IMPORTRANGE(""https://docs.google.com/spreadsheets/d/1eHaY18a8A9IcSdp1K8H6x8fbOy06t2VsZHhMHf-1x7Y/edit?usp=sharing"",""แผน!AO82"")"),0)</f>
        <v>0</v>
      </c>
      <c r="M217" s="46"/>
      <c r="N217" s="743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IFERROR(__xludf.DUMMYFUNCTION("IMPORTRANGE(""https://docs.google.com/spreadsheets/d/1eHaY18a8A9IcSdp1K8H6x8fbOy06t2VsZHhMHf-1x7Y/edit?usp=sharing"",""แผน!LY82"")"),0)</f>
        <v>0</v>
      </c>
      <c r="R217" s="46"/>
      <c r="S217" s="743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IFERROR(__xludf.DUMMYFUNCTION("IMPORTRANGE(""https://docs.google.com/spreadsheets/d/1eHaY18a8A9IcSdp1K8H6x8fbOy06t2VsZHhMHf-1x7Y/edit?usp=sharing"",""แผน!AP82"")"),0)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IFERROR(__xludf.DUMMYFUNCTION("IMPORTRANGE(""https://docs.google.com/spreadsheets/d/1eHaY18a8A9IcSdp1K8H6x8fbOy06t2VsZHhMHf-1x7Y/edit?usp=sharing"",""แผน!AP82"")"),0)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0</v>
      </c>
      <c r="K221" s="229">
        <f ca="1">IF(I221&gt;0,J221*100/I221,0)</f>
        <v>0</v>
      </c>
      <c r="L221" s="687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766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IFERROR(__xludf.DUMMYFUNCTION("IMPORTRANGE(""https://docs.google.com/spreadsheets/d/1eHaY18a8A9IcSdp1K8H6x8fbOy06t2VsZHhMHf-1x7Y/edit?usp=sharing"",""แผน!AR82"")"),3000)</f>
        <v>3000</v>
      </c>
      <c r="M223" s="46"/>
      <c r="N223" s="743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IFERROR(__xludf.DUMMYFUNCTION("IMPORTRANGE(""https://docs.google.com/spreadsheets/d/1eHaY18a8A9IcSdp1K8H6x8fbOy06t2VsZHhMHf-1x7Y/edit?usp=sharing"",""แผน!AS82"")"),1500)</f>
        <v>1500</v>
      </c>
      <c r="M224" s="46"/>
      <c r="N224" s="743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IFERROR(__xludf.DUMMYFUNCTION("IMPORTRANGE(""https://docs.google.com/spreadsheets/d/1eHaY18a8A9IcSdp1K8H6x8fbOy06t2VsZHhMHf-1x7Y/edit?usp=sharing"",""แผน!AT82"")"),0)</f>
        <v>0</v>
      </c>
      <c r="M225" s="46"/>
      <c r="N225" s="743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IFERROR(__xludf.DUMMYFUNCTION("IMPORTRANGE(""https://docs.google.com/spreadsheets/d/1eHaY18a8A9IcSdp1K8H6x8fbOy06t2VsZHhMHf-1x7Y/edit?usp=sharing"",""แผน!AV82"")"),10000)</f>
        <v>10000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IFERROR(__xludf.DUMMYFUNCTION("IMPORTRANGE(""https://docs.google.com/spreadsheets/d/1eHaY18a8A9IcSdp1K8H6x8fbOy06t2VsZHhMHf-1x7Y/edit?usp=sharing"",""แผน!AV82"")"),10000)</f>
        <v>10000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IFERROR(__xludf.DUMMYFUNCTION("IMPORTRANGE(""https://docs.google.com/spreadsheets/d/1eHaY18a8A9IcSdp1K8H6x8fbOy06t2VsZHhMHf-1x7Y/edit?usp=sharing"",""แผน!AU82"")"),0)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5"/>
      <c r="B231" s="764"/>
      <c r="C231" s="749" t="s">
        <v>105</v>
      </c>
      <c r="D231" s="763"/>
      <c r="E231" s="763"/>
      <c r="F231" s="763"/>
      <c r="G231" s="762"/>
      <c r="H231" s="748" t="s">
        <v>35</v>
      </c>
      <c r="I231" s="747">
        <f ca="1">I242+I253</f>
        <v>0</v>
      </c>
      <c r="J231" s="747">
        <f>J242+J253</f>
        <v>0</v>
      </c>
      <c r="K231" s="746">
        <f ca="1">IF(I231&gt;0,J231*100/I231,0)</f>
        <v>0</v>
      </c>
      <c r="L231" s="687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5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1">
        <f ca="1">L243+L254</f>
        <v>0</v>
      </c>
      <c r="M232" s="46"/>
      <c r="N232" s="760">
        <f>N243+N254</f>
        <v>0</v>
      </c>
      <c r="O232" s="46"/>
      <c r="P232" s="46"/>
      <c r="Q232" s="759">
        <v>0</v>
      </c>
      <c r="R232" s="759">
        <v>0</v>
      </c>
      <c r="S232" s="759">
        <v>0</v>
      </c>
      <c r="T232" s="46"/>
      <c r="U232" s="46"/>
    </row>
    <row r="233" spans="1:21" ht="18.75" hidden="1" x14ac:dyDescent="0.25">
      <c r="A233" s="623"/>
      <c r="B233" s="756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8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7"/>
      <c r="B234" s="756"/>
      <c r="C234" s="756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7"/>
      <c r="B235" s="756"/>
      <c r="C235" s="756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7"/>
      <c r="B236" s="756"/>
      <c r="C236" s="756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3"/>
      <c r="B237" s="752"/>
      <c r="C237" s="742" t="s">
        <v>18</v>
      </c>
      <c r="D237" s="581" t="s">
        <v>38</v>
      </c>
      <c r="E237" s="755"/>
      <c r="F237" s="755"/>
      <c r="G237" s="754"/>
      <c r="H237" s="750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3"/>
      <c r="B238" s="752"/>
      <c r="C238" s="752"/>
      <c r="D238" s="190" t="s">
        <v>108</v>
      </c>
      <c r="E238" s="751"/>
      <c r="F238" s="751"/>
      <c r="G238" s="750"/>
      <c r="H238" s="739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3"/>
      <c r="B239" s="752"/>
      <c r="C239" s="752"/>
      <c r="D239" s="741" t="s">
        <v>43</v>
      </c>
      <c r="E239" s="751"/>
      <c r="F239" s="751"/>
      <c r="G239" s="750"/>
      <c r="H239" s="750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3"/>
      <c r="B240" s="752"/>
      <c r="C240" s="752"/>
      <c r="D240" s="752"/>
      <c r="E240" s="740" t="s">
        <v>109</v>
      </c>
      <c r="F240" s="751"/>
      <c r="G240" s="750"/>
      <c r="H240" s="739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3"/>
      <c r="B241" s="752"/>
      <c r="C241" s="752"/>
      <c r="D241" s="752"/>
      <c r="E241" s="740" t="s">
        <v>110</v>
      </c>
      <c r="F241" s="751"/>
      <c r="G241" s="750"/>
      <c r="H241" s="739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9" t="s">
        <v>111</v>
      </c>
      <c r="D242" s="225"/>
      <c r="E242" s="225"/>
      <c r="F242" s="225"/>
      <c r="G242" s="226"/>
      <c r="H242" s="748" t="s">
        <v>35</v>
      </c>
      <c r="I242" s="747">
        <f ca="1">I249</f>
        <v>0</v>
      </c>
      <c r="J242" s="747">
        <f>J249</f>
        <v>0</v>
      </c>
      <c r="K242" s="746">
        <f ca="1">IF(I242&gt;0,J242*100/I242,0)</f>
        <v>0</v>
      </c>
      <c r="L242" s="687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5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IFERROR(__xludf.DUMMYFUNCTION("IMPORTRANGE(""https://docs.google.com/spreadsheets/d/1eHaY18a8A9IcSdp1K8H6x8fbOy06t2VsZHhMHf-1x7Y/edit?usp=sharing"",""แผน!AX82"")"),0)</f>
        <v>0</v>
      </c>
      <c r="M244" s="46"/>
      <c r="N244" s="743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IFERROR(__xludf.DUMMYFUNCTION("IMPORTRANGE(""https://docs.google.com/spreadsheets/d/1eHaY18a8A9IcSdp1K8H6x8fbOy06t2VsZHhMHf-1x7Y/edit?usp=sharing"",""แผน!AY82"")"),0)</f>
        <v>0</v>
      </c>
      <c r="M245" s="46"/>
      <c r="N245" s="743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IFERROR(__xludf.DUMMYFUNCTION("IMPORTRANGE(""https://docs.google.com/spreadsheets/d/1eHaY18a8A9IcSdp1K8H6x8fbOy06t2VsZHhMHf-1x7Y/edit?usp=sharing"",""แผน!AZ82"")"),0)</f>
        <v>0</v>
      </c>
      <c r="M246" s="46"/>
      <c r="N246" s="743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IFERROR(__xludf.DUMMYFUNCTION("IMPORTRANGE(""https://docs.google.com/spreadsheets/d/1eHaY18a8A9IcSdp1K8H6x8fbOy06t2VsZHhMHf-1x7Y/edit?usp=sharing"",""แผน!BA82"")"),0)</f>
        <v>0</v>
      </c>
      <c r="M247" s="46"/>
      <c r="N247" s="743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2" t="s">
        <v>18</v>
      </c>
      <c r="D248" s="581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9" t="s">
        <v>35</v>
      </c>
      <c r="I249" s="495">
        <f ca="1">IFERROR(__xludf.DUMMYFUNCTION("IMPORTRANGE(""https://docs.google.com/spreadsheets/d/1eHaY18a8A9IcSdp1K8H6x8fbOy06t2VsZHhMHf-1x7Y/edit?usp=sharing"",""แผน!BG82"")"),0)</f>
        <v>0</v>
      </c>
      <c r="J249" s="738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1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40" t="s">
        <v>109</v>
      </c>
      <c r="F251" s="145"/>
      <c r="G251" s="143"/>
      <c r="H251" s="739" t="s">
        <v>35</v>
      </c>
      <c r="I251" s="495">
        <v>0</v>
      </c>
      <c r="J251" s="738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40" t="s">
        <v>110</v>
      </c>
      <c r="F252" s="145"/>
      <c r="G252" s="143"/>
      <c r="H252" s="739" t="s">
        <v>61</v>
      </c>
      <c r="I252" s="495">
        <v>0</v>
      </c>
      <c r="J252" s="738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9" t="s">
        <v>112</v>
      </c>
      <c r="D253" s="225"/>
      <c r="E253" s="225"/>
      <c r="F253" s="225"/>
      <c r="G253" s="226"/>
      <c r="H253" s="748" t="s">
        <v>35</v>
      </c>
      <c r="I253" s="747">
        <f ca="1">I260</f>
        <v>0</v>
      </c>
      <c r="J253" s="747">
        <f>J260</f>
        <v>0</v>
      </c>
      <c r="K253" s="746">
        <f ca="1">IF(I253&gt;0,J253*100/I253,0)</f>
        <v>0</v>
      </c>
      <c r="L253" s="687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5" t="s">
        <v>18</v>
      </c>
      <c r="D254" s="744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IFERROR(__xludf.DUMMYFUNCTION("IMPORTRANGE(""https://docs.google.com/spreadsheets/d/1eHaY18a8A9IcSdp1K8H6x8fbOy06t2VsZHhMHf-1x7Y/edit?usp=sharing"",""แผน!BB82"")"),0)</f>
        <v>0</v>
      </c>
      <c r="M255" s="46"/>
      <c r="N255" s="743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IFERROR(__xludf.DUMMYFUNCTION("IMPORTRANGE(""https://docs.google.com/spreadsheets/d/1eHaY18a8A9IcSdp1K8H6x8fbOy06t2VsZHhMHf-1x7Y/edit?usp=sharing"",""แผน!BC82"")"),0)</f>
        <v>0</v>
      </c>
      <c r="M256" s="46"/>
      <c r="N256" s="743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IFERROR(__xludf.DUMMYFUNCTION("IMPORTRANGE(""https://docs.google.com/spreadsheets/d/1eHaY18a8A9IcSdp1K8H6x8fbOy06t2VsZHhMHf-1x7Y/edit?usp=sharing"",""แผน!BD82"")"),0)</f>
        <v>0</v>
      </c>
      <c r="M257" s="46"/>
      <c r="N257" s="743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IFERROR(__xludf.DUMMYFUNCTION("IMPORTRANGE(""https://docs.google.com/spreadsheets/d/1eHaY18a8A9IcSdp1K8H6x8fbOy06t2VsZHhMHf-1x7Y/edit?usp=sharing"",""แผน!BE82"")"),0)</f>
        <v>0</v>
      </c>
      <c r="M258" s="46"/>
      <c r="N258" s="743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2" t="s">
        <v>18</v>
      </c>
      <c r="D259" s="581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9" t="s">
        <v>35</v>
      </c>
      <c r="I260" s="495">
        <f ca="1">IFERROR(__xludf.DUMMYFUNCTION("IMPORTRANGE(""https://docs.google.com/spreadsheets/d/1eHaY18a8A9IcSdp1K8H6x8fbOy06t2VsZHhMHf-1x7Y/edit?usp=sharing"",""แผน!BH82"")"),0)</f>
        <v>0</v>
      </c>
      <c r="J260" s="738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1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40" t="s">
        <v>109</v>
      </c>
      <c r="F262" s="145"/>
      <c r="G262" s="143"/>
      <c r="H262" s="739" t="s">
        <v>35</v>
      </c>
      <c r="I262" s="45"/>
      <c r="J262" s="738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40" t="s">
        <v>110</v>
      </c>
      <c r="F263" s="145"/>
      <c r="G263" s="143"/>
      <c r="H263" s="739" t="s">
        <v>61</v>
      </c>
      <c r="I263" s="45"/>
      <c r="J263" s="738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7" t="s">
        <v>113</v>
      </c>
      <c r="B264" s="736"/>
      <c r="C264" s="736"/>
      <c r="D264" s="735"/>
      <c r="E264" s="735"/>
      <c r="F264" s="735"/>
      <c r="G264" s="734"/>
      <c r="H264" s="734"/>
      <c r="I264" s="733"/>
      <c r="J264" s="733"/>
      <c r="K264" s="731"/>
      <c r="L264" s="772"/>
      <c r="M264" s="209"/>
      <c r="N264" s="209"/>
      <c r="O264" s="209"/>
      <c r="P264" s="209"/>
      <c r="Q264" s="209"/>
      <c r="R264" s="209"/>
      <c r="S264" s="209"/>
      <c r="T264" s="209"/>
      <c r="U264" s="209"/>
    </row>
    <row r="265" spans="1:21" ht="19.5" x14ac:dyDescent="0.3">
      <c r="A265" s="730"/>
      <c r="B265" s="729" t="s">
        <v>114</v>
      </c>
      <c r="C265" s="728"/>
      <c r="D265" s="435"/>
      <c r="E265" s="435"/>
      <c r="F265" s="435"/>
      <c r="G265" s="436"/>
      <c r="H265" s="727" t="s">
        <v>35</v>
      </c>
      <c r="I265" s="726">
        <f ca="1">I276</f>
        <v>22</v>
      </c>
      <c r="J265" s="726">
        <f>J276</f>
        <v>0</v>
      </c>
      <c r="K265" s="725">
        <f ca="1">IF(I265&gt;0,J265*100/I265,0)</f>
        <v>0</v>
      </c>
      <c r="L265" s="770"/>
      <c r="M265" s="216"/>
      <c r="N265" s="216"/>
      <c r="O265" s="216"/>
      <c r="P265" s="216"/>
      <c r="Q265" s="216"/>
      <c r="R265" s="216"/>
      <c r="S265" s="216"/>
      <c r="T265" s="216"/>
      <c r="U265" s="216"/>
    </row>
    <row r="266" spans="1:21" ht="19.5" x14ac:dyDescent="0.3">
      <c r="A266" s="416"/>
      <c r="B266" s="424"/>
      <c r="C266" s="618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550">
        <f ca="1">L267+L268</f>
        <v>5000</v>
      </c>
      <c r="M266" s="132">
        <f ca="1">M267+M268</f>
        <v>22320</v>
      </c>
      <c r="N266" s="132">
        <f ca="1">N267+N268</f>
        <v>22320</v>
      </c>
      <c r="O266" s="132">
        <f ca="1">IF(L266&gt;0,N266*100/L266,0)</f>
        <v>446.4</v>
      </c>
      <c r="P266" s="132">
        <f ca="1">IF(M266&gt;0,N266*100/M266,0)</f>
        <v>100</v>
      </c>
      <c r="Q266" s="132">
        <f ca="1">Q267+Q268</f>
        <v>50660</v>
      </c>
      <c r="R266" s="132">
        <f ca="1">R267+R268</f>
        <v>50660</v>
      </c>
      <c r="S266" s="132">
        <f ca="1">S267+S268</f>
        <v>45686</v>
      </c>
      <c r="T266" s="132">
        <f ca="1">IF(Q266&gt;0,S266*100/Q266,0)</f>
        <v>90.181602842479279</v>
      </c>
      <c r="U266" s="132">
        <f ca="1">IF(R266&gt;0,S266*100/R266,0)</f>
        <v>90.181602842479279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548">
        <f ca="1">L271+L274</f>
        <v>5000</v>
      </c>
      <c r="M268" s="47">
        <f ca="1">M271+M274</f>
        <v>22320</v>
      </c>
      <c r="N268" s="47">
        <f ca="1">N271+N274</f>
        <v>22320</v>
      </c>
      <c r="O268" s="47">
        <f ca="1">IF(L268&gt;0,N268*100/L268,0)</f>
        <v>446.4</v>
      </c>
      <c r="P268" s="47">
        <f ca="1">IF(M268&gt;0,N268*100/M268,0)</f>
        <v>100</v>
      </c>
      <c r="Q268" s="47">
        <f ca="1">Q271+Q274</f>
        <v>50660</v>
      </c>
      <c r="R268" s="47">
        <f ca="1">R271+R274</f>
        <v>50660</v>
      </c>
      <c r="S268" s="47">
        <f ca="1">S271+S274</f>
        <v>45686</v>
      </c>
      <c r="T268" s="47">
        <f ca="1">IF(Q268&gt;0,S268*100/Q268,0)</f>
        <v>90.181602842479279</v>
      </c>
      <c r="U268" s="47">
        <f ca="1">IF(R268&gt;0,S268*100/R268,0)</f>
        <v>90.181602842479279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548">
        <f ca="1">L270+L271</f>
        <v>5000</v>
      </c>
      <c r="M269" s="47">
        <f ca="1">M270+M271</f>
        <v>22320</v>
      </c>
      <c r="N269" s="47">
        <f ca="1">N270+N271</f>
        <v>22320</v>
      </c>
      <c r="O269" s="47">
        <f ca="1">IF(L269&gt;0,N269*100/L269,0)</f>
        <v>446.4</v>
      </c>
      <c r="P269" s="47">
        <f ca="1">IF(M269&gt;0,N269*100/M269,0)</f>
        <v>100</v>
      </c>
      <c r="Q269" s="47">
        <f ca="1">Q270+Q271</f>
        <v>50660</v>
      </c>
      <c r="R269" s="47">
        <f ca="1">R270+R271</f>
        <v>50660</v>
      </c>
      <c r="S269" s="47">
        <f ca="1">S270+S271</f>
        <v>45686</v>
      </c>
      <c r="T269" s="47">
        <f ca="1">IF(Q269&gt;0,S269*100/Q269,0)</f>
        <v>90.181602842479279</v>
      </c>
      <c r="U269" s="47">
        <f ca="1">IF(R269&gt;0,S269*100/R269,0)</f>
        <v>90.181602842479279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548">
        <f ca="1">IFERROR(__xludf.DUMMYFUNCTION("IMPORTRANGE(""https://docs.google.com/spreadsheets/d/1-uDff_7J0KD5mKrp0Vvzr7lt3OU09vwQwhkpOPPYv2Y/edit?usp=sharing"",""งบพรบ!DE82"")"),5000)</f>
        <v>5000</v>
      </c>
      <c r="M271" s="47">
        <f ca="1">IFERROR(__xludf.DUMMYFUNCTION("IMPORTRANGE(""https://docs.google.com/spreadsheets/d/1-uDff_7J0KD5mKrp0Vvzr7lt3OU09vwQwhkpOPPYv2Y/edit?usp=sharing"",""งบพรบ!DJ82"")"),22320)</f>
        <v>22320</v>
      </c>
      <c r="N271" s="47">
        <f ca="1">IFERROR(__xludf.DUMMYFUNCTION("IMPORTRANGE(""https://docs.google.com/spreadsheets/d/1-uDff_7J0KD5mKrp0Vvzr7lt3OU09vwQwhkpOPPYv2Y/edit?usp=sharing"",""งบพรบ!DL82"")"),22320)</f>
        <v>22320</v>
      </c>
      <c r="O271" s="47">
        <f ca="1">IF(L271&gt;0,N271*100/L271,0)</f>
        <v>446.4</v>
      </c>
      <c r="P271" s="47">
        <f ca="1">IF(M271&gt;0,N271*100/M271,0)</f>
        <v>100</v>
      </c>
      <c r="Q271" s="47">
        <f ca="1">IFERROR(__xludf.DUMMYFUNCTION("IMPORTRANGE(""https://docs.google.com/spreadsheets/d/1ItG2mGa2ceCfYo0BwxsXqNm01IGEUdYcSSLTEv9YCik/edit?usp=sharing"",""เบิกจ่ายกองทุน!AP82"")"),50660)</f>
        <v>50660</v>
      </c>
      <c r="R271" s="47">
        <f ca="1">IFERROR(__xludf.DUMMYFUNCTION("IMPORTRANGE(""https://docs.google.com/spreadsheets/d/1ItG2mGa2ceCfYo0BwxsXqNm01IGEUdYcSSLTEv9YCik/edit?usp=sharing"",""เบิกจ่ายกองทุน!AQ82"")"),50660)</f>
        <v>50660</v>
      </c>
      <c r="S271" s="47">
        <f ca="1">IFERROR(__xludf.DUMMYFUNCTION("IMPORTRANGE(""https://docs.google.com/spreadsheets/d/1ItG2mGa2ceCfYo0BwxsXqNm01IGEUdYcSSLTEv9YCik/edit?usp=sharing"",""เบิกจ่ายกองทุน!AR82"")"),45686)</f>
        <v>45686</v>
      </c>
      <c r="T271" s="47">
        <f ca="1">IF(Q271&gt;0,S271*100/Q271,0)</f>
        <v>90.181602842479279</v>
      </c>
      <c r="U271" s="47">
        <f ca="1">IF(R271&gt;0,S271*100/R271,0)</f>
        <v>90.181602842479279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548">
        <f ca="1">L273+L274</f>
        <v>0</v>
      </c>
      <c r="M272" s="47">
        <f ca="1">M273+M274</f>
        <v>0</v>
      </c>
      <c r="N272" s="47">
        <f ca="1">N273+N274</f>
        <v>0</v>
      </c>
      <c r="O272" s="47">
        <f ca="1">IF(L272&gt;0,N272*100/L272,0)</f>
        <v>0</v>
      </c>
      <c r="P272" s="47">
        <f ca="1">IF(M272&gt;0,N272*100/M272,0)</f>
        <v>0</v>
      </c>
      <c r="Q272" s="47">
        <f>Q273+Q274</f>
        <v>0</v>
      </c>
      <c r="R272" s="47">
        <f>R273+R274</f>
        <v>0</v>
      </c>
      <c r="S272" s="47">
        <f>S273+S274</f>
        <v>0</v>
      </c>
      <c r="T272" s="47">
        <f>IF(Q272&gt;0,S272*100/Q272,0)</f>
        <v>0</v>
      </c>
      <c r="U272" s="47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548">
        <f ca="1">IFERROR(__xludf.DUMMYFUNCTION("IMPORTRANGE(""https://docs.google.com/spreadsheets/d/1-uDff_7J0KD5mKrp0Vvzr7lt3OU09vwQwhkpOPPYv2Y/edit?usp=sharing"",""งบพรบ!DH82"")"),0)</f>
        <v>0</v>
      </c>
      <c r="M274" s="47">
        <f ca="1">IFERROR(__xludf.DUMMYFUNCTION("IMPORTRANGE(""https://docs.google.com/spreadsheets/d/1-uDff_7J0KD5mKrp0Vvzr7lt3OU09vwQwhkpOPPYv2Y/edit?usp=sharing"",""งบพรบ!DK82"")"),0)</f>
        <v>0</v>
      </c>
      <c r="N274" s="47">
        <f ca="1">IFERROR(__xludf.DUMMYFUNCTION("IMPORTRANGE(""https://docs.google.com/spreadsheets/d/1-uDff_7J0KD5mKrp0Vvzr7lt3OU09vwQwhkpOPPYv2Y/edit?usp=sharing"",""งบพรบ!DM82"")"),0)</f>
        <v>0</v>
      </c>
      <c r="O274" s="47">
        <f ca="1">IF(L274&gt;0,N274*100/L274,0)</f>
        <v>0</v>
      </c>
      <c r="P274" s="47">
        <f ca="1">IF(M274&gt;0,N274*100/M274,0)</f>
        <v>0</v>
      </c>
      <c r="Q274" s="47">
        <v>0</v>
      </c>
      <c r="R274" s="47">
        <v>0</v>
      </c>
      <c r="S274" s="47">
        <v>0</v>
      </c>
      <c r="T274" s="47">
        <f>IF(Q274&gt;0,S274*100/Q274,0)</f>
        <v>0</v>
      </c>
      <c r="U274" s="47">
        <f>IF(R274&gt;0,S274*100/R274,0)</f>
        <v>0</v>
      </c>
    </row>
    <row r="275" spans="1:21" ht="19.5" x14ac:dyDescent="0.3">
      <c r="A275" s="432"/>
      <c r="B275" s="433"/>
      <c r="C275" s="423" t="s">
        <v>18</v>
      </c>
      <c r="D275" s="617" t="s">
        <v>38</v>
      </c>
      <c r="E275" s="435"/>
      <c r="F275" s="435"/>
      <c r="G275" s="436"/>
      <c r="H275" s="439"/>
      <c r="I275" s="428"/>
      <c r="J275" s="428"/>
      <c r="K275" s="429"/>
      <c r="L275" s="558"/>
      <c r="M275" s="136"/>
      <c r="N275" s="136"/>
      <c r="O275" s="136"/>
      <c r="P275" s="136"/>
      <c r="Q275" s="136"/>
      <c r="R275" s="136"/>
      <c r="S275" s="136"/>
      <c r="T275" s="136"/>
      <c r="U275" s="136"/>
    </row>
    <row r="276" spans="1:21" ht="18.75" x14ac:dyDescent="0.25">
      <c r="A276" s="874"/>
      <c r="B276" s="873"/>
      <c r="C276" s="873"/>
      <c r="D276" s="872" t="s">
        <v>115</v>
      </c>
      <c r="E276" s="871"/>
      <c r="F276" s="871"/>
      <c r="G276" s="870"/>
      <c r="H276" s="869" t="s">
        <v>35</v>
      </c>
      <c r="I276" s="868">
        <f ca="1">IFERROR(__xludf.DUMMYFUNCTION("IMPORTRANGE(""https://docs.google.com/spreadsheets/d/1eHaY18a8A9IcSdp1K8H6x8fbOy06t2VsZHhMHf-1x7Y/edit?usp=sharing"",""แผน!EC82"")"),22)</f>
        <v>22</v>
      </c>
      <c r="J276" s="867">
        <v>0</v>
      </c>
      <c r="K276" s="866">
        <f ca="1">IF(I276&gt;0,J276*100/I276,0)</f>
        <v>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833"/>
      <c r="B277" s="832"/>
      <c r="C277" s="832"/>
      <c r="D277" s="716" t="s">
        <v>116</v>
      </c>
      <c r="E277" s="831"/>
      <c r="F277" s="831"/>
      <c r="G277" s="830"/>
      <c r="H277" s="715" t="s">
        <v>35</v>
      </c>
      <c r="I277" s="498">
        <v>0</v>
      </c>
      <c r="J277" s="498">
        <v>0</v>
      </c>
      <c r="K277" s="714">
        <v>0</v>
      </c>
      <c r="L277" s="876"/>
      <c r="M277" s="875"/>
      <c r="N277" s="875"/>
      <c r="O277" s="875"/>
      <c r="P277" s="875"/>
      <c r="Q277" s="875"/>
      <c r="R277" s="875"/>
      <c r="S277" s="875"/>
      <c r="T277" s="875"/>
      <c r="U277" s="875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2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1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1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IFERROR(__xludf.DUMMYFUNCTION("IMPORTRANGE(""https://docs.google.com/spreadsheets/d/1-uDff_7J0KD5mKrp0Vvzr7lt3OU09vwQwhkpOPPYv2Y/edit?usp=sharing"",""งบพรบ!DO82"")"),0)</f>
        <v>0</v>
      </c>
      <c r="M287" s="47">
        <f ca="1">IFERROR(__xludf.DUMMYFUNCTION("IMPORTRANGE(""https://docs.google.com/spreadsheets/d/1-uDff_7J0KD5mKrp0Vvzr7lt3OU09vwQwhkpOPPYv2Y/edit?usp=sharing"",""งบพรบ!DT82"")"),0)</f>
        <v>0</v>
      </c>
      <c r="N287" s="47">
        <f ca="1">IFERROR(__xludf.DUMMYFUNCTION("IMPORTRANGE(""https://docs.google.com/spreadsheets/d/1-uDff_7J0KD5mKrp0Vvzr7lt3OU09vwQwhkpOPPYv2Y/edit?usp=sharing"",""งบพรบ!DV82"")"),0)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IFERROR(__xludf.DUMMYFUNCTION("IMPORTRANGE(""https://docs.google.com/spreadsheets/d/1-uDff_7J0KD5mKrp0Vvzr7lt3OU09vwQwhkpOPPYv2Y/edit?usp=sharing"",""งบพรบ!DR82"")"),0)</f>
        <v>0</v>
      </c>
      <c r="M290" s="47">
        <f ca="1">IFERROR(__xludf.DUMMYFUNCTION("IMPORTRANGE(""https://docs.google.com/spreadsheets/d/1-uDff_7J0KD5mKrp0Vvzr7lt3OU09vwQwhkpOPPYv2Y/edit?usp=sharing"",""งบพรบ!DU82"")"),0)</f>
        <v>0</v>
      </c>
      <c r="N290" s="47">
        <f ca="1">IFERROR(__xludf.DUMMYFUNCTION("IMPORTRANGE(""https://docs.google.com/spreadsheets/d/1-uDff_7J0KD5mKrp0Vvzr7lt3OU09vwQwhkpOPPYv2Y/edit?usp=sharing"",""งบพรบ!DW82"")"),0)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IFERROR(__xludf.DUMMYFUNCTION("IMPORTRANGE(""https://docs.google.com/spreadsheets/d/1eHaY18a8A9IcSdp1K8H6x8fbOy06t2VsZHhMHf-1x7Y/edit?usp=sharing"",""แผน!EE82"")"),0)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IFERROR(__xludf.DUMMYFUNCTION("IMPORTRANGE(""https://docs.google.com/spreadsheets/d/1eHaY18a8A9IcSdp1K8H6x8fbOy06t2VsZHhMHf-1x7Y/edit?usp=sharing"",""แผน!ED82"")"),0)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IFERROR(__xludf.DUMMYFUNCTION("IMPORTRANGE(""https://docs.google.com/spreadsheets/d/1eHaY18a8A9IcSdp1K8H6x8fbOy06t2VsZHhMHf-1x7Y/edit?usp=sharing"",""แผน!ED82"")"),0)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IFERROR(__xludf.DUMMYFUNCTION("IMPORTRANGE(""https://docs.google.com/spreadsheets/d/1eHaY18a8A9IcSdp1K8H6x8fbOy06t2VsZHhMHf-1x7Y/edit?usp=sharing"",""แผน!ED82"")"),0)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1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1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10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700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15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59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162475</v>
      </c>
      <c r="M303" s="132">
        <f ca="1">M304+M305</f>
        <v>162475</v>
      </c>
      <c r="N303" s="132">
        <f ca="1">N304+N305</f>
        <v>113714.29</v>
      </c>
      <c r="O303" s="132">
        <f ca="1">IF(L303&gt;0,N303*100/L303,0)</f>
        <v>69.988792121864904</v>
      </c>
      <c r="P303" s="132">
        <f ca="1">IF(M303&gt;0,N303*100/M303,0)</f>
        <v>69.988792121864904</v>
      </c>
      <c r="Q303" s="132">
        <f ca="1">Q304+Q305</f>
        <v>123161.24</v>
      </c>
      <c r="R303" s="132">
        <f ca="1">R304+R305</f>
        <v>123161</v>
      </c>
      <c r="S303" s="132">
        <f ca="1">S304+S305</f>
        <v>1000</v>
      </c>
      <c r="T303" s="132">
        <f ca="1">IF(Q303&gt;0,S303*100/Q303,0)</f>
        <v>0.8119437576302414</v>
      </c>
      <c r="U303" s="132">
        <f ca="1">IF(R303&gt;0,S303*100/R303,0)</f>
        <v>0.81194533983972195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162475</v>
      </c>
      <c r="M305" s="47">
        <f ca="1">M308+M311</f>
        <v>162475</v>
      </c>
      <c r="N305" s="47">
        <f ca="1">N308+N311</f>
        <v>113714.29</v>
      </c>
      <c r="O305" s="47">
        <f ca="1">IF(L305&gt;0,N305*100/L305,0)</f>
        <v>69.988792121864904</v>
      </c>
      <c r="P305" s="47">
        <f ca="1">IF(M305&gt;0,N305*100/M305,0)</f>
        <v>69.988792121864904</v>
      </c>
      <c r="Q305" s="47">
        <f ca="1">Q308+Q311</f>
        <v>123161.24</v>
      </c>
      <c r="R305" s="47">
        <f ca="1">R308+R311</f>
        <v>123161</v>
      </c>
      <c r="S305" s="47">
        <f ca="1">S308+S311</f>
        <v>1000</v>
      </c>
      <c r="T305" s="47">
        <f ca="1">IF(Q305&gt;0,S305*100/Q305,0)</f>
        <v>0.8119437576302414</v>
      </c>
      <c r="U305" s="47">
        <f ca="1">IF(R305&gt;0,S305*100/R305,0)</f>
        <v>0.81194533983972195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162475</v>
      </c>
      <c r="M306" s="47">
        <f ca="1">M307+M308</f>
        <v>162475</v>
      </c>
      <c r="N306" s="47">
        <f ca="1">N307+N308</f>
        <v>113714.29</v>
      </c>
      <c r="O306" s="47">
        <f ca="1">IF(L306&gt;0,N306*100/L306,0)</f>
        <v>69.988792121864904</v>
      </c>
      <c r="P306" s="47">
        <f ca="1">IF(M306&gt;0,N306*100/M306,0)</f>
        <v>69.988792121864904</v>
      </c>
      <c r="Q306" s="47">
        <f ca="1">Q307+Q308</f>
        <v>123161.24</v>
      </c>
      <c r="R306" s="47">
        <f ca="1">R307+R308</f>
        <v>123161</v>
      </c>
      <c r="S306" s="47">
        <f ca="1">S307+S308</f>
        <v>1000</v>
      </c>
      <c r="T306" s="47">
        <f ca="1">IF(Q306&gt;0,S306*100/Q306,0)</f>
        <v>0.8119437576302414</v>
      </c>
      <c r="U306" s="47">
        <f ca="1">IF(R306&gt;0,S306*100/R306,0)</f>
        <v>0.81194533983972195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IFERROR(__xludf.DUMMYFUNCTION("IMPORTRANGE(""https://docs.google.com/spreadsheets/d/1-uDff_7J0KD5mKrp0Vvzr7lt3OU09vwQwhkpOPPYv2Y/edit?usp=sharing"",""งบพรบ!DY82"")"),162475)</f>
        <v>162475</v>
      </c>
      <c r="M308" s="47">
        <f ca="1">IFERROR(__xludf.DUMMYFUNCTION("IMPORTRANGE(""https://docs.google.com/spreadsheets/d/1-uDff_7J0KD5mKrp0Vvzr7lt3OU09vwQwhkpOPPYv2Y/edit?usp=sharing"",""งบพรบ!ED82"")"),162475)</f>
        <v>162475</v>
      </c>
      <c r="N308" s="47">
        <f ca="1">IFERROR(__xludf.DUMMYFUNCTION("IMPORTRANGE(""https://docs.google.com/spreadsheets/d/1-uDff_7J0KD5mKrp0Vvzr7lt3OU09vwQwhkpOPPYv2Y/edit?usp=sharing"",""งบพรบ!EF82"")"),113714.29)</f>
        <v>113714.29</v>
      </c>
      <c r="O308" s="47">
        <f ca="1">IF(L308&gt;0,N308*100/L308,0)</f>
        <v>69.988792121864904</v>
      </c>
      <c r="P308" s="47">
        <f ca="1">IF(M308&gt;0,N308*100/M308,0)</f>
        <v>69.988792121864904</v>
      </c>
      <c r="Q308" s="47">
        <f ca="1">IFERROR(__xludf.DUMMYFUNCTION("IMPORTRANGE(""https://docs.google.com/spreadsheets/d/1ItG2mGa2ceCfYo0BwxsXqNm01IGEUdYcSSLTEv9YCik/edit?usp=sharing"",""เบิกจ่ายกองทุน!BB82"")"),123161.24)</f>
        <v>123161.24</v>
      </c>
      <c r="R308" s="47">
        <f ca="1">IFERROR(__xludf.DUMMYFUNCTION("IMPORTRANGE(""https://docs.google.com/spreadsheets/d/1ItG2mGa2ceCfYo0BwxsXqNm01IGEUdYcSSLTEv9YCik/edit?usp=sharing"",""เบิกจ่ายกองทุน!BC82"")"),123161)</f>
        <v>123161</v>
      </c>
      <c r="S308" s="47">
        <f ca="1">IFERROR(__xludf.DUMMYFUNCTION("IMPORTRANGE(""https://docs.google.com/spreadsheets/d/1ItG2mGa2ceCfYo0BwxsXqNm01IGEUdYcSSLTEv9YCik/edit?usp=sharing"",""เบิกจ่ายกองทุน!BD82"")"),1000)</f>
        <v>1000</v>
      </c>
      <c r="T308" s="47">
        <f ca="1">IF(Q308&gt;0,S308*100/Q308,0)</f>
        <v>0.8119437576302414</v>
      </c>
      <c r="U308" s="47">
        <f ca="1">IF(R308&gt;0,S308*100/R308,0)</f>
        <v>0.81194533983972195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IFERROR(__xludf.DUMMYFUNCTION("IMPORTRANGE(""https://docs.google.com/spreadsheets/d/1-uDff_7J0KD5mKrp0Vvzr7lt3OU09vwQwhkpOPPYv2Y/edit?usp=sharing"",""งบพรบ!EB82"")"),0)</f>
        <v>0</v>
      </c>
      <c r="M311" s="47">
        <f ca="1">IFERROR(__xludf.DUMMYFUNCTION("IMPORTRANGE(""https://docs.google.com/spreadsheets/d/1-uDff_7J0KD5mKrp0Vvzr7lt3OU09vwQwhkpOPPYv2Y/edit?usp=sharing"",""งบพรบ!EE82"")"),0)</f>
        <v>0</v>
      </c>
      <c r="N311" s="47">
        <f ca="1">IFERROR(__xludf.DUMMYFUNCTION("IMPORTRANGE(""https://docs.google.com/spreadsheets/d/1-uDff_7J0KD5mKrp0Vvzr7lt3OU09vwQwhkpOPPYv2Y/edit?usp=sharing"",""งบพรบ!EG82"")"),0)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9"/>
      <c r="E313" s="19"/>
      <c r="F313" s="19"/>
      <c r="G313" s="20"/>
      <c r="H313" s="20"/>
      <c r="I313" s="21"/>
      <c r="J313" s="707"/>
      <c r="K313" s="22"/>
      <c r="L313" s="701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IFERROR(__xludf.DUMMYFUNCTION("IMPORTRANGE(""https://docs.google.com/spreadsheets/d/1eHaY18a8A9IcSdp1K8H6x8fbOy06t2VsZHhMHf-1x7Y/edit?usp=sharing"",""แผน!EF82"")"),15)</f>
        <v>15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9"/>
      <c r="E315" s="19"/>
      <c r="F315" s="19"/>
      <c r="G315" s="20"/>
      <c r="H315" s="708"/>
      <c r="I315" s="707"/>
      <c r="J315" s="707"/>
      <c r="K315" s="706"/>
      <c r="L315" s="701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9"/>
      <c r="E316" s="19"/>
      <c r="F316" s="19"/>
      <c r="G316" s="20"/>
      <c r="H316" s="708"/>
      <c r="I316" s="707"/>
      <c r="J316" s="707"/>
      <c r="K316" s="706"/>
      <c r="L316" s="701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5"/>
      <c r="E317" s="19"/>
      <c r="F317" s="19"/>
      <c r="G317" s="20"/>
      <c r="H317" s="704"/>
      <c r="I317" s="703"/>
      <c r="J317" s="703"/>
      <c r="K317" s="702"/>
      <c r="L317" s="701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700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IFERROR(__xludf.DUMMYFUNCTION("IMPORTRANGE(""https://docs.google.com/spreadsheets/d/1-uDff_7J0KD5mKrp0Vvzr7lt3OU09vwQwhkpOPPYv2Y/edit?usp=sharing"",""งบพรบ!EI82"")"),0)</f>
        <v>0</v>
      </c>
      <c r="M325" s="47">
        <f ca="1">IFERROR(__xludf.DUMMYFUNCTION("IMPORTRANGE(""https://docs.google.com/spreadsheets/d/1-uDff_7J0KD5mKrp0Vvzr7lt3OU09vwQwhkpOPPYv2Y/edit?usp=sharing"",""งบพรบ!EN82"")"),0)</f>
        <v>0</v>
      </c>
      <c r="N325" s="47">
        <f ca="1">IFERROR(__xludf.DUMMYFUNCTION("IMPORTRANGE(""https://docs.google.com/spreadsheets/d/1-uDff_7J0KD5mKrp0Vvzr7lt3OU09vwQwhkpOPPYv2Y/edit?usp=sharing"",""งบพรบ!EP82"")"),0)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IFERROR(__xludf.DUMMYFUNCTION("IMPORTRANGE(""https://docs.google.com/spreadsheets/d/1-uDff_7J0KD5mKrp0Vvzr7lt3OU09vwQwhkpOPPYv2Y/edit?usp=sharing"",""งบพรบ!EL82"")"),0)</f>
        <v>0</v>
      </c>
      <c r="M328" s="47">
        <f ca="1">IFERROR(__xludf.DUMMYFUNCTION("IMPORTRANGE(""https://docs.google.com/spreadsheets/d/1-uDff_7J0KD5mKrp0Vvzr7lt3OU09vwQwhkpOPPYv2Y/edit?usp=sharing"",""งบพรบ!EO82"")"),0)</f>
        <v>0</v>
      </c>
      <c r="N328" s="47">
        <f ca="1">IFERROR(__xludf.DUMMYFUNCTION("IMPORTRANGE(""https://docs.google.com/spreadsheets/d/1-uDff_7J0KD5mKrp0Vvzr7lt3OU09vwQwhkpOPPYv2Y/edit?usp=sharing"",""งบพรบ!EQ82"")"),0)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IFERROR(__xludf.DUMMYFUNCTION("IMPORTRANGE(""https://docs.google.com/spreadsheets/d/1eHaY18a8A9IcSdp1K8H6x8fbOy06t2VsZHhMHf-1x7Y/edit?usp=sharing"",""แผน!EJ82"")"),0)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700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9">
        <f ca="1">I344</f>
        <v>800</v>
      </c>
      <c r="J332" s="698">
        <f ca="1">J344+J347+J348+J349+J353</f>
        <v>3859</v>
      </c>
      <c r="K332" s="697">
        <f ca="1">IF(I332&gt;0,J332*100/I332,0)</f>
        <v>482.375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59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177000</v>
      </c>
      <c r="M333" s="132">
        <f ca="1">M334+M335</f>
        <v>177000</v>
      </c>
      <c r="N333" s="132">
        <f ca="1">N334+N335</f>
        <v>92533.24</v>
      </c>
      <c r="O333" s="132">
        <f ca="1">IF(L333&gt;0,N333*100/L333,0)</f>
        <v>52.278666666666666</v>
      </c>
      <c r="P333" s="132">
        <f ca="1">IF(M333&gt;0,N333*100/M333,0)</f>
        <v>52.278666666666666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177000</v>
      </c>
      <c r="M335" s="47">
        <f ca="1">M338+M341</f>
        <v>177000</v>
      </c>
      <c r="N335" s="47">
        <f ca="1">N338+N341</f>
        <v>92533.24</v>
      </c>
      <c r="O335" s="47">
        <f ca="1">IF(L335&gt;0,N335*100/L335,0)</f>
        <v>52.278666666666666</v>
      </c>
      <c r="P335" s="47">
        <f ca="1">IF(M335&gt;0,N335*100/M335,0)</f>
        <v>52.278666666666666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177000</v>
      </c>
      <c r="M336" s="47">
        <f ca="1">M337+M338</f>
        <v>177000</v>
      </c>
      <c r="N336" s="47">
        <f ca="1">N337+N338</f>
        <v>92533.24</v>
      </c>
      <c r="O336" s="47">
        <f ca="1">IF(L336&gt;0,N336*100/L336,0)</f>
        <v>52.278666666666666</v>
      </c>
      <c r="P336" s="47">
        <f ca="1">IF(M336&gt;0,N336*100/M336,0)</f>
        <v>52.278666666666666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IFERROR(__xludf.DUMMYFUNCTION("IMPORTRANGE(""https://docs.google.com/spreadsheets/d/1-uDff_7J0KD5mKrp0Vvzr7lt3OU09vwQwhkpOPPYv2Y/edit?usp=sharing"",""งบพรบ!ES82"")"),177000)</f>
        <v>177000</v>
      </c>
      <c r="M338" s="47">
        <f ca="1">IFERROR(__xludf.DUMMYFUNCTION("IMPORTRANGE(""https://docs.google.com/spreadsheets/d/1-uDff_7J0KD5mKrp0Vvzr7lt3OU09vwQwhkpOPPYv2Y/edit?usp=sharing"",""งบพรบ!EX82"")"),177000)</f>
        <v>177000</v>
      </c>
      <c r="N338" s="47">
        <f ca="1">IFERROR(__xludf.DUMMYFUNCTION("IMPORTRANGE(""https://docs.google.com/spreadsheets/d/1-uDff_7J0KD5mKrp0Vvzr7lt3OU09vwQwhkpOPPYv2Y/edit?usp=sharing"",""งบพรบ!EZ82"")"),92533.24)</f>
        <v>92533.24</v>
      </c>
      <c r="O338" s="47">
        <f ca="1">IF(L338&gt;0,N338*100/L338,0)</f>
        <v>52.278666666666666</v>
      </c>
      <c r="P338" s="47">
        <f ca="1">IF(M338&gt;0,N338*100/M338,0)</f>
        <v>52.278666666666666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IFERROR(__xludf.DUMMYFUNCTION("IMPORTRANGE(""https://docs.google.com/spreadsheets/d/1-uDff_7J0KD5mKrp0Vvzr7lt3OU09vwQwhkpOPPYv2Y/edit?usp=sharing"",""งบพรบ!EV82"")"),0)</f>
        <v>0</v>
      </c>
      <c r="M341" s="47">
        <f ca="1">IFERROR(__xludf.DUMMYFUNCTION("IMPORTRANGE(""https://docs.google.com/spreadsheets/d/1-uDff_7J0KD5mKrp0Vvzr7lt3OU09vwQwhkpOPPYv2Y/edit?usp=sharing"",""งบพรบ!EY82"")"),0)</f>
        <v>0</v>
      </c>
      <c r="N341" s="47">
        <f ca="1">IFERROR(__xludf.DUMMYFUNCTION("IMPORTRANGE(""https://docs.google.com/spreadsheets/d/1-uDff_7J0KD5mKrp0Vvzr7lt3OU09vwQwhkpOPPYv2Y/edit?usp=sharing"",""งบพรบ!FA82"")"),0)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6"/>
      <c r="B343" s="693"/>
      <c r="C343" s="695"/>
      <c r="D343" s="693"/>
      <c r="E343" s="694" t="s">
        <v>137</v>
      </c>
      <c r="F343" s="693"/>
      <c r="G343" s="692"/>
      <c r="H343" s="691" t="s">
        <v>35</v>
      </c>
      <c r="I343" s="690">
        <v>0</v>
      </c>
      <c r="J343" s="690">
        <f ca="1">J344+J347+J348+J349</f>
        <v>1928</v>
      </c>
      <c r="K343" s="689">
        <v>0</v>
      </c>
      <c r="L343" s="687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IFERROR(__xludf.DUMMYFUNCTION("IMPORTRANGE(""https://docs.google.com/spreadsheets/d/1eHaY18a8A9IcSdp1K8H6x8fbOy06t2VsZHhMHf-1x7Y/edit?usp=sharing"",""แผน!EK82"")"),800)</f>
        <v>800</v>
      </c>
      <c r="J344" s="152">
        <f ca="1">IFERROR(__xludf.DUMMYFUNCTION("IMPORTRANGE(""https://docs.google.com/spreadsheets/d/1awYsYK3VOup2i3Pq_Yjnu8DRu_mYwSBnCR2QPthd0rU/edit?usp=sharing"",""ศูนย์ยกเว้นโฉนด!D82"")"),1928)</f>
        <v>1928</v>
      </c>
      <c r="K344" s="47">
        <f ca="1">IF(I344&gt;0,J344*100/I344,0)</f>
        <v>241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IFERROR(__xludf.DUMMYFUNCTION("IMPORTRANGE(""https://docs.google.com/spreadsheets/d/1eHaY18a8A9IcSdp1K8H6x8fbOy06t2VsZHhMHf-1x7Y/edit?usp=sharing"",""แผน!EL82"")"),1)</f>
        <v>1</v>
      </c>
      <c r="J346" s="152">
        <f ca="1">IFERROR(__xludf.DUMMYFUNCTION("IMPORTRANGE(""https://docs.google.com/spreadsheets/d/1awYsYK3VOup2i3Pq_Yjnu8DRu_mYwSBnCR2QPthd0rU/edit?usp=sharing"",""ศูนย์รวม!E82"")"),3)</f>
        <v>3</v>
      </c>
      <c r="K346" s="47">
        <f ca="1">IF(I346&gt;0,J346*100/I346,0)</f>
        <v>300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IFERROR(__xludf.DUMMYFUNCTION("IMPORTRANGE(""https://docs.google.com/spreadsheets/d/1awYsYK3VOup2i3Pq_Yjnu8DRu_mYwSBnCR2QPthd0rU/edit?usp=sharing"",""ศูนย์ยกเว้นโฉนด!F82"")"),0)</f>
        <v>0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IFERROR(__xludf.DUMMYFUNCTION("IMPORTRANGE(""https://docs.google.com/spreadsheets/d/1awYsYK3VOup2i3Pq_Yjnu8DRu_mYwSBnCR2QPthd0rU/edit?usp=sharing"",""ศูนย์ยกเว้นโฉนด!G82"")"),0)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IFERROR(__xludf.DUMMYFUNCTION("IMPORTRANGE(""https://docs.google.com/spreadsheets/d/1awYsYK3VOup2i3Pq_Yjnu8DRu_mYwSBnCR2QPthd0rU/edit?usp=sharing"",""ศูนย์ยกเว้นโฉนด!H82"")"),0)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8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2018</v>
      </c>
      <c r="K351" s="229">
        <v>0</v>
      </c>
      <c r="L351" s="687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IFERROR(__xludf.DUMMYFUNCTION("IMPORTRANGE(""https://docs.google.com/spreadsheets/d/1awYsYK3VOup2i3Pq_Yjnu8DRu_mYwSBnCR2QPthd0rU/edit?usp=sharing"",""โฉนดM3!G82"")"),87)</f>
        <v>87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IFERROR(__xludf.DUMMYFUNCTION("IMPORTRANGE(""https://docs.google.com/spreadsheets/d/1awYsYK3VOup2i3Pq_Yjnu8DRu_mYwSBnCR2QPthd0rU/edit?usp=sharing"",""โฉนดM3!H82"")"),1931)</f>
        <v>1931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27 พ.ค. 67 เวลา 09.26 น.]")</f>
        <v xml:space="preserve"> [ข้อมูลจาก ระบบศูนย์บริการประชาชน ข้อมูล ณ 27 พ.ค. 67 เวลา 09.26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59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430070</v>
      </c>
      <c r="M356" s="132">
        <f ca="1">M357+M358</f>
        <v>428070</v>
      </c>
      <c r="N356" s="132">
        <f ca="1">N357+N358</f>
        <v>175979.36</v>
      </c>
      <c r="O356" s="132">
        <f ca="1">IF(L356&gt;0,N356*100/L356,0)</f>
        <v>40.918771362801401</v>
      </c>
      <c r="P356" s="132">
        <f ca="1">IF(M356&gt;0,N356*100/M356,0)</f>
        <v>41.109949307356274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430070</v>
      </c>
      <c r="M358" s="47">
        <f ca="1">M361+M364</f>
        <v>428070</v>
      </c>
      <c r="N358" s="47">
        <f ca="1">N361+N364</f>
        <v>175979.36</v>
      </c>
      <c r="O358" s="47">
        <f ca="1">IF(L358&gt;0,N358*100/L358,0)</f>
        <v>40.918771362801401</v>
      </c>
      <c r="P358" s="47">
        <f ca="1">IF(M358&gt;0,N358*100/M358,0)</f>
        <v>41.109949307356274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430070</v>
      </c>
      <c r="M359" s="47">
        <f ca="1">M360+M361</f>
        <v>428070</v>
      </c>
      <c r="N359" s="47">
        <f ca="1">N360+N361</f>
        <v>175979.36</v>
      </c>
      <c r="O359" s="47">
        <f ca="1">IF(L359&gt;0,N359*100/L359,0)</f>
        <v>40.918771362801401</v>
      </c>
      <c r="P359" s="47">
        <f ca="1">IF(M359&gt;0,N359*100/M359,0)</f>
        <v>41.109949307356274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IFERROR(__xludf.DUMMYFUNCTION("IMPORTRANGE(""https://docs.google.com/spreadsheets/d/1-uDff_7J0KD5mKrp0Vvzr7lt3OU09vwQwhkpOPPYv2Y/edit?usp=sharing"",""งบพรบ!FC82"")"),430070)</f>
        <v>430070</v>
      </c>
      <c r="M361" s="47">
        <f ca="1">IFERROR(__xludf.DUMMYFUNCTION("IMPORTRANGE(""https://docs.google.com/spreadsheets/d/1-uDff_7J0KD5mKrp0Vvzr7lt3OU09vwQwhkpOPPYv2Y/edit?usp=sharing"",""งบพรบ!FH82"")"),428070)</f>
        <v>428070</v>
      </c>
      <c r="N361" s="47">
        <f ca="1">IFERROR(__xludf.DUMMYFUNCTION("IMPORTRANGE(""https://docs.google.com/spreadsheets/d/1-uDff_7J0KD5mKrp0Vvzr7lt3OU09vwQwhkpOPPYv2Y/edit?usp=sharing"",""งบพรบ!FJ82"")"),175979.36)</f>
        <v>175979.36</v>
      </c>
      <c r="O361" s="47">
        <f ca="1">IF(L361&gt;0,N361*100/L361,0)</f>
        <v>40.918771362801401</v>
      </c>
      <c r="P361" s="47">
        <f ca="1">IF(M361&gt;0,N361*100/M361,0)</f>
        <v>41.109949307356274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IFERROR(__xludf.DUMMYFUNCTION("IMPORTRANGE(""https://docs.google.com/spreadsheets/d/1-uDff_7J0KD5mKrp0Vvzr7lt3OU09vwQwhkpOPPYv2Y/edit?usp=sharing"",""งบพรบ!FF82"")"),0)</f>
        <v>0</v>
      </c>
      <c r="M364" s="47">
        <f ca="1">IFERROR(__xludf.DUMMYFUNCTION("IMPORTRANGE(""https://docs.google.com/spreadsheets/d/1-uDff_7J0KD5mKrp0Vvzr7lt3OU09vwQwhkpOPPYv2Y/edit?usp=sharing"",""งบพรบ!FI82"")"),0)</f>
        <v>0</v>
      </c>
      <c r="N364" s="47">
        <f ca="1">IFERROR(__xludf.DUMMYFUNCTION("IMPORTRANGE(""https://docs.google.com/spreadsheets/d/1-uDff_7J0KD5mKrp0Vvzr7lt3OU09vwQwhkpOPPYv2Y/edit?usp=sharing"",""งบพรบ!FK82"")"),0)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8" t="s">
        <v>149</v>
      </c>
      <c r="E365" s="225"/>
      <c r="F365" s="225"/>
      <c r="G365" s="226"/>
      <c r="H365" s="234" t="s">
        <v>35</v>
      </c>
      <c r="I365" s="228">
        <f ca="1">I371</f>
        <v>250</v>
      </c>
      <c r="J365" s="228">
        <f ca="1">J371</f>
        <v>121</v>
      </c>
      <c r="K365" s="229">
        <f ca="1">IF(I365&gt;0,J365*100/I365,0)</f>
        <v>48.4</v>
      </c>
      <c r="L365" s="687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IFERROR(__xludf.DUMMYFUNCTION("IMPORTRANGE(""https://docs.google.com/spreadsheets/d/1tdoBKaGub7dwA3U6UFTqxio9LNnvDCQjHKmttSEBsFQ/edit?usp=sharing"",""จัดที่ดิน!AB82"")"),50)</f>
        <v>50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IFERROR(__xludf.DUMMYFUNCTION("IMPORTRANGE(""https://docs.google.com/spreadsheets/d/1eHaY18a8A9IcSdp1K8H6x8fbOy06t2VsZHhMHf-1x7Y/edit?usp=sharing"",""แผน!EW82"")"),680)</f>
        <v>680</v>
      </c>
      <c r="J368" s="686">
        <f ca="1">IFERROR(__xludf.DUMMYFUNCTION("IMPORTRANGE(""https://docs.google.com/spreadsheets/d/1tdoBKaGub7dwA3U6UFTqxio9LNnvDCQjHKmttSEBsFQ/edit?usp=sharing"",""จัดที่ดิน!AC82"")"),218.21)</f>
        <v>218.21</v>
      </c>
      <c r="K368" s="47">
        <f ca="1">IF(I368&gt;0,J368*100/I368,0)</f>
        <v>32.089705882352938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IFERROR(__xludf.DUMMYFUNCTION("IMPORTRANGE(""https://docs.google.com/spreadsheets/d/1eHaY18a8A9IcSdp1K8H6x8fbOy06t2VsZHhMHf-1x7Y/edit?usp=sharing"",""แผน!EX82"")"),250)</f>
        <v>250</v>
      </c>
      <c r="J369" s="152">
        <f ca="1">IFERROR(__xludf.DUMMYFUNCTION("IMPORTRANGE(""https://docs.google.com/spreadsheets/d/1tdoBKaGub7dwA3U6UFTqxio9LNnvDCQjHKmttSEBsFQ/edit?usp=sharing"",""จัดที่ดิน!AD82"")"),145)</f>
        <v>145</v>
      </c>
      <c r="K369" s="47">
        <f ca="1">IF(I369&gt;0,J369*100/I369,0)</f>
        <v>58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6">
        <f ca="1">IFERROR(__xludf.DUMMYFUNCTION("IMPORTRANGE(""https://docs.google.com/spreadsheets/d/1tdoBKaGub7dwA3U6UFTqxio9LNnvDCQjHKmttSEBsFQ/edit?usp=sharing"",""จัดที่ดิน!AE82"")"),1124.02)</f>
        <v>1124.02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IFERROR(__xludf.DUMMYFUNCTION("IMPORTRANGE(""https://docs.google.com/spreadsheets/d/1eHaY18a8A9IcSdp1K8H6x8fbOy06t2VsZHhMHf-1x7Y/edit?usp=sharing"",""แผน!EY82"")"),250)</f>
        <v>250</v>
      </c>
      <c r="J371" s="152">
        <f ca="1">IFERROR(__xludf.DUMMYFUNCTION("IMPORTRANGE(""https://docs.google.com/spreadsheets/d/1tdoBKaGub7dwA3U6UFTqxio9LNnvDCQjHKmttSEBsFQ/edit?usp=sharing"",""จัดที่ดิน!AF82"")"),121)</f>
        <v>121</v>
      </c>
      <c r="K371" s="47">
        <f ca="1">IF(I371&gt;0,J371*100/I371,0)</f>
        <v>48.4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6">
        <f ca="1">IFERROR(__xludf.DUMMYFUNCTION("IMPORTRANGE(""https://docs.google.com/spreadsheets/d/1tdoBKaGub7dwA3U6UFTqxio9LNnvDCQjHKmttSEBsFQ/edit?usp=sharing"",""จัดที่ดิน!AG82"")"),1011.24)</f>
        <v>1011.24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31 พ.ค. 67 เวลา 07.18 น.]")</f>
        <v xml:space="preserve"> [ข้อมูลจาก ระบบ ALRO Land Online ข้อมูล ณ 31 พ.ค. 67 เวลา 07.18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hidden="1" x14ac:dyDescent="0.3">
      <c r="A374" s="685"/>
      <c r="B374" s="684" t="s">
        <v>153</v>
      </c>
      <c r="C374" s="683"/>
      <c r="D374" s="682"/>
      <c r="E374" s="681"/>
      <c r="F374" s="681"/>
      <c r="G374" s="680"/>
      <c r="H374" s="679" t="s">
        <v>46</v>
      </c>
      <c r="I374" s="678">
        <f ca="1">I385</f>
        <v>0</v>
      </c>
      <c r="J374" s="678">
        <f>J385</f>
        <v>0</v>
      </c>
      <c r="K374" s="677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hidden="1" x14ac:dyDescent="0.3">
      <c r="A375" s="128"/>
      <c r="B375" s="159"/>
      <c r="C375" s="162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0</v>
      </c>
      <c r="R375" s="132">
        <f ca="1">R376+R377</f>
        <v>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0</v>
      </c>
      <c r="R377" s="47">
        <f ca="1">R380+R383</f>
        <v>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hidden="1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0</v>
      </c>
      <c r="R378" s="47">
        <f ca="1">R379+R380</f>
        <v>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IFERROR(__xludf.DUMMYFUNCTION("IMPORTRANGE(""https://docs.google.com/spreadsheets/d/1-uDff_7J0KD5mKrp0Vvzr7lt3OU09vwQwhkpOPPYv2Y/edit?usp=sharing"",""งบพรบ!IE82"")"),0)</f>
        <v>0</v>
      </c>
      <c r="M380" s="47">
        <f ca="1">IFERROR(__xludf.DUMMYFUNCTION("IMPORTRANGE(""https://docs.google.com/spreadsheets/d/1-uDff_7J0KD5mKrp0Vvzr7lt3OU09vwQwhkpOPPYv2Y/edit?usp=sharing"",""งบพรบ!IJ82"")"),0)</f>
        <v>0</v>
      </c>
      <c r="N380" s="47">
        <f ca="1">IFERROR(__xludf.DUMMYFUNCTION("IMPORTRANGE(""https://docs.google.com/spreadsheets/d/1-uDff_7J0KD5mKrp0Vvzr7lt3OU09vwQwhkpOPPYv2Y/edit?usp=sharing"",""งบพรบ!IL82"")"),0)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IFERROR(__xludf.DUMMYFUNCTION("IMPORTRANGE(""https://docs.google.com/spreadsheets/d/1ItG2mGa2ceCfYo0BwxsXqNm01IGEUdYcSSLTEv9YCik/edit?usp=sharing"",""เบิกจ่ายกองทุน!BW82"")"),0)</f>
        <v>0</v>
      </c>
      <c r="R380" s="47">
        <f ca="1">IFERROR(__xludf.DUMMYFUNCTION("IMPORTRANGE(""https://docs.google.com/spreadsheets/d/1ItG2mGa2ceCfYo0BwxsXqNm01IGEUdYcSSLTEv9YCik/edit?usp=sharing"",""เบิกจ่ายกองทุน!BX82"")"),0)</f>
        <v>0</v>
      </c>
      <c r="S380" s="47">
        <f ca="1">IFERROR(__xludf.DUMMYFUNCTION("IMPORTRANGE(""https://docs.google.com/spreadsheets/d/1ItG2mGa2ceCfYo0BwxsXqNm01IGEUdYcSSLTEv9YCik/edit?usp=sharing"",""เบิกจ่ายกองทุน!BY82"")"),0)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hidden="1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IFERROR(__xludf.DUMMYFUNCTION("IMPORTRANGE(""https://docs.google.com/spreadsheets/d/1-uDff_7J0KD5mKrp0Vvzr7lt3OU09vwQwhkpOPPYv2Y/edit?usp=sharing"",""งบพรบ!IH82"")"),0)</f>
        <v>0</v>
      </c>
      <c r="M383" s="47">
        <f ca="1">IFERROR(__xludf.DUMMYFUNCTION("IMPORTRANGE(""https://docs.google.com/spreadsheets/d/1-uDff_7J0KD5mKrp0Vvzr7lt3OU09vwQwhkpOPPYv2Y/edit?usp=sharing"",""งบพรบ!IK82"")"),0)</f>
        <v>0</v>
      </c>
      <c r="N383" s="47">
        <f ca="1">IFERROR(__xludf.DUMMYFUNCTION("IMPORTRANGE(""https://docs.google.com/spreadsheets/d/1-uDff_7J0KD5mKrp0Vvzr7lt3OU09vwQwhkpOPPYv2Y/edit?usp=sharing"",""งบพรบ!IM82"")"),0)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hidden="1" x14ac:dyDescent="0.3">
      <c r="A384" s="138"/>
      <c r="B384" s="139"/>
      <c r="C384" s="162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hidden="1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f ca="1">IFERROR(__xludf.DUMMYFUNCTION("IMPORTRANGE(""https://docs.google.com/spreadsheets/d/1eHaY18a8A9IcSdp1K8H6x8fbOy06t2VsZHhMHf-1x7Y/edit?usp=sharing"",""แผน!JQ82"")"),0)</f>
        <v>0</v>
      </c>
      <c r="J385" s="152">
        <v>0</v>
      </c>
      <c r="K385" s="47">
        <f ca="1"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hidden="1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IFERROR(__xludf.DUMMYFUNCTION("IMPORTRANGE(""https://docs.google.com/spreadsheets/d/1eHaY18a8A9IcSdp1K8H6x8fbOy06t2VsZHhMHf-1x7Y/edit?usp=sharing"",""แผน!JQ82"")"),0)</f>
        <v>0</v>
      </c>
      <c r="J386" s="152"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159"/>
      <c r="B387" s="159"/>
      <c r="C387" s="159"/>
      <c r="D387" s="159"/>
      <c r="E387" s="345" t="s">
        <v>155</v>
      </c>
      <c r="F387" s="159"/>
      <c r="G387" s="191"/>
      <c r="H387" s="158" t="s">
        <v>34</v>
      </c>
      <c r="I387" s="495">
        <v>0</v>
      </c>
      <c r="J387" s="495">
        <v>0</v>
      </c>
      <c r="K387" s="49">
        <f>IF(I387&gt;0,J387*100/I387,0)</f>
        <v>0</v>
      </c>
      <c r="L387" s="546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hidden="1" x14ac:dyDescent="0.25">
      <c r="A388" s="159"/>
      <c r="B388" s="159"/>
      <c r="C388" s="159"/>
      <c r="D388" s="159"/>
      <c r="E388" s="159"/>
      <c r="F388" s="159"/>
      <c r="G388" s="191"/>
      <c r="H388" s="158" t="s">
        <v>46</v>
      </c>
      <c r="I388" s="495">
        <v>0</v>
      </c>
      <c r="J388" s="495">
        <v>0</v>
      </c>
      <c r="K388" s="49">
        <f>IF(I388&gt;0,J388*100/I388,0)</f>
        <v>0</v>
      </c>
      <c r="L388" s="546"/>
      <c r="M388" s="46"/>
      <c r="N388" s="46"/>
      <c r="O388" s="46"/>
      <c r="P388" s="46"/>
      <c r="Q388" s="46"/>
      <c r="R388" s="46"/>
      <c r="S388" s="46"/>
      <c r="T388" s="46"/>
      <c r="U388" s="46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>
        <v>0</v>
      </c>
      <c r="J389" s="246">
        <v>0</v>
      </c>
      <c r="K389" s="247"/>
      <c r="L389" s="589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33"/>
      <c r="B390" s="333"/>
      <c r="C390" s="333"/>
      <c r="D390" s="333"/>
      <c r="E390" s="333"/>
      <c r="F390" s="333"/>
      <c r="G390" s="334"/>
      <c r="H390" s="334"/>
      <c r="I390" s="335">
        <v>0</v>
      </c>
      <c r="J390" s="335">
        <v>0</v>
      </c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IFERROR(__xludf.DUMMYFUNCTION("IMPORTRANGE(""https://docs.google.com/spreadsheets/d/1ItG2mGa2ceCfYo0BwxsXqNm01IGEUdYcSSLTEv9YCik/edit?usp=sharing"",""เบิกจ่ายกองทุน!CL82"")"),0)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IFERROR(__xludf.DUMMYFUNCTION("IMPORTRANGE(""https://docs.google.com/spreadsheets/d/1ItG2mGa2ceCfYo0BwxsXqNm01IGEUdYcSSLTEv9YCik/edit?usp=sharing"",""เบิกจ่ายกองทุน!CM82"")"),0)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IFERROR(__xludf.DUMMYFUNCTION("IMPORTRANGE(""https://docs.google.com/spreadsheets/d/1ItG2mGa2ceCfYo0BwxsXqNm01IGEUdYcSSLTEv9YCik/edit?usp=sharing"",""เบิกจ่ายกองทุน!CN82"")"),0)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89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89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89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89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89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89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89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89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89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33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40" t="s">
        <v>18</v>
      </c>
      <c r="D413" s="676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40030</v>
      </c>
      <c r="M413" s="132">
        <f ca="1">M414+M415</f>
        <v>40030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15820</v>
      </c>
      <c r="R413" s="132">
        <f ca="1">R414+R415</f>
        <v>15820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40030</v>
      </c>
      <c r="M415" s="47">
        <f ca="1">M418+M421</f>
        <v>40030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15820</v>
      </c>
      <c r="R415" s="47">
        <f ca="1">R418+R421</f>
        <v>15820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40030</v>
      </c>
      <c r="M416" s="47">
        <f ca="1">M417+M418</f>
        <v>40030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15820</v>
      </c>
      <c r="R416" s="47">
        <f ca="1">R417+R418</f>
        <v>15820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IFERROR(__xludf.DUMMYFUNCTION("IMPORTRANGE(""https://docs.google.com/spreadsheets/d/1-uDff_7J0KD5mKrp0Vvzr7lt3OU09vwQwhkpOPPYv2Y/edit?usp=sharing"",""งบพรบ!IO82"")"),40030)</f>
        <v>40030</v>
      </c>
      <c r="M418" s="47">
        <f ca="1">IFERROR(__xludf.DUMMYFUNCTION("IMPORTRANGE(""https://docs.google.com/spreadsheets/d/1-uDff_7J0KD5mKrp0Vvzr7lt3OU09vwQwhkpOPPYv2Y/edit?usp=sharing"",""งบพรบ!IT82"")"),40030)</f>
        <v>40030</v>
      </c>
      <c r="N418" s="47">
        <f ca="1">IFERROR(__xludf.DUMMYFUNCTION("IMPORTRANGE(""https://docs.google.com/spreadsheets/d/1-uDff_7J0KD5mKrp0Vvzr7lt3OU09vwQwhkpOPPYv2Y/edit?usp=sharing"",""งบพรบ!IV82"")"),0)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IFERROR(__xludf.DUMMYFUNCTION("IMPORTRANGE(""https://docs.google.com/spreadsheets/d/1ItG2mGa2ceCfYo0BwxsXqNm01IGEUdYcSSLTEv9YCik/edit?usp=sharing"",""เบิกจ่ายกองทุน!BZ82"")"),15820)</f>
        <v>15820</v>
      </c>
      <c r="R418" s="47">
        <f ca="1">IFERROR(__xludf.DUMMYFUNCTION("IMPORTRANGE(""https://docs.google.com/spreadsheets/d/1ItG2mGa2ceCfYo0BwxsXqNm01IGEUdYcSSLTEv9YCik/edit?usp=sharing"",""เบิกจ่ายกองทุน!CA82"")"),15820)</f>
        <v>15820</v>
      </c>
      <c r="S418" s="47">
        <f ca="1">IFERROR(__xludf.DUMMYFUNCTION("IMPORTRANGE(""https://docs.google.com/spreadsheets/d/1ItG2mGa2ceCfYo0BwxsXqNm01IGEUdYcSSLTEv9YCik/edit?usp=sharing"",""เบิกจ่ายกองทุน!CB82"")"),0)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IFERROR(__xludf.DUMMYFUNCTION("IMPORTRANGE(""https://docs.google.com/spreadsheets/d/1-uDff_7J0KD5mKrp0Vvzr7lt3OU09vwQwhkpOPPYv2Y/edit?usp=sharing"",""งบพรบ!IR82"")"),0)</f>
        <v>0</v>
      </c>
      <c r="M421" s="47">
        <f ca="1">IFERROR(__xludf.DUMMYFUNCTION("IMPORTRANGE(""https://docs.google.com/spreadsheets/d/1-uDff_7J0KD5mKrp0Vvzr7lt3OU09vwQwhkpOPPYv2Y/edit?usp=sharing"",""งบพรบ!IU82"")"),0)</f>
        <v>0</v>
      </c>
      <c r="N421" s="47">
        <f ca="1">IFERROR(__xludf.DUMMYFUNCTION("IMPORTRANGE(""https://docs.google.com/spreadsheets/d/1-uDff_7J0KD5mKrp0Vvzr7lt3OU09vwQwhkpOPPYv2Y/edit?usp=sharing"",""งบพรบ!IW82"")"),0)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40" t="s">
        <v>18</v>
      </c>
      <c r="D422" s="674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669"/>
      <c r="B423" s="464" t="s">
        <v>160</v>
      </c>
      <c r="C423" s="463"/>
      <c r="D423" s="463"/>
      <c r="E423" s="463"/>
      <c r="F423" s="463"/>
      <c r="G423" s="474"/>
      <c r="H423" s="671" t="s">
        <v>46</v>
      </c>
      <c r="I423" s="468">
        <f ca="1">I440</f>
        <v>0</v>
      </c>
      <c r="J423" s="673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IFERROR(__xludf.DUMMYFUNCTION("IMPORTRANGE(""https://docs.google.com/spreadsheets/d/1eHaY18a8A9IcSdp1K8H6x8fbOy06t2VsZHhMHf-1x7Y/edit?usp=sharing"",""แผน!HJ82"")"),0)</f>
        <v>0</v>
      </c>
      <c r="J424" s="670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IFERROR(__xludf.DUMMYFUNCTION("IMPORTRANGE(""https://docs.google.com/spreadsheets/d/1eHaY18a8A9IcSdp1K8H6x8fbOy06t2VsZHhMHf-1x7Y/edit?usp=sharing"",""แผน!HK82"")"),0)</f>
        <v>0</v>
      </c>
      <c r="J425" s="670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IFERROR(__xludf.DUMMYFUNCTION("IMPORTRANGE(""https://docs.google.com/spreadsheets/d/1eHaY18a8A9IcSdp1K8H6x8fbOy06t2VsZHhMHf-1x7Y/edit?usp=sharing"",""แผน!HJ82"")"),0)</f>
        <v>0</v>
      </c>
      <c r="J432" s="670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IFERROR(__xludf.DUMMYFUNCTION("IMPORTRANGE(""https://docs.google.com/spreadsheets/d/1eHaY18a8A9IcSdp1K8H6x8fbOy06t2VsZHhMHf-1x7Y/edit?usp=sharing"",""แผน!HK82"")"),0)</f>
        <v>0</v>
      </c>
      <c r="J433" s="670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IFERROR(__xludf.DUMMYFUNCTION("IMPORTRANGE(""https://docs.google.com/spreadsheets/d/1eHaY18a8A9IcSdp1K8H6x8fbOy06t2VsZHhMHf-1x7Y/edit?usp=sharing"",""แผน!HJ82"")"),0)</f>
        <v>0</v>
      </c>
      <c r="J440" s="670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IFERROR(__xludf.DUMMYFUNCTION("IMPORTRANGE(""https://docs.google.com/spreadsheets/d/1eHaY18a8A9IcSdp1K8H6x8fbOy06t2VsZHhMHf-1x7Y/edit?usp=sharing"",""แผน!HK82"")"),0)</f>
        <v>0</v>
      </c>
      <c r="J441" s="670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70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70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2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669"/>
      <c r="B456" s="464" t="s">
        <v>177</v>
      </c>
      <c r="C456" s="463"/>
      <c r="D456" s="463"/>
      <c r="E456" s="463"/>
      <c r="F456" s="463"/>
      <c r="G456" s="474"/>
      <c r="H456" s="671" t="s">
        <v>46</v>
      </c>
      <c r="I456" s="468">
        <f ca="1">I457</f>
        <v>113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IFERROR(__xludf.DUMMYFUNCTION("IMPORTRANGE(""https://docs.google.com/spreadsheets/d/1eHaY18a8A9IcSdp1K8H6x8fbOy06t2VsZHhMHf-1x7Y/edit?usp=sharing"",""แผน!HL82"")"),113)</f>
        <v>113</v>
      </c>
      <c r="J457" s="670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IFERROR(__xludf.DUMMYFUNCTION("IMPORTRANGE(""https://docs.google.com/spreadsheets/d/1eHaY18a8A9IcSdp1K8H6x8fbOy06t2VsZHhMHf-1x7Y/edit?usp=sharing"",""แผน!HM82"")"),0)</f>
        <v>0</v>
      </c>
      <c r="J458" s="670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669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650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IFERROR(__xludf.DUMMYFUNCTION("IMPORTRANGE(""https://docs.google.com/spreadsheets/d/1-uDff_7J0KD5mKrp0Vvzr7lt3OU09vwQwhkpOPPYv2Y/edit?usp=sharing"",""งบพรบ!HU82"")"),0)</f>
        <v>0</v>
      </c>
      <c r="M498" s="47">
        <f ca="1">IFERROR(__xludf.DUMMYFUNCTION("IMPORTRANGE(""https://docs.google.com/spreadsheets/d/1-uDff_7J0KD5mKrp0Vvzr7lt3OU09vwQwhkpOPPYv2Y/edit?usp=sharing"",""งบพรบ!HZ82"")"),0)</f>
        <v>0</v>
      </c>
      <c r="N498" s="47">
        <f ca="1">IFERROR(__xludf.DUMMYFUNCTION("IMPORTRANGE(""https://docs.google.com/spreadsheets/d/1-uDff_7J0KD5mKrp0Vvzr7lt3OU09vwQwhkpOPPYv2Y/edit?usp=sharing"",""งบพรบ!IB82"")"),0)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IFERROR(__xludf.DUMMYFUNCTION("IMPORTRANGE(""https://docs.google.com/spreadsheets/d/1ItG2mGa2ceCfYo0BwxsXqNm01IGEUdYcSSLTEv9YCik/edit?usp=sharing"",""เบิกจ่ายกองทุน!AD82"")"),0)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IFERROR(__xludf.DUMMYFUNCTION("IMPORTRANGE(""https://docs.google.com/spreadsheets/d/1ItG2mGa2ceCfYo0BwxsXqNm01IGEUdYcSSLTEv9YCik/edit?usp=sharing"",""เบิกจ่ายกองทุน!AE82"")"),0)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IFERROR(__xludf.DUMMYFUNCTION("IMPORTRANGE(""https://docs.google.com/spreadsheets/d/1ItG2mGa2ceCfYo0BwxsXqNm01IGEUdYcSSLTEv9YCik/edit?usp=sharing"",""เบิกจ่ายกองทุน!AF82"")"),0)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IFERROR(__xludf.DUMMYFUNCTION("IMPORTRANGE(""https://docs.google.com/spreadsheets/d/1-uDff_7J0KD5mKrp0Vvzr7lt3OU09vwQwhkpOPPYv2Y/edit?usp=sharing"",""งบพรบ!HX82"")"),0)</f>
        <v>0</v>
      </c>
      <c r="M501" s="47">
        <f ca="1">IFERROR(__xludf.DUMMYFUNCTION("IMPORTRANGE(""https://docs.google.com/spreadsheets/d/1-uDff_7J0KD5mKrp0Vvzr7lt3OU09vwQwhkpOPPYv2Y/edit?usp=sharing"",""งบพรบ!IA82"")"),0)</f>
        <v>0</v>
      </c>
      <c r="N501" s="47">
        <f ca="1">IFERROR(__xludf.DUMMYFUNCTION("IMPORTRANGE(""https://docs.google.com/spreadsheets/d/1-uDff_7J0KD5mKrp0Vvzr7lt3OU09vwQwhkpOPPYv2Y/edit?usp=sharing"",""งบพรบ!IC82"")"),0)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IFERROR(__xludf.DUMMYFUNCTION("IMPORTRANGE(""https://docs.google.com/spreadsheets/d/1eHaY18a8A9IcSdp1K8H6x8fbOy06t2VsZHhMHf-1x7Y/edit?usp=sharing"",""แผน!GX82"")"),0)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IFERROR(__xludf.DUMMYFUNCTION("IMPORTRANGE(""https://docs.google.com/spreadsheets/d/1eHaY18a8A9IcSdp1K8H6x8fbOy06t2VsZHhMHf-1x7Y/edit?usp=sharing"",""แผน!GY82"")"),0)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IFERROR(__xludf.DUMMYFUNCTION("IMPORTRANGE(""https://docs.google.com/spreadsheets/d/1eHaY18a8A9IcSdp1K8H6x8fbOy06t2VsZHhMHf-1x7Y/edit?usp=sharing"",""แผน!GZ82"")"),0)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IFERROR(__xludf.DUMMYFUNCTION("IMPORTRANGE(""https://docs.google.com/spreadsheets/d/1eHaY18a8A9IcSdp1K8H6x8fbOy06t2VsZHhMHf-1x7Y/edit?usp=sharing"",""แผน!HA82"")"),0)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IFERROR(__xludf.DUMMYFUNCTION("IMPORTRANGE(""https://docs.google.com/spreadsheets/d/1eHaY18a8A9IcSdp1K8H6x8fbOy06t2VsZHhMHf-1x7Y/edit?usp=sharing"",""แผน!HB82"")"),0)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IFERROR(__xludf.DUMMYFUNCTION("IMPORTRANGE(""https://docs.google.com/spreadsheets/d/1eHaY18a8A9IcSdp1K8H6x8fbOy06t2VsZHhMHf-1x7Y/edit?usp=sharing"",""แผน!HC82"")"),0)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828"/>
      <c r="M510" s="827"/>
      <c r="N510" s="827"/>
      <c r="O510" s="827"/>
      <c r="P510" s="827"/>
      <c r="Q510" s="827"/>
      <c r="R510" s="827"/>
      <c r="S510" s="827"/>
      <c r="T510" s="827"/>
      <c r="U510" s="827"/>
    </row>
    <row r="511" spans="1:21" ht="19.5" hidden="1" x14ac:dyDescent="0.3">
      <c r="A511" s="826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25" t="s">
        <v>207</v>
      </c>
      <c r="C512" s="372"/>
      <c r="D512" s="373"/>
      <c r="E512" s="373"/>
      <c r="F512" s="373"/>
      <c r="G512" s="374"/>
      <c r="H512" s="824" t="s">
        <v>61</v>
      </c>
      <c r="I512" s="823">
        <f>I524</f>
        <v>0</v>
      </c>
      <c r="J512" s="823">
        <f>J524</f>
        <v>0</v>
      </c>
      <c r="K512" s="822">
        <f>IF(I512&gt;0,J512*100/I512,0)</f>
        <v>0</v>
      </c>
      <c r="L512" s="591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5" t="s">
        <v>18</v>
      </c>
      <c r="D513" s="560" t="s">
        <v>19</v>
      </c>
      <c r="E513" s="41"/>
      <c r="F513" s="41"/>
      <c r="G513" s="43"/>
      <c r="H513" s="821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0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IFERROR(__xludf.DUMMYFUNCTION("IMPORTRANGE(""https://docs.google.com/spreadsheets/d/1-uDff_7J0KD5mKrp0Vvzr7lt3OU09vwQwhkpOPPYv2Y/edit?usp=sharing"",""งบพรบ!FM82"")"),0)</f>
        <v>0</v>
      </c>
      <c r="M518" s="47">
        <f ca="1">IFERROR(__xludf.DUMMYFUNCTION("IMPORTRANGE(""https://docs.google.com/spreadsheets/d/1-uDff_7J0KD5mKrp0Vvzr7lt3OU09vwQwhkpOPPYv2Y/edit?usp=sharing"",""งบพรบ!FR82"")"),0)</f>
        <v>0</v>
      </c>
      <c r="N518" s="47">
        <f ca="1">IFERROR(__xludf.DUMMYFUNCTION("IMPORTRANGE(""https://docs.google.com/spreadsheets/d/1-uDff_7J0KD5mKrp0Vvzr7lt3OU09vwQwhkpOPPYv2Y/edit?usp=sharing"",""งบพรบ!FT82"")"),0)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0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IFERROR(__xludf.DUMMYFUNCTION("IMPORTRANGE(""https://docs.google.com/spreadsheets/d/1-uDff_7J0KD5mKrp0Vvzr7lt3OU09vwQwhkpOPPYv2Y/edit?usp=sharing"",""งบพรบ!FP82"")"),0)</f>
        <v>0</v>
      </c>
      <c r="M521" s="47">
        <f ca="1">IFERROR(__xludf.DUMMYFUNCTION("IMPORTRANGE(""https://docs.google.com/spreadsheets/d/1-uDff_7J0KD5mKrp0Vvzr7lt3OU09vwQwhkpOPPYv2Y/edit?usp=sharing"",""งบพรบ!FS82"")"),0)</f>
        <v>0</v>
      </c>
      <c r="N521" s="47">
        <f ca="1">IFERROR(__xludf.DUMMYFUNCTION("IMPORTRANGE(""https://docs.google.com/spreadsheets/d/1-uDff_7J0KD5mKrp0Vvzr7lt3OU09vwQwhkpOPPYv2Y/edit?usp=sharing"",""งบพรบ!FU82"")"),0)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5" t="s">
        <v>18</v>
      </c>
      <c r="D522" s="581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1" t="s">
        <v>11</v>
      </c>
      <c r="I523" s="495">
        <v>0</v>
      </c>
      <c r="J523" s="738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19" t="s">
        <v>209</v>
      </c>
      <c r="E524" s="264"/>
      <c r="F524" s="1"/>
      <c r="G524" s="53"/>
      <c r="H524" s="818" t="s">
        <v>61</v>
      </c>
      <c r="I524" s="498">
        <v>0</v>
      </c>
      <c r="J524" s="774">
        <v>0</v>
      </c>
      <c r="K524" s="773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4"/>
      <c r="B525" s="613"/>
      <c r="C525" s="613"/>
      <c r="D525" s="612"/>
      <c r="E525" s="612"/>
      <c r="F525" s="612"/>
      <c r="G525" s="611"/>
      <c r="H525" s="610"/>
      <c r="I525" s="609"/>
      <c r="J525" s="609"/>
      <c r="K525" s="608"/>
      <c r="L525" s="589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89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89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89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89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89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89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2">
        <f>I545</f>
        <v>0</v>
      </c>
      <c r="J533" s="592">
        <f>J545</f>
        <v>0</v>
      </c>
      <c r="K533" s="377">
        <f>IF(I533&gt;0,J533*100/I533,0)</f>
        <v>0</v>
      </c>
      <c r="L533" s="591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IFERROR(__xludf.DUMMYFUNCTION("IMPORTRANGE(""https://docs.google.com/spreadsheets/d/1-uDff_7J0KD5mKrp0Vvzr7lt3OU09vwQwhkpOPPYv2Y/edit?usp=sharing"",""งบพรบ!FW82"")"),0)</f>
        <v>0</v>
      </c>
      <c r="M539" s="47">
        <f ca="1">IFERROR(__xludf.DUMMYFUNCTION("IMPORTRANGE(""https://docs.google.com/spreadsheets/d/1-uDff_7J0KD5mKrp0Vvzr7lt3OU09vwQwhkpOPPYv2Y/edit?usp=sharing"",""งบพรบ!GB82"")"),0)</f>
        <v>0</v>
      </c>
      <c r="N539" s="47">
        <f ca="1">IFERROR(__xludf.DUMMYFUNCTION("IMPORTRANGE(""https://docs.google.com/spreadsheets/d/1-uDff_7J0KD5mKrp0Vvzr7lt3OU09vwQwhkpOPPYv2Y/edit?usp=sharing"",""งบพรบ!GD82"")"),0)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IFERROR(__xludf.DUMMYFUNCTION("IMPORTRANGE(""https://docs.google.com/spreadsheets/d/1-uDff_7J0KD5mKrp0Vvzr7lt3OU09vwQwhkpOPPYv2Y/edit?usp=sharing"",""งบพรบ!FZ82"")"),0)</f>
        <v>0</v>
      </c>
      <c r="M542" s="47">
        <f ca="1">IFERROR(__xludf.DUMMYFUNCTION("IMPORTRANGE(""https://docs.google.com/spreadsheets/d/1-uDff_7J0KD5mKrp0Vvzr7lt3OU09vwQwhkpOPPYv2Y/edit?usp=sharing"",""งบพรบ!GC82"")"),0)</f>
        <v>0</v>
      </c>
      <c r="N542" s="47">
        <f ca="1">IFERROR(__xludf.DUMMYFUNCTION("IMPORTRANGE(""https://docs.google.com/spreadsheets/d/1-uDff_7J0KD5mKrp0Vvzr7lt3OU09vwQwhkpOPPYv2Y/edit?usp=sharing"",""งบพรบ!GE82"")"),0)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89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89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89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89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89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89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89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89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89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2">
        <f>I566</f>
        <v>0</v>
      </c>
      <c r="J554" s="592">
        <f>J566</f>
        <v>0</v>
      </c>
      <c r="K554" s="377">
        <f>IF(I554&gt;0,J554*100/I554,0)</f>
        <v>0</v>
      </c>
      <c r="L554" s="591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IFERROR(__xludf.DUMMYFUNCTION("IMPORTRANGE(""https://docs.google.com/spreadsheets/d/1-uDff_7J0KD5mKrp0Vvzr7lt3OU09vwQwhkpOPPYv2Y/edit?usp=sharing"",""งบพรบ!GG82"")"),0)</f>
        <v>0</v>
      </c>
      <c r="M560" s="47">
        <f ca="1">IFERROR(__xludf.DUMMYFUNCTION("IMPORTRANGE(""https://docs.google.com/spreadsheets/d/1-uDff_7J0KD5mKrp0Vvzr7lt3OU09vwQwhkpOPPYv2Y/edit?usp=sharing"",""งบพรบ!GL82"")"),0)</f>
        <v>0</v>
      </c>
      <c r="N560" s="47">
        <f ca="1">IFERROR(__xludf.DUMMYFUNCTION("IMPORTRANGE(""https://docs.google.com/spreadsheets/d/1-uDff_7J0KD5mKrp0Vvzr7lt3OU09vwQwhkpOPPYv2Y/edit?usp=sharing"",""งบพรบ!GN82"")"),0)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IFERROR(__xludf.DUMMYFUNCTION("IMPORTRANGE(""https://docs.google.com/spreadsheets/d/1-uDff_7J0KD5mKrp0Vvzr7lt3OU09vwQwhkpOPPYv2Y/edit?usp=sharing"",""งบพรบ!GJ82"")"),0)</f>
        <v>0</v>
      </c>
      <c r="M563" s="47">
        <f ca="1">IFERROR(__xludf.DUMMYFUNCTION("IMPORTRANGE(""https://docs.google.com/spreadsheets/d/1-uDff_7J0KD5mKrp0Vvzr7lt3OU09vwQwhkpOPPYv2Y/edit?usp=sharing"",""งบพรบ!GM82"")"),0)</f>
        <v>0</v>
      </c>
      <c r="N563" s="47">
        <f ca="1">IFERROR(__xludf.DUMMYFUNCTION("IMPORTRANGE(""https://docs.google.com/spreadsheets/d/1-uDff_7J0KD5mKrp0Vvzr7lt3OU09vwQwhkpOPPYv2Y/edit?usp=sharing"",""งบพรบ!GO82"")"),0)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89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89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89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89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89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89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89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89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89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>I587</f>
        <v>7</v>
      </c>
      <c r="J575" s="385">
        <f>J587</f>
        <v>0</v>
      </c>
      <c r="K575" s="377">
        <f>IF(I575&gt;0,J575*100/I575,0)</f>
        <v>0</v>
      </c>
      <c r="L575" s="591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129" t="s">
        <v>18</v>
      </c>
      <c r="D576" s="59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394333</v>
      </c>
      <c r="M576" s="132">
        <f ca="1">M577+M578</f>
        <v>394333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394333</v>
      </c>
      <c r="M578" s="47">
        <f ca="1">M581+M584</f>
        <v>394333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394333</v>
      </c>
      <c r="M579" s="47">
        <f ca="1">M580+M581</f>
        <v>394333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IFERROR(__xludf.DUMMYFUNCTION("IMPORTRANGE(""https://docs.google.com/spreadsheets/d/1-uDff_7J0KD5mKrp0Vvzr7lt3OU09vwQwhkpOPPYv2Y/edit?usp=sharing"",""งบพรบ!GQ82"")"),394333)</f>
        <v>394333</v>
      </c>
      <c r="M581" s="47">
        <f ca="1">IFERROR(__xludf.DUMMYFUNCTION("IMPORTRANGE(""https://docs.google.com/spreadsheets/d/1-uDff_7J0KD5mKrp0Vvzr7lt3OU09vwQwhkpOPPYv2Y/edit?usp=sharing"",""งบพรบ!GV82"")"),394333)</f>
        <v>394333</v>
      </c>
      <c r="N581" s="47">
        <f ca="1">IFERROR(__xludf.DUMMYFUNCTION("IMPORTRANGE(""https://docs.google.com/spreadsheets/d/1-uDff_7J0KD5mKrp0Vvzr7lt3OU09vwQwhkpOPPYv2Y/edit?usp=sharing"",""งบพรบ!GX82"")"),0)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IFERROR(__xludf.DUMMYFUNCTION("IMPORTRANGE(""https://docs.google.com/spreadsheets/d/1-uDff_7J0KD5mKrp0Vvzr7lt3OU09vwQwhkpOPPYv2Y/edit?usp=sharing"",""งบพรบ!GT82"")"),0)</f>
        <v>0</v>
      </c>
      <c r="M584" s="47">
        <f ca="1">IFERROR(__xludf.DUMMYFUNCTION("IMPORTRANGE(""https://docs.google.com/spreadsheets/d/1-uDff_7J0KD5mKrp0Vvzr7lt3OU09vwQwhkpOPPYv2Y/edit?usp=sharing"",""งบพรบ!GW82"")"),0)</f>
        <v>0</v>
      </c>
      <c r="N584" s="47">
        <f ca="1">IFERROR(__xludf.DUMMYFUNCTION("IMPORTRANGE(""https://docs.google.com/spreadsheets/d/1-uDff_7J0KD5mKrp0Vvzr7lt3OU09vwQwhkpOPPYv2Y/edit?usp=sharing"",""งบพรบ!GY82"")"),0)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v>4</v>
      </c>
      <c r="J586" s="175">
        <v>0</v>
      </c>
      <c r="K586" s="176">
        <f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v>7</v>
      </c>
      <c r="J587" s="167">
        <v>0</v>
      </c>
      <c r="K587" s="47">
        <f>IF(I587&gt;0,J587*100/I587,0)</f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89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89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89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89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89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89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89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8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7" t="s">
        <v>217</v>
      </c>
      <c r="C597" s="183"/>
      <c r="D597" s="125"/>
      <c r="E597" s="28"/>
      <c r="F597" s="28"/>
      <c r="G597" s="28"/>
      <c r="H597" s="586" t="s">
        <v>99</v>
      </c>
      <c r="I597" s="193"/>
      <c r="J597" s="33"/>
      <c r="K597" s="34"/>
      <c r="L597" s="582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5"/>
      <c r="B598" s="584" t="s">
        <v>218</v>
      </c>
      <c r="C598" s="125"/>
      <c r="D598" s="28"/>
      <c r="E598" s="28"/>
      <c r="F598" s="28"/>
      <c r="G598" s="31"/>
      <c r="H598" s="583" t="s">
        <v>35</v>
      </c>
      <c r="I598" s="33"/>
      <c r="J598" s="33"/>
      <c r="K598" s="34"/>
      <c r="L598" s="582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IFERROR(__xludf.DUMMYFUNCTION("IMPORTRANGE(""https://docs.google.com/spreadsheets/d/1-uDff_7J0KD5mKrp0Vvzr7lt3OU09vwQwhkpOPPYv2Y/edit?usp=sharing"",""งบพรบ!HK82"")"),0)</f>
        <v>0</v>
      </c>
      <c r="M604" s="47">
        <f ca="1">IFERROR(__xludf.DUMMYFUNCTION("IMPORTRANGE(""https://docs.google.com/spreadsheets/d/1-uDff_7J0KD5mKrp0Vvzr7lt3OU09vwQwhkpOPPYv2Y/edit?usp=sharing"",""งบพรบ!HP82"")"),0)</f>
        <v>0</v>
      </c>
      <c r="N604" s="47">
        <f ca="1">IFERROR(__xludf.DUMMYFUNCTION("IMPORTRANGE(""https://docs.google.com/spreadsheets/d/1-uDff_7J0KD5mKrp0Vvzr7lt3OU09vwQwhkpOPPYv2Y/edit?usp=sharing"",""งบพรบ!HR82"")"),0)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IFERROR(__xludf.DUMMYFUNCTION("IMPORTRANGE(""https://docs.google.com/spreadsheets/d/1ItG2mGa2ceCfYo0BwxsXqNm01IGEUdYcSSLTEv9YCik/edit?usp=sharing"",""เบิกจ่ายกองทุน!AV82"")"),0)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IFERROR(__xludf.DUMMYFUNCTION("IMPORTRANGE(""https://docs.google.com/spreadsheets/d/1ItG2mGa2ceCfYo0BwxsXqNm01IGEUdYcSSLTEv9YCik/edit?usp=sharing"",""เบิกจ่ายกองทุน!AW82"")"),0)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IFERROR(__xludf.DUMMYFUNCTION("IMPORTRANGE(""https://docs.google.com/spreadsheets/d/1ItG2mGa2ceCfYo0BwxsXqNm01IGEUdYcSSLTEv9YCik/edit?usp=sharing"",""เบิกจ่ายกองทุน!AX82"")"),0)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IFERROR(__xludf.DUMMYFUNCTION("IMPORTRANGE(""https://docs.google.com/spreadsheets/d/1-uDff_7J0KD5mKrp0Vvzr7lt3OU09vwQwhkpOPPYv2Y/edit?usp=sharing"",""งบพรบ!HN82"")"),0)</f>
        <v>0</v>
      </c>
      <c r="M607" s="47">
        <f ca="1">IFERROR(__xludf.DUMMYFUNCTION("IMPORTRANGE(""https://docs.google.com/spreadsheets/d/1-uDff_7J0KD5mKrp0Vvzr7lt3OU09vwQwhkpOPPYv2Y/edit?usp=sharing"",""งบพรบ!HQ82"")"),0)</f>
        <v>0</v>
      </c>
      <c r="N607" s="47">
        <f ca="1">IFERROR(__xludf.DUMMYFUNCTION("IMPORTRANGE(""https://docs.google.com/spreadsheets/d/1-uDff_7J0KD5mKrp0Vvzr7lt3OU09vwQwhkpOPPYv2Y/edit?usp=sharing"",""งบพรบ!HS82"")"),0)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IFERROR(__xludf.DUMMYFUNCTION("IMPORTRANGE(""https://docs.google.com/spreadsheets/d/1ItG2mGa2ceCfYo0BwxsXqNm01IGEUdYcSSLTEv9YCik/edit?usp=sharing"",""เบิกจ่ายกองทุน!AY82"")"),0)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IFERROR(__xludf.DUMMYFUNCTION("IMPORTRANGE(""https://docs.google.com/spreadsheets/d/1ItG2mGa2ceCfYo0BwxsXqNm01IGEUdYcSSLTEv9YCik/edit?usp=sharing"",""เบิกจ่ายกองทุน!AZ82"")"),0)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IFERROR(__xludf.DUMMYFUNCTION("IMPORTRANGE(""https://docs.google.com/spreadsheets/d/1ItG2mGa2ceCfYo0BwxsXqNm01IGEUdYcSSLTEv9YCik/edit?usp=sharing"",""เบิกจ่ายกองทุน!BA82"")"),0)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1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0"/>
      <c r="B612" s="579"/>
      <c r="C612" s="579"/>
      <c r="D612" s="579"/>
      <c r="E612" s="578" t="s">
        <v>222</v>
      </c>
      <c r="F612" s="577"/>
      <c r="G612" s="576"/>
      <c r="H612" s="575" t="s">
        <v>35</v>
      </c>
      <c r="I612" s="574"/>
      <c r="J612" s="574"/>
      <c r="K612" s="573"/>
      <c r="L612" s="572"/>
      <c r="M612" s="571"/>
      <c r="N612" s="571"/>
      <c r="O612" s="571"/>
      <c r="P612" s="571"/>
      <c r="Q612" s="571"/>
      <c r="R612" s="571"/>
      <c r="S612" s="571"/>
      <c r="T612" s="571"/>
      <c r="U612" s="571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0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56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463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188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6775</v>
      </c>
      <c r="R616" s="132">
        <f ca="1">R617+R618</f>
        <v>6775</v>
      </c>
      <c r="S616" s="132">
        <f ca="1">S617+S618</f>
        <v>0</v>
      </c>
      <c r="T616" s="132">
        <f ca="1">IF(Q616&gt;0,S616*100/Q616,0)</f>
        <v>0</v>
      </c>
      <c r="U616" s="132">
        <f ca="1">IF(R616&gt;0,S616*100/R616,0)</f>
        <v>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6775</v>
      </c>
      <c r="R618" s="47">
        <f ca="1">R621+R624</f>
        <v>6775</v>
      </c>
      <c r="S618" s="47">
        <f ca="1">S621+S624</f>
        <v>0</v>
      </c>
      <c r="T618" s="47">
        <f ca="1">IF(Q618&gt;0,S618*100/Q618,0)</f>
        <v>0</v>
      </c>
      <c r="U618" s="47">
        <f ca="1">IF(R618&gt;0,S618*100/R618,0)</f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6775</v>
      </c>
      <c r="R619" s="47">
        <f ca="1">R620+R621</f>
        <v>6775</v>
      </c>
      <c r="S619" s="47">
        <f ca="1">S620+S621</f>
        <v>0</v>
      </c>
      <c r="T619" s="47">
        <f ca="1">IF(Q619&gt;0,S619*100/Q619,0)</f>
        <v>0</v>
      </c>
      <c r="U619" s="47">
        <f ca="1">IF(R619&gt;0,S619*100/R619,0)</f>
        <v>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IFERROR(__xludf.DUMMYFUNCTION("IMPORTRANGE(""https://docs.google.com/spreadsheets/d/1ItG2mGa2ceCfYo0BwxsXqNm01IGEUdYcSSLTEv9YCik/edit?usp=sharing"",""เบิกจ่ายกองทุน!F82"")"),6775)</f>
        <v>6775</v>
      </c>
      <c r="R621" s="47">
        <f ca="1">IFERROR(__xludf.DUMMYFUNCTION("IMPORTRANGE(""https://docs.google.com/spreadsheets/d/1ItG2mGa2ceCfYo0BwxsXqNm01IGEUdYcSSLTEv9YCik/edit?usp=sharing"",""เบิกจ่ายกองทุน!G82"")"),6775)</f>
        <v>6775</v>
      </c>
      <c r="S621" s="47">
        <f ca="1">IFERROR(__xludf.DUMMYFUNCTION("IMPORTRANGE(""https://docs.google.com/spreadsheets/d/1ItG2mGa2ceCfYo0BwxsXqNm01IGEUdYcSSLTEv9YCik/edit?usp=sharing"",""เบิกจ่ายกองทุน!H82"")"),0)</f>
        <v>0</v>
      </c>
      <c r="T621" s="47">
        <f ca="1">IF(Q621&gt;0,S621*100/Q621,0)</f>
        <v>0</v>
      </c>
      <c r="U621" s="47">
        <f ca="1">IF(R621&gt;0,S621*100/R621,0)</f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188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IFERROR(__xludf.DUMMYFUNCTION("IMPORTRANGE(""https://docs.google.com/spreadsheets/d/1eHaY18a8A9IcSdp1K8H6x8fbOy06t2VsZHhMHf-1x7Y/edit?usp=sharing"",""แผน!ID82"")"),50)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IFERROR(__xludf.DUMMYFUNCTION("IMPORTRANGE(""https://docs.google.com/spreadsheets/d/1eHaY18a8A9IcSdp1K8H6x8fbOy06t2VsZHhMHf-1x7Y/edit?usp=sharing"",""แผน!IC82"")"),0)</f>
        <v>0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IFERROR(__xludf.DUMMYFUNCTION("IMPORTRANGE(""https://docs.google.com/spreadsheets/d/1eHaY18a8A9IcSdp1K8H6x8fbOy06t2VsZHhMHf-1x7Y/edit?usp=sharing"",""แผน!IC82"")"),0)</f>
        <v>0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IFERROR(__xludf.DUMMYFUNCTION("IMPORTRANGE(""https://docs.google.com/spreadsheets/d/1eHaY18a8A9IcSdp1K8H6x8fbOy06t2VsZHhMHf-1x7Y/edit?usp=sharing"",""แผน!IE82"")"),0)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63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IFERROR(__xludf.DUMMYFUNCTION("IMPORTRANGE(""https://docs.google.com/spreadsheets/d/1ItG2mGa2ceCfYo0BwxsXqNm01IGEUdYcSSLTEv9YCik/edit?usp=sharing"",""เบิกจ่ายกองทุน!I82"")"),0)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IFERROR(__xludf.DUMMYFUNCTION("IMPORTRANGE(""https://docs.google.com/spreadsheets/d/1ItG2mGa2ceCfYo0BwxsXqNm01IGEUdYcSSLTEv9YCik/edit?usp=sharing"",""เบิกจ่ายกองทุน!J82"")"),0)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IFERROR(__xludf.DUMMYFUNCTION("IMPORTRANGE(""https://docs.google.com/spreadsheets/d/1ItG2mGa2ceCfYo0BwxsXqNm01IGEUdYcSSLTEv9YCik/edit?usp=sharing"",""เบิกจ่ายกองทุน!K82"")"),0)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IFERROR(__xludf.DUMMYFUNCTION("IMPORTRANGE(""https://docs.google.com/spreadsheets/d/1eHaY18a8A9IcSdp1K8H6x8fbOy06t2VsZHhMHf-1x7Y/edit?usp=sharing"",""แผน!IF82"")"),0)</f>
        <v>0</v>
      </c>
      <c r="J652" s="152">
        <f ca="1">IFERROR(__xludf.DUMMYFUNCTION("IMPORTRANGE(""https://docs.google.com/spreadsheets/d/1tdoBKaGub7dwA3U6UFTqxio9LNnvDCQjHKmttSEBsFQ/edit?usp=sharing"",""จัดที่ดิน!AU82"")"),0)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IFERROR(__xludf.DUMMYFUNCTION("IMPORTRANGE(""https://docs.google.com/spreadsheets/d/1eHaY18a8A9IcSdp1K8H6x8fbOy06t2VsZHhMHf-1x7Y/edit?usp=sharing"",""แผน!IG82"")"),0)</f>
        <v>0</v>
      </c>
      <c r="J653" s="152">
        <f ca="1">IFERROR(__xludf.DUMMYFUNCTION("IMPORTRANGE(""https://docs.google.com/spreadsheets/d/1tdoBKaGub7dwA3U6UFTqxio9LNnvDCQjHKmttSEBsFQ/edit?usp=sharing"",""จัดที่ดิน!AW82"")"),0)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IFERROR(__xludf.DUMMYFUNCTION("IMPORTRANGE(""https://docs.google.com/spreadsheets/d/1eHaY18a8A9IcSdp1K8H6x8fbOy06t2VsZHhMHf-1x7Y/edit?usp=sharing"",""แผน!IH82"")"),0)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IFERROR(__xludf.DUMMYFUNCTION("IMPORTRANGE(""https://docs.google.com/spreadsheets/d/1eHaY18a8A9IcSdp1K8H6x8fbOy06t2VsZHhMHf-1x7Y/edit?usp=sharing"",""แผน!II82"")"),0)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IFERROR(__xludf.DUMMYFUNCTION("IMPORTRANGE(""https://docs.google.com/spreadsheets/d/1eHaY18a8A9IcSdp1K8H6x8fbOy06t2VsZHhMHf-1x7Y/edit?usp=sharing"",""แผน!IJ82"")"),0)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IFERROR(__xludf.DUMMYFUNCTION("IMPORTRANGE(""https://docs.google.com/spreadsheets/d/1eHaY18a8A9IcSdp1K8H6x8fbOy06t2VsZHhMHf-1x7Y/edit?usp=sharing"",""แผน!IK82"")"),0)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IFERROR(__xludf.DUMMYFUNCTION("IMPORTRANGE(""https://docs.google.com/spreadsheets/d/1tdoBKaGub7dwA3U6UFTqxio9LNnvDCQjHKmttSEBsFQ/edit?usp=sharing"",""จัดที่ดิน!AY82"")"),0)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IFERROR(__xludf.DUMMYFUNCTION("IMPORTRANGE(""https://docs.google.com/spreadsheets/d/1tdoBKaGub7dwA3U6UFTqxio9LNnvDCQjHKmttSEBsFQ/edit?usp=sharing"",""จัดที่ดิน!AZ82"")"),0)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IFERROR(__xludf.DUMMYFUNCTION("IMPORTRANGE(""https://docs.google.com/spreadsheets/d/1eHaY18a8A9IcSdp1K8H6x8fbOy06t2VsZHhMHf-1x7Y/edit?usp=sharing"",""แผน!IL82"")"),0)</f>
        <v>0</v>
      </c>
      <c r="J673" s="152">
        <f ca="1">IFERROR(__xludf.DUMMYFUNCTION("IMPORTRANGE(""https://docs.google.com/spreadsheets/d/1tdoBKaGub7dwA3U6UFTqxio9LNnvDCQjHKmttSEBsFQ/edit?usp=sharing"",""จัดที่ดิน!BA82"")"),0)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IFERROR(__xludf.DUMMYFUNCTION("IMPORTRANGE(""https://docs.google.com/spreadsheets/d/1eHaY18a8A9IcSdp1K8H6x8fbOy06t2VsZHhMHf-1x7Y/edit?usp=sharing"",""แผน!IM82"")"),0)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IFERROR(__xludf.DUMMYFUNCTION("IMPORTRANGE(""https://docs.google.com/spreadsheets/d/1eHaY18a8A9IcSdp1K8H6x8fbOy06t2VsZHhMHf-1x7Y/edit?usp=sharing"",""แผน!IN82"")"),0)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IFERROR(__xludf.DUMMYFUNCTION("IMPORTRANGE(""https://docs.google.com/spreadsheets/d/1eHaY18a8A9IcSdp1K8H6x8fbOy06t2VsZHhMHf-1x7Y/edit?usp=sharing"",""แผน!IO82"")"),0)</f>
        <v>0</v>
      </c>
      <c r="J676" s="152">
        <f ca="1">IFERROR(__xludf.DUMMYFUNCTION("IMPORTRANGE(""https://docs.google.com/spreadsheets/d/1tdoBKaGub7dwA3U6UFTqxio9LNnvDCQjHKmttSEBsFQ/edit?usp=sharing"",""จัดที่ดิน!BF82"")"),0)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IFERROR(__xludf.DUMMYFUNCTION("IMPORTRANGE(""https://docs.google.com/spreadsheets/d/1tdoBKaGub7dwA3U6UFTqxio9LNnvDCQjHKmttSEBsFQ/edit?usp=sharing"",""จัดที่ดิน!BG82"")"),0)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IFERROR(__xludf.DUMMYFUNCTION("IMPORTRANGE(""https://docs.google.com/spreadsheets/d/1eHaY18a8A9IcSdp1K8H6x8fbOy06t2VsZHhMHf-1x7Y/edit?usp=sharing"",""แผน!IP82"")"),0)</f>
        <v>0</v>
      </c>
      <c r="J678" s="152">
        <f ca="1">IFERROR(__xludf.DUMMYFUNCTION("IMPORTRANGE(""https://docs.google.com/spreadsheets/d/1tdoBKaGub7dwA3U6UFTqxio9LNnvDCQjHKmttSEBsFQ/edit?usp=sharing"",""จัดที่ดิน!BH82"")"),0)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IFERROR(__xludf.DUMMYFUNCTION("IMPORTRANGE(""https://docs.google.com/spreadsheets/d/1eHaY18a8A9IcSdp1K8H6x8fbOy06t2VsZHhMHf-1x7Y/edit?usp=sharing"",""แผน!IQ82"")"),0)</f>
        <v>0</v>
      </c>
      <c r="J679" s="152">
        <f ca="1">IFERROR(__xludf.DUMMYFUNCTION("IMPORTRANGE(""https://docs.google.com/spreadsheets/d/1tdoBKaGub7dwA3U6UFTqxio9LNnvDCQjHKmttSEBsFQ/edit?usp=sharing"",""จัดที่ดิน!BK82"")"),0)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IFERROR(__xludf.DUMMYFUNCTION("IMPORTRANGE(""https://docs.google.com/spreadsheets/d/1tdoBKaGub7dwA3U6UFTqxio9LNnvDCQjHKmttSEBsFQ/edit?usp=sharing"",""จัดที่ดิน!BL82"")"),0)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IFERROR(__xludf.DUMMYFUNCTION("IMPORTRANGE(""https://docs.google.com/spreadsheets/d/1eHaY18a8A9IcSdp1K8H6x8fbOy06t2VsZHhMHf-1x7Y/edit?usp=sharing"",""แผน!IR82"")"),0)</f>
        <v>0</v>
      </c>
      <c r="J681" s="152">
        <f ca="1">IFERROR(__xludf.DUMMYFUNCTION("IMPORTRANGE(""https://docs.google.com/spreadsheets/d/1tdoBKaGub7dwA3U6UFTqxio9LNnvDCQjHKmttSEBsFQ/edit?usp=sharing"",""จัดที่ดิน!BM82"")"),0)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IFERROR(__xludf.DUMMYFUNCTION("IMPORTRANGE(""https://docs.google.com/spreadsheets/d/1eHaY18a8A9IcSdp1K8H6x8fbOy06t2VsZHhMHf-1x7Y/edit?usp=sharing"",""แผน!IS82"")"),0)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56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67330</v>
      </c>
      <c r="R690" s="132">
        <f ca="1">R691+R692</f>
        <v>67330</v>
      </c>
      <c r="S690" s="132">
        <f ca="1">S691+S692</f>
        <v>10538.83</v>
      </c>
      <c r="T690" s="132">
        <f ca="1">IF(Q690&gt;0,S690*100/Q690,0)</f>
        <v>15.652502599138572</v>
      </c>
      <c r="U690" s="132">
        <f ca="1">IF(R690&gt;0,S690*100/R690,0)</f>
        <v>15.652502599138572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67330</v>
      </c>
      <c r="R692" s="47">
        <f ca="1">R695+R698</f>
        <v>67330</v>
      </c>
      <c r="S692" s="47">
        <f ca="1">S695+S698</f>
        <v>10538.83</v>
      </c>
      <c r="T692" s="47">
        <f ca="1">IF(Q692&gt;0,S692*100/Q692,0)</f>
        <v>15.652502599138572</v>
      </c>
      <c r="U692" s="47">
        <f ca="1">IF(R692&gt;0,S692*100/R692,0)</f>
        <v>15.652502599138572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67330</v>
      </c>
      <c r="R693" s="47">
        <f ca="1">R694+R695</f>
        <v>67330</v>
      </c>
      <c r="S693" s="47">
        <f ca="1">S694+S695</f>
        <v>10538.83</v>
      </c>
      <c r="T693" s="47">
        <f ca="1">IF(Q693&gt;0,S693*100/Q693,0)</f>
        <v>15.652502599138572</v>
      </c>
      <c r="U693" s="47">
        <f ca="1">IF(R693&gt;0,S693*100/R693,0)</f>
        <v>15.652502599138572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IFERROR(__xludf.DUMMYFUNCTION("IMPORTRANGE(""https://docs.google.com/spreadsheets/d/1ItG2mGa2ceCfYo0BwxsXqNm01IGEUdYcSSLTEv9YCik/edit?usp=sharing"",""เบิกจ่ายกองทุน!L82"")"),67330)</f>
        <v>67330</v>
      </c>
      <c r="R695" s="47">
        <f ca="1">IFERROR(__xludf.DUMMYFUNCTION("IMPORTRANGE(""https://docs.google.com/spreadsheets/d/1ItG2mGa2ceCfYo0BwxsXqNm01IGEUdYcSSLTEv9YCik/edit?usp=sharing"",""เบิกจ่ายกองทุน!M82"")"),67330)</f>
        <v>67330</v>
      </c>
      <c r="S695" s="47">
        <f ca="1">IFERROR(__xludf.DUMMYFUNCTION("IMPORTRANGE(""https://docs.google.com/spreadsheets/d/1ItG2mGa2ceCfYo0BwxsXqNm01IGEUdYcSSLTEv9YCik/edit?usp=sharing"",""เบิกจ่ายกองทุน!N82"")"),10538.83)</f>
        <v>10538.83</v>
      </c>
      <c r="T695" s="47">
        <f ca="1">IF(Q695&gt;0,S695*100/Q695,0)</f>
        <v>15.652502599138572</v>
      </c>
      <c r="U695" s="47">
        <f ca="1">IF(R695&gt;0,S695*100/R695,0)</f>
        <v>15.652502599138572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IFERROR(__xludf.DUMMYFUNCTION("IMPORTRANGE(""https://docs.google.com/spreadsheets/d/1eHaY18a8A9IcSdp1K8H6x8fbOy06t2VsZHhMHf-1x7Y/edit?usp=sharing"",""แผน!LC82"")"),0)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3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IFERROR(__xludf.DUMMYFUNCTION("IMPORTRANGE(""https://docs.google.com/spreadsheets/d/1eHaY18a8A9IcSdp1K8H6x8fbOy06t2VsZHhMHf-1x7Y/edit?usp=sharing"",""แผน!LJ82"")"),0)</f>
        <v>0</v>
      </c>
      <c r="J703" s="152">
        <f ca="1">IFERROR(__xludf.DUMMYFUNCTION("IMPORTRANGE(""https://docs.google.com/spreadsheets/d/1tdoBKaGub7dwA3U6UFTqxio9LNnvDCQjHKmttSEBsFQ/edit?usp=sharing"",""จัดที่ดิน!AP82"")"),0)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IFERROR(__xludf.DUMMYFUNCTION("IMPORTRANGE(""https://docs.google.com/spreadsheets/d/1tdoBKaGub7dwA3U6UFTqxio9LNnvDCQjHKmttSEBsFQ/edit?usp=sharing"",""จัดที่ดิน!AQ82"")"),0)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IFERROR(__xludf.DUMMYFUNCTION("IMPORTRANGE(""https://docs.google.com/spreadsheets/d/1eHaY18a8A9IcSdp1K8H6x8fbOy06t2VsZHhMHf-1x7Y/edit?usp=sharing"",""แผน!LK82"")"),3)</f>
        <v>3</v>
      </c>
      <c r="J705" s="152">
        <f ca="1">IFERROR(__xludf.DUMMYFUNCTION("IMPORTRANGE(""https://docs.google.com/spreadsheets/d/1tdoBKaGub7dwA3U6UFTqxio9LNnvDCQjHKmttSEBsFQ/edit?usp=sharing"",""จัดที่ดิน!AR82"")"),0)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IFERROR(__xludf.DUMMYFUNCTION("IMPORTRANGE(""https://docs.google.com/spreadsheets/d/1tdoBKaGub7dwA3U6UFTqxio9LNnvDCQjHKmttSEBsFQ/edit?usp=sharing"",""จัดที่ดิน!AS82"")"),0)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IFERROR(__xludf.DUMMYFUNCTION("IMPORTRANGE(""https://docs.google.com/spreadsheets/d/1eHaY18a8A9IcSdp1K8H6x8fbOy06t2VsZHhMHf-1x7Y/edit?usp=sharing"",""แผน!LJ82"")"),0)</f>
        <v>0</v>
      </c>
      <c r="J707" s="152">
        <f ca="1">IFERROR(__xludf.DUMMYFUNCTION("IMPORTRANGE(""https://docs.google.com/spreadsheets/d/1tdoBKaGub7dwA3U6UFTqxio9LNnvDCQjHKmttSEBsFQ/edit?usp=sharing"",""จัดที่ดิน!BN82"")"),0)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IFERROR(__xludf.DUMMYFUNCTION("IMPORTRANGE(""https://docs.google.com/spreadsheets/d/1tdoBKaGub7dwA3U6UFTqxio9LNnvDCQjHKmttSEBsFQ/edit?usp=sharing"",""จัดที่ดิน!BO82"")"),0)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IFERROR(__xludf.DUMMYFUNCTION("IMPORTRANGE(""https://docs.google.com/spreadsheets/d/1eHaY18a8A9IcSdp1K8H6x8fbOy06t2VsZHhMHf-1x7Y/edit?usp=sharing"",""แผน!LK82"")"),3)</f>
        <v>3</v>
      </c>
      <c r="J709" s="152">
        <f ca="1">IFERROR(__xludf.DUMMYFUNCTION("IMPORTRANGE(""https://docs.google.com/spreadsheets/d/1tdoBKaGub7dwA3U6UFTqxio9LNnvDCQjHKmttSEBsFQ/edit?usp=sharing"",""จัดที่ดิน!BP82"")"),0)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IFERROR(__xludf.DUMMYFUNCTION("IMPORTRANGE(""https://docs.google.com/spreadsheets/d/1tdoBKaGub7dwA3U6UFTqxio9LNnvDCQjHKmttSEBsFQ/edit?usp=sharing"",""จัดที่ดิน!BQ82"")"),0)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56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56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56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IFERROR(__xludf.DUMMYFUNCTION("IMPORTRANGE(""https://docs.google.com/spreadsheets/d/1eHaY18a8A9IcSdp1K8H6x8fbOy06t2VsZHhMHf-1x7Y/edit?usp=sharing"",""แผน!GA82"")"),21)</f>
        <v>21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IFERROR(__xludf.DUMMYFUNCTION("IMPORTRANGE(""https://docs.google.com/spreadsheets/d/1eHaY18a8A9IcSdp1K8H6x8fbOy06t2VsZHhMHf-1x7Y/edit?usp=sharing"",""แผน!FZ82"")"),200)</f>
        <v>200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188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175994</v>
      </c>
      <c r="R728" s="132">
        <f ca="1">R729+R730</f>
        <v>175994</v>
      </c>
      <c r="S728" s="132">
        <f ca="1">S729+S730</f>
        <v>26715</v>
      </c>
      <c r="T728" s="132">
        <f ca="1">IF(Q728&gt;0,S728*100/Q728,0)</f>
        <v>15.179494755503029</v>
      </c>
      <c r="U728" s="132">
        <f ca="1">IF(R728&gt;0,S728*100/R728,0)</f>
        <v>15.179494755503029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175994</v>
      </c>
      <c r="R730" s="47">
        <f ca="1">R733+R736</f>
        <v>175994</v>
      </c>
      <c r="S730" s="47">
        <f ca="1">S733+S736</f>
        <v>26715</v>
      </c>
      <c r="T730" s="47">
        <f ca="1">IF(Q730&gt;0,S730*100/Q730,0)</f>
        <v>15.179494755503029</v>
      </c>
      <c r="U730" s="47">
        <f ca="1">IF(R730&gt;0,S730*100/R730,0)</f>
        <v>15.179494755503029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175994</v>
      </c>
      <c r="R731" s="47">
        <f ca="1">R732+R733</f>
        <v>175994</v>
      </c>
      <c r="S731" s="47">
        <f ca="1">S732+S733</f>
        <v>26715</v>
      </c>
      <c r="T731" s="47">
        <f ca="1">IF(Q731&gt;0,S731*100/Q731,0)</f>
        <v>15.179494755503029</v>
      </c>
      <c r="U731" s="47">
        <f ca="1">IF(R731&gt;0,S731*100/R731,0)</f>
        <v>15.179494755503029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IFERROR(__xludf.DUMMYFUNCTION("IMPORTRANGE(""https://docs.google.com/spreadsheets/d/1ItG2mGa2ceCfYo0BwxsXqNm01IGEUdYcSSLTEv9YCik/edit?usp=sharing"",""เบิกจ่ายกองทุน!O82"")"),175994)</f>
        <v>175994</v>
      </c>
      <c r="R733" s="47">
        <f ca="1">IFERROR(__xludf.DUMMYFUNCTION("IMPORTRANGE(""https://docs.google.com/spreadsheets/d/1ItG2mGa2ceCfYo0BwxsXqNm01IGEUdYcSSLTEv9YCik/edit?usp=sharing"",""เบิกจ่ายกองทุน!P82"")"),175994)</f>
        <v>175994</v>
      </c>
      <c r="S733" s="47">
        <f ca="1">IFERROR(__xludf.DUMMYFUNCTION("IMPORTRANGE(""https://docs.google.com/spreadsheets/d/1ItG2mGa2ceCfYo0BwxsXqNm01IGEUdYcSSLTEv9YCik/edit?usp=sharing"",""เบิกจ่ายกองทุน!Q82"")"),26715)</f>
        <v>26715</v>
      </c>
      <c r="T733" s="47">
        <f ca="1">IF(Q733&gt;0,S733*100/Q733,0)</f>
        <v>15.179494755503029</v>
      </c>
      <c r="U733" s="47">
        <f ca="1">IF(R733&gt;0,S733*100/R733,0)</f>
        <v>15.179494755503029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188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IFERROR(__xludf.DUMMYFUNCTION("IMPORTRANGE(""https://docs.google.com/spreadsheets/d/1eHaY18a8A9IcSdp1K8H6x8fbOy06t2VsZHhMHf-1x7Y/edit?usp=sharing"",""แผน!GB82"")"),160)</f>
        <v>160</v>
      </c>
      <c r="J740" s="554">
        <v>0</v>
      </c>
      <c r="K740" s="331">
        <f ca="1">IF(I740&gt;0,J740*100/I740,0)</f>
        <v>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IFERROR(__xludf.DUMMYFUNCTION("IMPORTRANGE(""https://docs.google.com/spreadsheets/d/1eHaY18a8A9IcSdp1K8H6x8fbOy06t2VsZHhMHf-1x7Y/edit?usp=sharing"",""แผน!GC82"")"),16)</f>
        <v>16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IFERROR(__xludf.DUMMYFUNCTION("IMPORTRANGE(""https://docs.google.com/spreadsheets/d/1eHaY18a8A9IcSdp1K8H6x8fbOy06t2VsZHhMHf-1x7Y/edit?usp=sharing"",""แผน!GD82"")"),40)</f>
        <v>40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IFERROR(__xludf.DUMMYFUNCTION("IMPORTRANGE(""https://docs.google.com/spreadsheets/d/1eHaY18a8A9IcSdp1K8H6x8fbOy06t2VsZHhMHf-1x7Y/edit?usp=sharing"",""แผน!GE82"")"),4)</f>
        <v>4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IFERROR(__xludf.DUMMYFUNCTION("IMPORTRANGE(""https://docs.google.com/spreadsheets/d/1eHaY18a8A9IcSdp1K8H6x8fbOy06t2VsZHhMHf-1x7Y/edit?usp=sharing"",""แผน!GF82"")"),1)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IFERROR(__xludf.DUMMYFUNCTION("IMPORTRANGE(""https://docs.google.com/spreadsheets/d/1eHaY18a8A9IcSdp1K8H6x8fbOy06t2VsZHhMHf-1x7Y/edit?usp=sharing"",""แผน!GB82"")"),160)</f>
        <v>160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IFERROR(__xludf.DUMMYFUNCTION("IMPORTRANGE(""https://docs.google.com/spreadsheets/d/1eHaY18a8A9IcSdp1K8H6x8fbOy06t2VsZHhMHf-1x7Y/edit?usp=sharing"",""แผน!GD82"")"),40)</f>
        <v>40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9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56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50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100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397800</v>
      </c>
      <c r="R760" s="132">
        <f ca="1">R761+R762</f>
        <v>397800</v>
      </c>
      <c r="S760" s="132">
        <f ca="1">S761+S762</f>
        <v>317370</v>
      </c>
      <c r="T760" s="132">
        <f ca="1">IF(Q760&gt;0,S760*100/Q760,0)</f>
        <v>79.781297134238315</v>
      </c>
      <c r="U760" s="132">
        <f ca="1">IF(R760&gt;0,S760*100/R760,0)</f>
        <v>79.781297134238315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397800</v>
      </c>
      <c r="R762" s="47">
        <f ca="1">R765+R768</f>
        <v>397800</v>
      </c>
      <c r="S762" s="47">
        <f ca="1">S765+S768</f>
        <v>317370</v>
      </c>
      <c r="T762" s="47">
        <f ca="1">IF(Q762&gt;0,S762*100/Q762,0)</f>
        <v>79.781297134238315</v>
      </c>
      <c r="U762" s="47">
        <f ca="1">IF(R762&gt;0,S762*100/R762,0)</f>
        <v>79.781297134238315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397800</v>
      </c>
      <c r="R763" s="47">
        <f ca="1">R764+R765</f>
        <v>397800</v>
      </c>
      <c r="S763" s="47">
        <f ca="1">S764+S765</f>
        <v>317370</v>
      </c>
      <c r="T763" s="47">
        <f ca="1">IF(Q763&gt;0,S763*100/Q763,0)</f>
        <v>79.781297134238315</v>
      </c>
      <c r="U763" s="47">
        <f ca="1">IF(R763&gt;0,S763*100/R763,0)</f>
        <v>79.781297134238315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IFERROR(__xludf.DUMMYFUNCTION("IMPORTRANGE(""https://docs.google.com/spreadsheets/d/1ItG2mGa2ceCfYo0BwxsXqNm01IGEUdYcSSLTEv9YCik/edit?usp=sharing"",""เบิกจ่ายกองทุน!AA82"")"),397800)</f>
        <v>397800</v>
      </c>
      <c r="R765" s="47">
        <f ca="1">IFERROR(__xludf.DUMMYFUNCTION("IMPORTRANGE(""https://docs.google.com/spreadsheets/d/1ItG2mGa2ceCfYo0BwxsXqNm01IGEUdYcSSLTEv9YCik/edit?usp=sharing"",""เบิกจ่ายกองทุน!AB82"")"),397800)</f>
        <v>397800</v>
      </c>
      <c r="S765" s="47">
        <f ca="1">IFERROR(__xludf.DUMMYFUNCTION("IMPORTRANGE(""https://docs.google.com/spreadsheets/d/1ItG2mGa2ceCfYo0BwxsXqNm01IGEUdYcSSLTEv9YCik/edit?usp=sharing"",""เบิกจ่ายกองทุน!AC82"")"),317370)</f>
        <v>317370</v>
      </c>
      <c r="T765" s="47">
        <f ca="1">IF(Q765&gt;0,S765*100/Q765,0)</f>
        <v>79.781297134238315</v>
      </c>
      <c r="U765" s="47">
        <f ca="1">IF(R765&gt;0,S765*100/R765,0)</f>
        <v>79.781297134238315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IFERROR(__xludf.DUMMYFUNCTION("IMPORTRANGE(""https://docs.google.com/spreadsheets/d/1eHaY18a8A9IcSdp1K8H6x8fbOy06t2VsZHhMHf-1x7Y/edit?usp=sharing"",""แผน!FI82"")"),0)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IFERROR(__xludf.DUMMYFUNCTION("IMPORTRANGE(""https://docs.google.com/spreadsheets/d/1eHaY18a8A9IcSdp1K8H6x8fbOy06t2VsZHhMHf-1x7Y/edit?usp=sharing"",""แผน!FQ82"")"),50)</f>
        <v>50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IFERROR(__xludf.DUMMYFUNCTION("IMPORTRANGE(""https://docs.google.com/spreadsheets/d/1eHaY18a8A9IcSdp1K8H6x8fbOy06t2VsZHhMHf-1x7Y/edit?usp=sharing"",""แผน!FR82"")"),100)</f>
        <v>100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IFERROR(__xludf.DUMMYFUNCTION("IMPORTRANGE(""https://docs.google.com/spreadsheets/d/1eHaY18a8A9IcSdp1K8H6x8fbOy06t2VsZHhMHf-1x7Y/edit?usp=sharing"",""แผน!FS82"")"),100)</f>
        <v>100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IFERROR(__xludf.DUMMYFUNCTION("IMPORTRANGE(""https://docs.google.com/spreadsheets/d/1eHaY18a8A9IcSdp1K8H6x8fbOy06t2VsZHhMHf-1x7Y/edit?usp=sharing"",""แผน!FT82"")"),50)</f>
        <v>50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IFERROR(__xludf.DUMMYFUNCTION("IMPORTRANGE(""https://docs.google.com/spreadsheets/d/10OvvATaaLtwErnr3qtWFcTmtbfpFEt5Bsqel9sXx0uE/edit?usp=sharing"",""งานกองทุน!D82"")"),1446939.15)</f>
        <v>1446939.15</v>
      </c>
      <c r="J778" s="152">
        <f ca="1">IFERROR(__xludf.DUMMYFUNCTION("IMPORTRANGE(""https://docs.google.com/spreadsheets/d/10OvvATaaLtwErnr3qtWFcTmtbfpFEt5Bsqel9sXx0uE/edit?usp=sharing"",""งานกองทุน!F82"")"),1163538.43)</f>
        <v>1163538.43</v>
      </c>
      <c r="K778" s="47">
        <f ca="1">IF(I778&gt;0,J778*100/I778,0)</f>
        <v>80.413777593895361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IFERROR(__xludf.DUMMYFUNCTION("IMPORTRANGE(""https://docs.google.com/spreadsheets/d/10OvvATaaLtwErnr3qtWFcTmtbfpFEt5Bsqel9sXx0uE/edit?usp=sharing"",""งานกองทุน!C82"")"),130)</f>
        <v>130</v>
      </c>
      <c r="J779" s="152">
        <f ca="1">IFERROR(__xludf.DUMMYFUNCTION("IMPORTRANGE(""https://docs.google.com/spreadsheets/d/10OvvATaaLtwErnr3qtWFcTmtbfpFEt5Bsqel9sXx0uE/edit?usp=sharing"",""งานกองทุน!E82"")"),75)</f>
        <v>75</v>
      </c>
      <c r="K779" s="47">
        <f ca="1">IF(I779&gt;0,J779*100/I779,0)</f>
        <v>57.692307692307693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IFERROR(__xludf.DUMMYFUNCTION("IMPORTRANGE(""https://docs.google.com/spreadsheets/d/10OvvATaaLtwErnr3qtWFcTmtbfpFEt5Bsqel9sXx0uE/edit?usp=sharing"",""งานกองทุน!I82"")"),726927.94)</f>
        <v>726927.94</v>
      </c>
      <c r="J780" s="152">
        <f ca="1">IFERROR(__xludf.DUMMYFUNCTION("IMPORTRANGE(""https://docs.google.com/spreadsheets/d/10OvvATaaLtwErnr3qtWFcTmtbfpFEt5Bsqel9sXx0uE/edit?usp=sharing"",""งานกองทุน!K82"")"),63993.27)</f>
        <v>63993.27</v>
      </c>
      <c r="K780" s="47">
        <f ca="1">IF(I780&gt;0,J780*100/I780,0)</f>
        <v>8.8032480908630379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IFERROR(__xludf.DUMMYFUNCTION("IMPORTRANGE(""https://docs.google.com/spreadsheets/d/10OvvATaaLtwErnr3qtWFcTmtbfpFEt5Bsqel9sXx0uE/edit?usp=sharing"",""งานกองทุน!H82"")"),50)</f>
        <v>50</v>
      </c>
      <c r="J781" s="152">
        <f ca="1">IFERROR(__xludf.DUMMYFUNCTION("IMPORTRANGE(""https://docs.google.com/spreadsheets/d/10OvvATaaLtwErnr3qtWFcTmtbfpFEt5Bsqel9sXx0uE/edit?usp=sharing"",""งานกองทุน!J82"")"),29)</f>
        <v>29</v>
      </c>
      <c r="K781" s="47">
        <f ca="1">IF(I781&gt;0,J781*100/I781,0)</f>
        <v>58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IFERROR(__xludf.DUMMYFUNCTION("IMPORTRANGE(""https://docs.google.com/spreadsheets/d/10OvvATaaLtwErnr3qtWFcTmtbfpFEt5Bsqel9sXx0uE/edit?usp=sharing"",""งานกองทุน!N82"")"),0)</f>
        <v>0</v>
      </c>
      <c r="J782" s="152">
        <f ca="1">IFERROR(__xludf.DUMMYFUNCTION("IMPORTRANGE(""https://docs.google.com/spreadsheets/d/10OvvATaaLtwErnr3qtWFcTmtbfpFEt5Bsqel9sXx0uE/edit?usp=sharing"",""งานกองทุน!P82"")"),0)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IFERROR(__xludf.DUMMYFUNCTION("IMPORTRANGE(""https://docs.google.com/spreadsheets/d/10OvvATaaLtwErnr3qtWFcTmtbfpFEt5Bsqel9sXx0uE/edit?usp=sharing"",""งานกองทุน!M82"")"),0)</f>
        <v>0</v>
      </c>
      <c r="J783" s="152">
        <f ca="1">IFERROR(__xludf.DUMMYFUNCTION("IMPORTRANGE(""https://docs.google.com/spreadsheets/d/10OvvATaaLtwErnr3qtWFcTmtbfpFEt5Bsqel9sXx0uE/edit?usp=sharing"",""งานกองทุน!O82"")"),0)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IFERROR(__xludf.DUMMYFUNCTION("IMPORTRANGE(""https://docs.google.com/spreadsheets/d/10OvvATaaLtwErnr3qtWFcTmtbfpFEt5Bsqel9sXx0uE/edit?usp=sharing"",""งานกองทุน!S82"")"),1624000)</f>
        <v>1624000</v>
      </c>
      <c r="J784" s="152">
        <f ca="1">IFERROR(__xludf.DUMMYFUNCTION("IMPORTRANGE(""https://docs.google.com/spreadsheets/d/10OvvATaaLtwErnr3qtWFcTmtbfpFEt5Bsqel9sXx0uE/edit?usp=sharing"",""งานกองทุน!U82"")"),0)</f>
        <v>0</v>
      </c>
      <c r="K784" s="47">
        <f ca="1">IF(I784&gt;0,J784*100/I784,0)</f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IFERROR(__xludf.DUMMYFUNCTION("IMPORTRANGE(""https://docs.google.com/spreadsheets/d/10OvvATaaLtwErnr3qtWFcTmtbfpFEt5Bsqel9sXx0uE/edit?usp=sharing"",""งานกองทุน!R82"")"),58)</f>
        <v>58</v>
      </c>
      <c r="J785" s="197">
        <f ca="1">IFERROR(__xludf.DUMMYFUNCTION("IMPORTRANGE(""https://docs.google.com/spreadsheets/d/10OvvATaaLtwErnr3qtWFcTmtbfpFEt5Bsqel9sXx0uE/edit?usp=sharing"",""งานกองทุน!T82"")"),0)</f>
        <v>0</v>
      </c>
      <c r="K785" s="111">
        <f ca="1">IF(I785&gt;0,J785*100/I785,0)</f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4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31 พ.ค.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4 มิ.ย. 67 เวลา 10.12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orientation="portrait" verticalDpi="597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16</vt:i4>
      </vt:variant>
    </vt:vector>
  </HeadingPairs>
  <TitlesOfParts>
    <vt:vector size="31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  <vt:lpstr>ๆ203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Alro</cp:lastModifiedBy>
  <dcterms:modified xsi:type="dcterms:W3CDTF">2024-07-04T08:02:55Z</dcterms:modified>
</cp:coreProperties>
</file>